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120" windowWidth="15600" windowHeight="9720" activeTab="1"/>
  </bookViews>
  <sheets>
    <sheet name="Calculations" sheetId="4" r:id="rId1"/>
    <sheet name="Exhibit 1.1" sheetId="6" r:id="rId2"/>
    <sheet name="Exhibit 1.1 Page 5" sheetId="7" r:id="rId3"/>
    <sheet name="Exhibit 1.2" sheetId="8" r:id="rId4"/>
    <sheet name="Exhibit 1.3" sheetId="9" r:id="rId5"/>
    <sheet name="Exhibit 1.4" sheetId="10" r:id="rId6"/>
  </sheets>
  <definedNames>
    <definedName name="Cumulative_Investment">'Exhibit 1.1'!$A$3:$AS$56</definedName>
    <definedName name="_xlnm.Print_Area" localSheetId="1">'Exhibit 1.1'!$A$1:$AE$71</definedName>
    <definedName name="_xlnm.Print_Area" localSheetId="2">'Exhibit 1.1 Page 5'!$A$1:$E$38</definedName>
    <definedName name="_xlnm.Print_Area" localSheetId="3">'Exhibit 1.2'!$A$1:$H$21</definedName>
    <definedName name="_xlnm.Print_Area" localSheetId="4">'Exhibit 1.3'!$A$1:$O$69</definedName>
    <definedName name="_xlnm.Print_Area" localSheetId="5">'Exhibit 1.4'!$A$1:$J$26</definedName>
    <definedName name="_xlnm.Print_Titles" localSheetId="1">'Exhibit 1.1'!$A:$C</definedName>
  </definedNames>
  <calcPr calcId="125725"/>
</workbook>
</file>

<file path=xl/calcChain.xml><?xml version="1.0" encoding="utf-8"?>
<calcChain xmlns="http://schemas.openxmlformats.org/spreadsheetml/2006/main">
  <c r="B1" i="4"/>
  <c r="C1"/>
  <c r="D1"/>
  <c r="E1"/>
  <c r="F1"/>
  <c r="G1"/>
  <c r="H1"/>
  <c r="I1"/>
  <c r="J1"/>
  <c r="K1"/>
  <c r="L1"/>
  <c r="M1"/>
  <c r="N1"/>
  <c r="O1"/>
  <c r="P1"/>
  <c r="B2"/>
  <c r="C2"/>
  <c r="D2"/>
  <c r="E2"/>
  <c r="F2"/>
  <c r="G2"/>
  <c r="H2"/>
  <c r="I2"/>
  <c r="J2"/>
  <c r="K2"/>
  <c r="L2"/>
  <c r="M2"/>
  <c r="N2"/>
  <c r="O2"/>
  <c r="P2"/>
  <c r="B3"/>
  <c r="C3"/>
  <c r="D3"/>
  <c r="E3"/>
  <c r="F3"/>
  <c r="G3"/>
  <c r="H3"/>
  <c r="I3"/>
  <c r="J3"/>
  <c r="K3"/>
  <c r="L3"/>
  <c r="M3"/>
  <c r="N3"/>
  <c r="O3"/>
  <c r="P3"/>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Q3"/>
  <c r="Q2"/>
  <c r="Q1"/>
  <c r="BN42" l="1"/>
  <c r="AE38" i="6"/>
  <c r="AC38"/>
  <c r="AA38"/>
  <c r="Y38"/>
  <c r="AD37"/>
  <c r="AB37"/>
  <c r="Z37"/>
  <c r="AE36"/>
  <c r="AC36"/>
  <c r="AA36"/>
  <c r="Y36"/>
  <c r="AD35"/>
  <c r="AB35"/>
  <c r="Z35"/>
  <c r="AE34"/>
  <c r="AC34"/>
  <c r="AA34"/>
  <c r="Y34"/>
  <c r="AD33"/>
  <c r="AB33"/>
  <c r="Z33"/>
  <c r="AE32"/>
  <c r="AC32"/>
  <c r="AA32"/>
  <c r="Y32"/>
  <c r="AD31"/>
  <c r="AB31"/>
  <c r="Z31"/>
  <c r="AE30"/>
  <c r="AC30"/>
  <c r="AA30"/>
  <c r="Y30"/>
  <c r="AD29"/>
  <c r="AB29"/>
  <c r="Z29"/>
  <c r="AE28"/>
  <c r="AC28"/>
  <c r="AA28"/>
  <c r="Y28"/>
  <c r="AD27"/>
  <c r="AB27"/>
  <c r="Z27"/>
  <c r="AE26"/>
  <c r="AC26"/>
  <c r="AA26"/>
  <c r="Y26"/>
  <c r="AD25"/>
  <c r="AB25"/>
  <c r="Z25"/>
  <c r="AE24"/>
  <c r="AC24"/>
  <c r="AA24"/>
  <c r="Y24"/>
  <c r="AD23"/>
  <c r="AB23"/>
  <c r="Z23"/>
  <c r="AE22"/>
  <c r="AC22"/>
  <c r="AA22"/>
  <c r="Y22"/>
  <c r="AD21"/>
  <c r="AB21"/>
  <c r="Z21"/>
  <c r="AE20"/>
  <c r="AC20"/>
  <c r="AA20"/>
  <c r="Y20"/>
  <c r="AD19"/>
  <c r="AB19"/>
  <c r="Z19"/>
  <c r="AE18"/>
  <c r="AC18"/>
  <c r="AA18"/>
  <c r="Y18"/>
  <c r="AD17"/>
  <c r="AB17"/>
  <c r="Z17"/>
  <c r="AE16"/>
  <c r="AC16"/>
  <c r="AA16"/>
  <c r="Y16"/>
  <c r="AD15"/>
  <c r="AB15"/>
  <c r="Z15"/>
  <c r="AE14"/>
  <c r="AC14"/>
  <c r="AA14"/>
  <c r="Y14"/>
  <c r="AD13"/>
  <c r="AB13"/>
  <c r="Z13"/>
  <c r="AE12"/>
  <c r="AC12"/>
  <c r="AA12"/>
  <c r="Y12"/>
  <c r="AD11"/>
  <c r="AB11"/>
  <c r="Z11"/>
  <c r="AE10"/>
  <c r="AC10"/>
  <c r="AA10"/>
  <c r="Y10"/>
  <c r="AD9"/>
  <c r="AB9"/>
  <c r="Z9"/>
  <c r="AE8"/>
  <c r="AC8"/>
  <c r="AA8"/>
  <c r="Y8"/>
  <c r="AD7"/>
  <c r="AB7"/>
  <c r="Z7"/>
  <c r="AE6"/>
  <c r="AC6"/>
  <c r="AA6"/>
  <c r="Y6"/>
  <c r="AD5"/>
  <c r="AB5"/>
  <c r="Z5"/>
  <c r="AD38"/>
  <c r="AB38"/>
  <c r="Z38"/>
  <c r="AE37"/>
  <c r="AC37"/>
  <c r="AA37"/>
  <c r="Y37"/>
  <c r="AD36"/>
  <c r="AB36"/>
  <c r="Z36"/>
  <c r="AE35"/>
  <c r="AC35"/>
  <c r="AA35"/>
  <c r="Y35"/>
  <c r="AD34"/>
  <c r="AB34"/>
  <c r="Z34"/>
  <c r="AE33"/>
  <c r="AC33"/>
  <c r="AA33"/>
  <c r="Y33"/>
  <c r="AD32"/>
  <c r="AB32"/>
  <c r="Z32"/>
  <c r="AE31"/>
  <c r="AC31"/>
  <c r="AA31"/>
  <c r="Y31"/>
  <c r="AD30"/>
  <c r="AB30"/>
  <c r="Z30"/>
  <c r="AE29"/>
  <c r="AC29"/>
  <c r="AA29"/>
  <c r="Y29"/>
  <c r="AD28"/>
  <c r="AB28"/>
  <c r="Z28"/>
  <c r="AE27"/>
  <c r="AC27"/>
  <c r="AA27"/>
  <c r="Y27"/>
  <c r="AD26"/>
  <c r="AB26"/>
  <c r="Z26"/>
  <c r="AE25"/>
  <c r="AC25"/>
  <c r="AA25"/>
  <c r="Y25"/>
  <c r="AD24"/>
  <c r="AB24"/>
  <c r="Z24"/>
  <c r="AE23"/>
  <c r="AC23"/>
  <c r="AA23"/>
  <c r="Y23"/>
  <c r="AD22"/>
  <c r="AB22"/>
  <c r="Z22"/>
  <c r="AE21"/>
  <c r="AC21"/>
  <c r="AA21"/>
  <c r="Y21"/>
  <c r="AD20"/>
  <c r="AB20"/>
  <c r="Z20"/>
  <c r="AE19"/>
  <c r="AC19"/>
  <c r="AA19"/>
  <c r="Y19"/>
  <c r="AD18"/>
  <c r="AB18"/>
  <c r="Z18"/>
  <c r="AE17"/>
  <c r="AC17"/>
  <c r="AA17"/>
  <c r="Y17"/>
  <c r="AD16"/>
  <c r="AB16"/>
  <c r="Z16"/>
  <c r="AE15"/>
  <c r="AC15"/>
  <c r="AA15"/>
  <c r="Y15"/>
  <c r="AD14"/>
  <c r="AB14"/>
  <c r="Z14"/>
  <c r="AE13"/>
  <c r="AC13"/>
  <c r="AA13"/>
  <c r="Y13"/>
  <c r="AD12"/>
  <c r="AB12"/>
  <c r="Z12"/>
  <c r="AE11"/>
  <c r="AC11"/>
  <c r="AA11"/>
  <c r="Y11"/>
  <c r="AD10"/>
  <c r="AB10"/>
  <c r="Z10"/>
  <c r="AE9"/>
  <c r="AC9"/>
  <c r="AA9"/>
  <c r="Y9"/>
  <c r="AD8"/>
  <c r="AB8"/>
  <c r="Z8"/>
  <c r="AE7"/>
  <c r="AC7"/>
  <c r="AA7"/>
  <c r="Y7"/>
  <c r="AD6"/>
  <c r="AB6"/>
  <c r="Z6"/>
  <c r="AE5"/>
  <c r="AC5"/>
  <c r="AA5"/>
  <c r="Y5"/>
  <c r="X38"/>
  <c r="X36"/>
  <c r="X34"/>
  <c r="X32"/>
  <c r="X30"/>
  <c r="X28"/>
  <c r="X26"/>
  <c r="X24"/>
  <c r="X22"/>
  <c r="X20"/>
  <c r="X18"/>
  <c r="X16"/>
  <c r="X14"/>
  <c r="X12"/>
  <c r="X10"/>
  <c r="X8"/>
  <c r="X6"/>
  <c r="X37"/>
  <c r="X35"/>
  <c r="X33"/>
  <c r="X31"/>
  <c r="X29"/>
  <c r="X27"/>
  <c r="X25"/>
  <c r="X23"/>
  <c r="X21"/>
  <c r="X19"/>
  <c r="X17"/>
  <c r="X15"/>
  <c r="X13"/>
  <c r="X11"/>
  <c r="X9"/>
  <c r="X7"/>
  <c r="X5"/>
  <c r="W38"/>
  <c r="W37"/>
  <c r="W36"/>
  <c r="W35"/>
  <c r="W34"/>
  <c r="W33"/>
  <c r="W32"/>
  <c r="W31"/>
  <c r="W30"/>
  <c r="W29"/>
  <c r="W28"/>
  <c r="W27"/>
  <c r="W26"/>
  <c r="W25"/>
  <c r="W24"/>
  <c r="W23"/>
  <c r="W22"/>
  <c r="W21"/>
  <c r="W20"/>
  <c r="W19"/>
  <c r="W18"/>
  <c r="W17"/>
  <c r="W16"/>
  <c r="W15"/>
  <c r="W14"/>
  <c r="W13"/>
  <c r="W12"/>
  <c r="W11"/>
  <c r="W10"/>
  <c r="W9"/>
  <c r="W8"/>
  <c r="W7"/>
  <c r="W6"/>
  <c r="W5"/>
  <c r="V38"/>
  <c r="V37"/>
  <c r="V36"/>
  <c r="V35"/>
  <c r="V34"/>
  <c r="V33"/>
  <c r="V32"/>
  <c r="V31"/>
  <c r="V30"/>
  <c r="V29"/>
  <c r="V28"/>
  <c r="V27"/>
  <c r="V26"/>
  <c r="V25"/>
  <c r="V24"/>
  <c r="V23"/>
  <c r="V22"/>
  <c r="V21"/>
  <c r="V20"/>
  <c r="V19"/>
  <c r="V18"/>
  <c r="V17"/>
  <c r="V16"/>
  <c r="V15"/>
  <c r="V14"/>
  <c r="V13"/>
  <c r="V12"/>
  <c r="V11"/>
  <c r="V10"/>
  <c r="V9"/>
  <c r="V8"/>
  <c r="V7"/>
  <c r="V6"/>
  <c r="V5"/>
  <c r="U37"/>
  <c r="U35"/>
  <c r="U33"/>
  <c r="U31"/>
  <c r="U29"/>
  <c r="U27"/>
  <c r="U25"/>
  <c r="U23"/>
  <c r="U21"/>
  <c r="U19"/>
  <c r="U17"/>
  <c r="U15"/>
  <c r="U13"/>
  <c r="U11"/>
  <c r="U9"/>
  <c r="U7"/>
  <c r="U38"/>
  <c r="U36"/>
  <c r="U34"/>
  <c r="U32"/>
  <c r="U30"/>
  <c r="U28"/>
  <c r="U26"/>
  <c r="U24"/>
  <c r="U22"/>
  <c r="U20"/>
  <c r="U18"/>
  <c r="U16"/>
  <c r="U14"/>
  <c r="U12"/>
  <c r="U10"/>
  <c r="U8"/>
  <c r="U6"/>
  <c r="U5"/>
  <c r="T38"/>
  <c r="T37"/>
  <c r="T36"/>
  <c r="T35"/>
  <c r="T34"/>
  <c r="T33"/>
  <c r="T32"/>
  <c r="T31"/>
  <c r="T30"/>
  <c r="T29"/>
  <c r="T28"/>
  <c r="T27"/>
  <c r="T26"/>
  <c r="T25"/>
  <c r="T24"/>
  <c r="T23"/>
  <c r="T22"/>
  <c r="T21"/>
  <c r="T20"/>
  <c r="T19"/>
  <c r="T18"/>
  <c r="T17"/>
  <c r="T16"/>
  <c r="T15"/>
  <c r="T14"/>
  <c r="T13"/>
  <c r="T12"/>
  <c r="T11"/>
  <c r="T10"/>
  <c r="T9"/>
  <c r="T8"/>
  <c r="T7"/>
  <c r="T6"/>
  <c r="T5"/>
  <c r="S38"/>
  <c r="S37"/>
  <c r="S36"/>
  <c r="S35"/>
  <c r="S34"/>
  <c r="S33"/>
  <c r="S32"/>
  <c r="S31"/>
  <c r="S30"/>
  <c r="S29"/>
  <c r="S28"/>
  <c r="S27"/>
  <c r="S26"/>
  <c r="S25"/>
  <c r="S24"/>
  <c r="S23"/>
  <c r="S22"/>
  <c r="S21"/>
  <c r="S20"/>
  <c r="S19"/>
  <c r="S18"/>
  <c r="S17"/>
  <c r="S16"/>
  <c r="S15"/>
  <c r="S14"/>
  <c r="S13"/>
  <c r="S12"/>
  <c r="S11"/>
  <c r="S10"/>
  <c r="S9"/>
  <c r="S8"/>
  <c r="S7"/>
  <c r="S6"/>
  <c r="S5"/>
  <c r="R38"/>
  <c r="R37"/>
  <c r="R36"/>
  <c r="R35"/>
  <c r="R34"/>
  <c r="R33"/>
  <c r="R32"/>
  <c r="R31"/>
  <c r="R30"/>
  <c r="R29"/>
  <c r="R28"/>
  <c r="R27"/>
  <c r="R26"/>
  <c r="R25"/>
  <c r="R24"/>
  <c r="R23"/>
  <c r="R22"/>
  <c r="R21"/>
  <c r="R20"/>
  <c r="R19"/>
  <c r="R18"/>
  <c r="R17"/>
  <c r="R16"/>
  <c r="R15"/>
  <c r="R14"/>
  <c r="R13"/>
  <c r="R12"/>
  <c r="R11"/>
  <c r="R10"/>
  <c r="R9"/>
  <c r="R8"/>
  <c r="R7"/>
  <c r="R6"/>
  <c r="R5"/>
  <c r="Q38"/>
  <c r="Q37"/>
  <c r="Q36"/>
  <c r="Q35"/>
  <c r="Q34"/>
  <c r="Q33"/>
  <c r="Q32"/>
  <c r="Q31"/>
  <c r="Q30"/>
  <c r="Q29"/>
  <c r="Q28"/>
  <c r="Q27"/>
  <c r="Q26"/>
  <c r="Q25"/>
  <c r="Q24"/>
  <c r="Q23"/>
  <c r="Q22"/>
  <c r="Q21"/>
  <c r="Q20"/>
  <c r="Q19"/>
  <c r="Q18"/>
  <c r="Q17"/>
  <c r="Q16"/>
  <c r="Q15"/>
  <c r="Q14"/>
  <c r="Q13"/>
  <c r="Q12"/>
  <c r="Q11"/>
  <c r="Q10"/>
  <c r="Q9"/>
  <c r="Q8"/>
  <c r="Q7"/>
  <c r="Q6"/>
  <c r="Q5"/>
  <c r="P38"/>
  <c r="N38"/>
  <c r="L38"/>
  <c r="J38"/>
  <c r="H38"/>
  <c r="P37"/>
  <c r="N37"/>
  <c r="L37"/>
  <c r="J37"/>
  <c r="H37"/>
  <c r="P36"/>
  <c r="N36"/>
  <c r="L36"/>
  <c r="J36"/>
  <c r="H36"/>
  <c r="P35"/>
  <c r="N35"/>
  <c r="L35"/>
  <c r="J35"/>
  <c r="H35"/>
  <c r="P34"/>
  <c r="N34"/>
  <c r="L34"/>
  <c r="J34"/>
  <c r="H34"/>
  <c r="P33"/>
  <c r="N33"/>
  <c r="L33"/>
  <c r="J33"/>
  <c r="H33"/>
  <c r="P32"/>
  <c r="N32"/>
  <c r="L32"/>
  <c r="J32"/>
  <c r="H32"/>
  <c r="P31"/>
  <c r="N31"/>
  <c r="L31"/>
  <c r="J31"/>
  <c r="H31"/>
  <c r="P30"/>
  <c r="N30"/>
  <c r="L30"/>
  <c r="J30"/>
  <c r="O38"/>
  <c r="M38"/>
  <c r="K38"/>
  <c r="I38"/>
  <c r="G38"/>
  <c r="O37"/>
  <c r="M37"/>
  <c r="K37"/>
  <c r="I37"/>
  <c r="G37"/>
  <c r="O36"/>
  <c r="M36"/>
  <c r="K36"/>
  <c r="I36"/>
  <c r="G36"/>
  <c r="O35"/>
  <c r="M35"/>
  <c r="K35"/>
  <c r="I35"/>
  <c r="G35"/>
  <c r="O34"/>
  <c r="M34"/>
  <c r="K34"/>
  <c r="I34"/>
  <c r="G34"/>
  <c r="O33"/>
  <c r="M33"/>
  <c r="K33"/>
  <c r="I33"/>
  <c r="G33"/>
  <c r="O32"/>
  <c r="M32"/>
  <c r="K32"/>
  <c r="I32"/>
  <c r="G32"/>
  <c r="O31"/>
  <c r="M31"/>
  <c r="K31"/>
  <c r="I31"/>
  <c r="G31"/>
  <c r="O30"/>
  <c r="M30"/>
  <c r="K30"/>
  <c r="H30"/>
  <c r="P29"/>
  <c r="N29"/>
  <c r="L29"/>
  <c r="J29"/>
  <c r="H29"/>
  <c r="P28"/>
  <c r="N28"/>
  <c r="L28"/>
  <c r="J28"/>
  <c r="H28"/>
  <c r="P27"/>
  <c r="N27"/>
  <c r="L27"/>
  <c r="J27"/>
  <c r="H27"/>
  <c r="P26"/>
  <c r="N26"/>
  <c r="L26"/>
  <c r="J26"/>
  <c r="H26"/>
  <c r="P25"/>
  <c r="N25"/>
  <c r="L25"/>
  <c r="J25"/>
  <c r="H25"/>
  <c r="P24"/>
  <c r="N24"/>
  <c r="L24"/>
  <c r="J24"/>
  <c r="H24"/>
  <c r="P23"/>
  <c r="N23"/>
  <c r="L23"/>
  <c r="J23"/>
  <c r="H23"/>
  <c r="P22"/>
  <c r="N22"/>
  <c r="L22"/>
  <c r="J22"/>
  <c r="H22"/>
  <c r="P21"/>
  <c r="N21"/>
  <c r="L21"/>
  <c r="J21"/>
  <c r="H21"/>
  <c r="P20"/>
  <c r="N20"/>
  <c r="L20"/>
  <c r="J20"/>
  <c r="H20"/>
  <c r="P19"/>
  <c r="N19"/>
  <c r="L19"/>
  <c r="J19"/>
  <c r="H19"/>
  <c r="P18"/>
  <c r="N18"/>
  <c r="L18"/>
  <c r="J18"/>
  <c r="H18"/>
  <c r="P17"/>
  <c r="N17"/>
  <c r="L17"/>
  <c r="J17"/>
  <c r="H17"/>
  <c r="P16"/>
  <c r="N16"/>
  <c r="L16"/>
  <c r="J16"/>
  <c r="H16"/>
  <c r="P15"/>
  <c r="N15"/>
  <c r="L15"/>
  <c r="J15"/>
  <c r="H15"/>
  <c r="P14"/>
  <c r="N14"/>
  <c r="L14"/>
  <c r="J14"/>
  <c r="H14"/>
  <c r="P13"/>
  <c r="N13"/>
  <c r="L13"/>
  <c r="J13"/>
  <c r="H13"/>
  <c r="P12"/>
  <c r="N12"/>
  <c r="L12"/>
  <c r="J12"/>
  <c r="H12"/>
  <c r="P11"/>
  <c r="N11"/>
  <c r="L11"/>
  <c r="J11"/>
  <c r="H11"/>
  <c r="P10"/>
  <c r="N10"/>
  <c r="L10"/>
  <c r="J10"/>
  <c r="H10"/>
  <c r="P9"/>
  <c r="N9"/>
  <c r="L9"/>
  <c r="J9"/>
  <c r="H9"/>
  <c r="P8"/>
  <c r="N8"/>
  <c r="L8"/>
  <c r="J8"/>
  <c r="H8"/>
  <c r="P7"/>
  <c r="N7"/>
  <c r="L7"/>
  <c r="J7"/>
  <c r="H7"/>
  <c r="P6"/>
  <c r="N6"/>
  <c r="L6"/>
  <c r="J6"/>
  <c r="H6"/>
  <c r="P5"/>
  <c r="N5"/>
  <c r="L5"/>
  <c r="J5"/>
  <c r="H5"/>
  <c r="I30"/>
  <c r="G30"/>
  <c r="O29"/>
  <c r="M29"/>
  <c r="K29"/>
  <c r="I29"/>
  <c r="G29"/>
  <c r="O28"/>
  <c r="M28"/>
  <c r="K28"/>
  <c r="I28"/>
  <c r="G28"/>
  <c r="O27"/>
  <c r="M27"/>
  <c r="K27"/>
  <c r="I27"/>
  <c r="G27"/>
  <c r="O26"/>
  <c r="M26"/>
  <c r="K26"/>
  <c r="I26"/>
  <c r="G26"/>
  <c r="O25"/>
  <c r="M25"/>
  <c r="K25"/>
  <c r="I25"/>
  <c r="G25"/>
  <c r="O24"/>
  <c r="M24"/>
  <c r="K24"/>
  <c r="I24"/>
  <c r="G24"/>
  <c r="O23"/>
  <c r="M23"/>
  <c r="K23"/>
  <c r="I23"/>
  <c r="G23"/>
  <c r="O22"/>
  <c r="M22"/>
  <c r="K22"/>
  <c r="I22"/>
  <c r="G22"/>
  <c r="O21"/>
  <c r="M21"/>
  <c r="K21"/>
  <c r="I21"/>
  <c r="G21"/>
  <c r="O20"/>
  <c r="M20"/>
  <c r="K20"/>
  <c r="I20"/>
  <c r="G20"/>
  <c r="O19"/>
  <c r="M19"/>
  <c r="K19"/>
  <c r="I19"/>
  <c r="G19"/>
  <c r="O18"/>
  <c r="M18"/>
  <c r="K18"/>
  <c r="I18"/>
  <c r="G18"/>
  <c r="O17"/>
  <c r="M17"/>
  <c r="K17"/>
  <c r="I17"/>
  <c r="G17"/>
  <c r="O16"/>
  <c r="M16"/>
  <c r="K16"/>
  <c r="I16"/>
  <c r="G16"/>
  <c r="O15"/>
  <c r="M15"/>
  <c r="K15"/>
  <c r="I15"/>
  <c r="G15"/>
  <c r="O14"/>
  <c r="M14"/>
  <c r="K14"/>
  <c r="I14"/>
  <c r="G14"/>
  <c r="O13"/>
  <c r="M13"/>
  <c r="K13"/>
  <c r="I13"/>
  <c r="G13"/>
  <c r="O12"/>
  <c r="M12"/>
  <c r="K12"/>
  <c r="I12"/>
  <c r="G12"/>
  <c r="O11"/>
  <c r="M11"/>
  <c r="K11"/>
  <c r="I11"/>
  <c r="G11"/>
  <c r="O10"/>
  <c r="M10"/>
  <c r="K10"/>
  <c r="I10"/>
  <c r="G10"/>
  <c r="O9"/>
  <c r="M9"/>
  <c r="K9"/>
  <c r="I9"/>
  <c r="G9"/>
  <c r="O8"/>
  <c r="M8"/>
  <c r="K8"/>
  <c r="I8"/>
  <c r="G8"/>
  <c r="O7"/>
  <c r="M7"/>
  <c r="K7"/>
  <c r="I7"/>
  <c r="G7"/>
  <c r="O6"/>
  <c r="M6"/>
  <c r="K6"/>
  <c r="I6"/>
  <c r="G6"/>
  <c r="O5"/>
  <c r="M5"/>
  <c r="K5"/>
  <c r="I5"/>
  <c r="G5"/>
  <c r="BO42" i="4" l="1"/>
  <c r="BP42"/>
  <c r="AF5" i="6"/>
  <c r="AG5"/>
  <c r="AF6"/>
  <c r="AG6"/>
  <c r="AF7"/>
  <c r="AG7"/>
  <c r="AF8"/>
  <c r="AG8"/>
  <c r="AF9"/>
  <c r="AG9"/>
  <c r="AF10"/>
  <c r="AG10"/>
  <c r="AF11"/>
  <c r="AG11"/>
  <c r="AF12"/>
  <c r="AG12"/>
  <c r="AF13"/>
  <c r="AG13"/>
  <c r="AF14"/>
  <c r="AG14"/>
  <c r="AF15"/>
  <c r="AG15"/>
  <c r="AF16"/>
  <c r="AG16"/>
  <c r="AF17"/>
  <c r="AG17"/>
  <c r="AF18"/>
  <c r="AG18"/>
  <c r="AF19"/>
  <c r="AG19"/>
  <c r="AF20"/>
  <c r="AG20"/>
  <c r="AF21"/>
  <c r="AG21"/>
  <c r="AF22"/>
  <c r="AG22"/>
  <c r="AF23"/>
  <c r="AG23"/>
  <c r="AF24"/>
  <c r="AG24"/>
  <c r="AF25"/>
  <c r="AG25"/>
  <c r="AF26"/>
  <c r="AG26"/>
  <c r="AF27"/>
  <c r="AG27"/>
  <c r="AF28"/>
  <c r="AG28"/>
  <c r="AF29"/>
  <c r="AG29"/>
  <c r="AF30"/>
  <c r="AG30"/>
  <c r="AF31"/>
  <c r="AG31"/>
  <c r="AF32"/>
  <c r="AG32"/>
  <c r="AF33"/>
  <c r="AG33"/>
  <c r="AF34"/>
  <c r="AG34"/>
  <c r="AF35"/>
  <c r="AG35"/>
  <c r="AF36"/>
  <c r="AG36"/>
  <c r="AF37"/>
  <c r="AG37"/>
  <c r="AF38"/>
  <c r="AG38"/>
  <c r="A17" i="9" l="1"/>
  <c r="A20" i="6" l="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CD8" i="4" l="1"/>
  <c r="AE58" i="6"/>
  <c r="BQ42" i="4"/>
  <c r="CA38" l="1"/>
  <c r="CB38"/>
  <c r="CD38"/>
  <c r="CH38" s="1"/>
  <c r="CA39"/>
  <c r="CB39"/>
  <c r="CD39"/>
  <c r="CH39" s="1"/>
  <c r="CA40"/>
  <c r="CB40"/>
  <c r="CD40"/>
  <c r="CH40" s="1"/>
  <c r="CA41"/>
  <c r="CB41"/>
  <c r="CD41"/>
  <c r="CH41" s="1"/>
  <c r="CT38" l="1"/>
  <c r="CM38"/>
  <c r="CM39"/>
  <c r="CM40"/>
  <c r="CM41"/>
  <c r="CT41" l="1"/>
  <c r="BX79"/>
  <c r="BZ38" s="1"/>
  <c r="BX80"/>
  <c r="BZ39" s="1"/>
  <c r="BX81"/>
  <c r="BZ40" s="1"/>
  <c r="BX82"/>
  <c r="BZ41" s="1"/>
  <c r="BT82"/>
  <c r="BW82" s="1"/>
  <c r="AS51" i="6"/>
  <c r="AR51"/>
  <c r="AQ51"/>
  <c r="AP51"/>
  <c r="AO51"/>
  <c r="AN51"/>
  <c r="AM51"/>
  <c r="AL51"/>
  <c r="AK51"/>
  <c r="AJ51"/>
  <c r="AI51"/>
  <c r="AH51"/>
  <c r="F51"/>
  <c r="E51"/>
  <c r="D51"/>
  <c r="CC40" i="4" l="1"/>
  <c r="CC39"/>
  <c r="CC38"/>
  <c r="CC41"/>
  <c r="CT39" l="1"/>
  <c r="CT40"/>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R42"/>
  <c r="BS42"/>
  <c r="BT79"/>
  <c r="BW79" s="1"/>
  <c r="BT80"/>
  <c r="BW80" s="1"/>
  <c r="BT81"/>
  <c r="BW81" s="1"/>
  <c r="C83" l="1"/>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83"/>
  <c r="BT83" l="1"/>
  <c r="CO39" l="1"/>
  <c r="CO40"/>
  <c r="CO38"/>
  <c r="CV39"/>
  <c r="CV38"/>
  <c r="CO41"/>
  <c r="CV41"/>
  <c r="CV40"/>
  <c r="CV32"/>
  <c r="BK42"/>
  <c r="BH42"/>
  <c r="BI42"/>
  <c r="BG42"/>
  <c r="BJ42"/>
  <c r="BM42"/>
  <c r="BL42"/>
  <c r="AB51" i="6"/>
  <c r="D56"/>
  <c r="CT37" i="4" l="1"/>
  <c r="CT36"/>
  <c r="CT35"/>
  <c r="CT34"/>
  <c r="CT33"/>
  <c r="CT32"/>
  <c r="CT31"/>
  <c r="CT30"/>
  <c r="CT29"/>
  <c r="CT28"/>
  <c r="CT27"/>
  <c r="CT26"/>
  <c r="CT25"/>
  <c r="CT24"/>
  <c r="CT23"/>
  <c r="CT22"/>
  <c r="CT21"/>
  <c r="CT20"/>
  <c r="CT19"/>
  <c r="CT18"/>
  <c r="CT17"/>
  <c r="CT16"/>
  <c r="CT15"/>
  <c r="CT14"/>
  <c r="CT13"/>
  <c r="CT12"/>
  <c r="CT11"/>
  <c r="CT10"/>
  <c r="CV9"/>
  <c r="CT9"/>
  <c r="CM9"/>
  <c r="CO9"/>
  <c r="CM10"/>
  <c r="CO10"/>
  <c r="CM11"/>
  <c r="CO11"/>
  <c r="CM12"/>
  <c r="CO12"/>
  <c r="CM13"/>
  <c r="CO13"/>
  <c r="CM14"/>
  <c r="CO14"/>
  <c r="CM15"/>
  <c r="CO15"/>
  <c r="CM16"/>
  <c r="CO16"/>
  <c r="CM17"/>
  <c r="CO17"/>
  <c r="CM18"/>
  <c r="CO18"/>
  <c r="CM19"/>
  <c r="CO19"/>
  <c r="CM20"/>
  <c r="CO20"/>
  <c r="CM21"/>
  <c r="CO21"/>
  <c r="CM22"/>
  <c r="CO22"/>
  <c r="CM23"/>
  <c r="CO23"/>
  <c r="CM24"/>
  <c r="CO24"/>
  <c r="CM25"/>
  <c r="CO25"/>
  <c r="CM26"/>
  <c r="CO26"/>
  <c r="CM27"/>
  <c r="CO27"/>
  <c r="CM28"/>
  <c r="CO28"/>
  <c r="CM29"/>
  <c r="CO29"/>
  <c r="CM30"/>
  <c r="CO30"/>
  <c r="CM31"/>
  <c r="CO31"/>
  <c r="CM32"/>
  <c r="CO32"/>
  <c r="CM33"/>
  <c r="CO33"/>
  <c r="CM34"/>
  <c r="CO34"/>
  <c r="CM35"/>
  <c r="CO35"/>
  <c r="CM36"/>
  <c r="CO36"/>
  <c r="CM37"/>
  <c r="CO37"/>
  <c r="CD37"/>
  <c r="CH37" s="1"/>
  <c r="CB37"/>
  <c r="CA37"/>
  <c r="CD36"/>
  <c r="CH36" s="1"/>
  <c r="CB36"/>
  <c r="CA36"/>
  <c r="CD35"/>
  <c r="CH35" s="1"/>
  <c r="CB35"/>
  <c r="CA35"/>
  <c r="CD34"/>
  <c r="CH34" s="1"/>
  <c r="CB34"/>
  <c r="CA34"/>
  <c r="CD33"/>
  <c r="CH33" s="1"/>
  <c r="CB33"/>
  <c r="CA33"/>
  <c r="CD32"/>
  <c r="CH32" s="1"/>
  <c r="CB32"/>
  <c r="CA32"/>
  <c r="CD31"/>
  <c r="CH31" s="1"/>
  <c r="CB31"/>
  <c r="CA31"/>
  <c r="CD30"/>
  <c r="CH30" s="1"/>
  <c r="CB30"/>
  <c r="CA30"/>
  <c r="CD29"/>
  <c r="CH29" s="1"/>
  <c r="CB29"/>
  <c r="CA29"/>
  <c r="CD28"/>
  <c r="CH28" s="1"/>
  <c r="CB28"/>
  <c r="CA28"/>
  <c r="CD27"/>
  <c r="CH27" s="1"/>
  <c r="CB27"/>
  <c r="CA27"/>
  <c r="CD26"/>
  <c r="CH26" s="1"/>
  <c r="CB26"/>
  <c r="CA26"/>
  <c r="CD25"/>
  <c r="CH25" s="1"/>
  <c r="CB25"/>
  <c r="CA25"/>
  <c r="CD24"/>
  <c r="CH24" s="1"/>
  <c r="CB24"/>
  <c r="CA24"/>
  <c r="CD23"/>
  <c r="CH23" s="1"/>
  <c r="CB23"/>
  <c r="CA23"/>
  <c r="CD22"/>
  <c r="CH22" s="1"/>
  <c r="CB22"/>
  <c r="CA22"/>
  <c r="CD21"/>
  <c r="CH21" s="1"/>
  <c r="CB21"/>
  <c r="CA21"/>
  <c r="CD20"/>
  <c r="CH20" s="1"/>
  <c r="CB20"/>
  <c r="CA20"/>
  <c r="CD19"/>
  <c r="CH19" s="1"/>
  <c r="CB19"/>
  <c r="CA19"/>
  <c r="CD18"/>
  <c r="CH18" s="1"/>
  <c r="CB18"/>
  <c r="CA18"/>
  <c r="CD17"/>
  <c r="CH17" s="1"/>
  <c r="CB17"/>
  <c r="CA17"/>
  <c r="CD16"/>
  <c r="CH16" s="1"/>
  <c r="CB16"/>
  <c r="CA16"/>
  <c r="CD15"/>
  <c r="CH15" s="1"/>
  <c r="CB15"/>
  <c r="CA15"/>
  <c r="CD14"/>
  <c r="CH14" s="1"/>
  <c r="CB14"/>
  <c r="CA14"/>
  <c r="CD13"/>
  <c r="CH13" s="1"/>
  <c r="CB13"/>
  <c r="CA13"/>
  <c r="CD12"/>
  <c r="CH12" s="1"/>
  <c r="CB12"/>
  <c r="CA12"/>
  <c r="CD11"/>
  <c r="CH11" s="1"/>
  <c r="CB11"/>
  <c r="CA11"/>
  <c r="CD10"/>
  <c r="CB10"/>
  <c r="CA10"/>
  <c r="CD9"/>
  <c r="CB9"/>
  <c r="CA9"/>
  <c r="BX51"/>
  <c r="BX52"/>
  <c r="BX53"/>
  <c r="BX54"/>
  <c r="BX55"/>
  <c r="BX56"/>
  <c r="BX57"/>
  <c r="BX58"/>
  <c r="BX59"/>
  <c r="BX60"/>
  <c r="BX61"/>
  <c r="BX62"/>
  <c r="BX63"/>
  <c r="BX64"/>
  <c r="BX65"/>
  <c r="BX66"/>
  <c r="BX67"/>
  <c r="BX68"/>
  <c r="BX69"/>
  <c r="BX70"/>
  <c r="BX71"/>
  <c r="BX72"/>
  <c r="BX73"/>
  <c r="BX74"/>
  <c r="BX75"/>
  <c r="BX76"/>
  <c r="BT51"/>
  <c r="BT52"/>
  <c r="BT53"/>
  <c r="BT54"/>
  <c r="BT55"/>
  <c r="BT56"/>
  <c r="BT57"/>
  <c r="BT58"/>
  <c r="BT59"/>
  <c r="BT60"/>
  <c r="BT61"/>
  <c r="BT62"/>
  <c r="BT63"/>
  <c r="BT64"/>
  <c r="BT65"/>
  <c r="BT66"/>
  <c r="BT67"/>
  <c r="BT68"/>
  <c r="BT69"/>
  <c r="BT70"/>
  <c r="BT71"/>
  <c r="BT72"/>
  <c r="BT73"/>
  <c r="BT74"/>
  <c r="BT75"/>
  <c r="BT76"/>
  <c r="BT77"/>
  <c r="BT78"/>
  <c r="BV8" l="1"/>
  <c r="AG51" i="6"/>
  <c r="AF51"/>
  <c r="AE51"/>
  <c r="M51"/>
  <c r="K51"/>
  <c r="I51"/>
  <c r="O51"/>
  <c r="R51"/>
  <c r="T51"/>
  <c r="H51"/>
  <c r="L51"/>
  <c r="J51"/>
  <c r="N51"/>
  <c r="P51"/>
  <c r="Q51"/>
  <c r="S51"/>
  <c r="AA51"/>
  <c r="Y51"/>
  <c r="V51"/>
  <c r="X51"/>
  <c r="W51"/>
  <c r="Z51"/>
  <c r="U51"/>
  <c r="BX50" i="4"/>
  <c r="BX77"/>
  <c r="BX78"/>
  <c r="CV8" l="1"/>
  <c r="AH58" i="6"/>
  <c r="AI58"/>
  <c r="AJ58"/>
  <c r="AK58"/>
  <c r="AL58"/>
  <c r="AM58"/>
  <c r="AN58"/>
  <c r="AO58"/>
  <c r="AP58"/>
  <c r="AQ58"/>
  <c r="AR58"/>
  <c r="AS58"/>
  <c r="CO8" i="4" l="1"/>
  <c r="CO42" s="1"/>
  <c r="CT8"/>
  <c r="CT42" s="1"/>
  <c r="CM8"/>
  <c r="CM42" s="1"/>
  <c r="BX49" l="1"/>
  <c r="BT50"/>
  <c r="BT49"/>
  <c r="BT9"/>
  <c r="BT8"/>
  <c r="BH4"/>
  <c r="BI4"/>
  <c r="BJ4"/>
  <c r="BK4"/>
  <c r="BL4"/>
  <c r="BM4"/>
  <c r="BN4"/>
  <c r="BO4"/>
  <c r="BP4"/>
  <c r="BQ4"/>
  <c r="BR4"/>
  <c r="BS4"/>
  <c r="BV12" l="1"/>
  <c r="BW8"/>
  <c r="BU49"/>
  <c r="BU50"/>
  <c r="A17" i="7"/>
  <c r="A18"/>
  <c r="A19" s="1"/>
  <c r="A20" s="1"/>
  <c r="BV13" i="4" l="1"/>
  <c r="BZ12"/>
  <c r="CC12" s="1"/>
  <c r="BW53"/>
  <c r="BD4"/>
  <c r="BE4"/>
  <c r="BF4"/>
  <c r="BG4"/>
  <c r="G51" i="6"/>
  <c r="BV11" i="4"/>
  <c r="BZ11" s="1"/>
  <c r="BV10"/>
  <c r="BZ10" s="1"/>
  <c r="BV9"/>
  <c r="BZ9" s="1"/>
  <c r="BV14" l="1"/>
  <c r="BT14"/>
  <c r="BZ13"/>
  <c r="CC13" s="1"/>
  <c r="BW54"/>
  <c r="CC10"/>
  <c r="CC9"/>
  <c r="CC11"/>
  <c r="BW51"/>
  <c r="BW50"/>
  <c r="BW52"/>
  <c r="BV15" l="1"/>
  <c r="BZ14"/>
  <c r="CC14" s="1"/>
  <c r="BW55"/>
  <c r="A6" i="6"/>
  <c r="A7" s="1"/>
  <c r="A8" s="1"/>
  <c r="A9" s="1"/>
  <c r="A10" s="1"/>
  <c r="A11" s="1"/>
  <c r="A12" s="1"/>
  <c r="A13" s="1"/>
  <c r="A14" s="1"/>
  <c r="A15" s="1"/>
  <c r="A16" s="1"/>
  <c r="A17" s="1"/>
  <c r="A18" s="1"/>
  <c r="A19" s="1"/>
  <c r="BV16" i="4" l="1"/>
  <c r="BW56"/>
  <c r="BZ15"/>
  <c r="CC15" s="1"/>
  <c r="D24" i="10"/>
  <c r="D27" i="9"/>
  <c r="E27"/>
  <c r="E19" i="10"/>
  <c r="E18"/>
  <c r="E17"/>
  <c r="E16"/>
  <c r="E15"/>
  <c r="E14"/>
  <c r="E13"/>
  <c r="E21"/>
  <c r="E20"/>
  <c r="E12"/>
  <c r="E11"/>
  <c r="E10"/>
  <c r="A11"/>
  <c r="A12" s="1"/>
  <c r="A13" s="1"/>
  <c r="A14" s="1"/>
  <c r="A15" s="1"/>
  <c r="A16" s="1"/>
  <c r="A17" s="1"/>
  <c r="A18" s="1"/>
  <c r="A19" s="1"/>
  <c r="A20" s="1"/>
  <c r="A21" s="1"/>
  <c r="A24" s="1"/>
  <c r="E8"/>
  <c r="I59" i="9"/>
  <c r="E29"/>
  <c r="D29"/>
  <c r="E28"/>
  <c r="D28"/>
  <c r="E11"/>
  <c r="D11"/>
  <c r="E10"/>
  <c r="D10"/>
  <c r="A8"/>
  <c r="A10" s="1"/>
  <c r="A11" s="1"/>
  <c r="A12" s="1"/>
  <c r="C17" i="8"/>
  <c r="E10" s="1"/>
  <c r="E12"/>
  <c r="E9"/>
  <c r="A7" i="7"/>
  <c r="A8" s="1"/>
  <c r="A9" s="1"/>
  <c r="A10" s="1"/>
  <c r="A11" s="1"/>
  <c r="A12" s="1"/>
  <c r="A13" s="1"/>
  <c r="A14" s="1"/>
  <c r="A15" s="1"/>
  <c r="A16" s="1"/>
  <c r="BV17" i="4" l="1"/>
  <c r="BW57"/>
  <c r="BZ16"/>
  <c r="CC16" s="1"/>
  <c r="A56" i="6"/>
  <c r="A57" s="1"/>
  <c r="A58" s="1"/>
  <c r="A59" s="1"/>
  <c r="A60" s="1"/>
  <c r="A61" s="1"/>
  <c r="A62" s="1"/>
  <c r="A63" s="1"/>
  <c r="A64" s="1"/>
  <c r="A65" s="1"/>
  <c r="I27" i="9"/>
  <c r="I25"/>
  <c r="I24"/>
  <c r="I23"/>
  <c r="E11" i="8"/>
  <c r="E14"/>
  <c r="A23" i="9"/>
  <c r="A24" s="1"/>
  <c r="A25" s="1"/>
  <c r="A27" s="1"/>
  <c r="A28" s="1"/>
  <c r="A29" s="1"/>
  <c r="A30" s="1"/>
  <c r="A36" s="1"/>
  <c r="A37" s="1"/>
  <c r="A38" s="1"/>
  <c r="A39" s="1"/>
  <c r="A45" s="1"/>
  <c r="A46" s="1"/>
  <c r="A47" s="1"/>
  <c r="A48" s="1"/>
  <c r="A49" s="1"/>
  <c r="A55" s="1"/>
  <c r="A56" s="1"/>
  <c r="A57" s="1"/>
  <c r="A58" s="1"/>
  <c r="A59" s="1"/>
  <c r="A60" s="1"/>
  <c r="A66" s="1"/>
  <c r="A67" s="1"/>
  <c r="A69" s="1"/>
  <c r="E24" i="10"/>
  <c r="E13" i="8"/>
  <c r="E15"/>
  <c r="I7" i="9"/>
  <c r="I10"/>
  <c r="G12"/>
  <c r="I29"/>
  <c r="I38"/>
  <c r="I47"/>
  <c r="I57"/>
  <c r="I8"/>
  <c r="I17"/>
  <c r="G39"/>
  <c r="I36"/>
  <c r="G49"/>
  <c r="I45"/>
  <c r="I55"/>
  <c r="I11"/>
  <c r="G30"/>
  <c r="I28"/>
  <c r="I37"/>
  <c r="I46"/>
  <c r="K48"/>
  <c r="I48"/>
  <c r="I56"/>
  <c r="I58"/>
  <c r="G67"/>
  <c r="I66"/>
  <c r="BV18" i="4" l="1"/>
  <c r="BW58"/>
  <c r="BZ17"/>
  <c r="CC17" s="1"/>
  <c r="A66" i="6"/>
  <c r="A67" s="1"/>
  <c r="A68" s="1"/>
  <c r="A69" s="1"/>
  <c r="E17" i="8"/>
  <c r="I60" i="9"/>
  <c r="I30"/>
  <c r="I49"/>
  <c r="I39"/>
  <c r="I12"/>
  <c r="I67"/>
  <c r="BV19" i="4" l="1"/>
  <c r="BZ18"/>
  <c r="CC18" s="1"/>
  <c r="BW59"/>
  <c r="D58" i="6"/>
  <c r="E58"/>
  <c r="F58"/>
  <c r="G58"/>
  <c r="H58"/>
  <c r="I58"/>
  <c r="J58"/>
  <c r="K58"/>
  <c r="L58"/>
  <c r="M58"/>
  <c r="N58"/>
  <c r="O58"/>
  <c r="P58"/>
  <c r="Q58"/>
  <c r="R58"/>
  <c r="S58"/>
  <c r="T58"/>
  <c r="U58"/>
  <c r="V58"/>
  <c r="W58"/>
  <c r="X58"/>
  <c r="Y58"/>
  <c r="Z58"/>
  <c r="AA58"/>
  <c r="AB58"/>
  <c r="AC58"/>
  <c r="AD58"/>
  <c r="AF58"/>
  <c r="AG58"/>
  <c r="E3"/>
  <c r="BV20" i="4" l="1"/>
  <c r="BW60"/>
  <c r="BZ19"/>
  <c r="CC19" s="1"/>
  <c r="F3" i="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D54"/>
  <c r="D57" s="1"/>
  <c r="E56"/>
  <c r="F56" s="1"/>
  <c r="G56" s="1"/>
  <c r="BV21" i="4" l="1"/>
  <c r="BZ20"/>
  <c r="CC20" s="1"/>
  <c r="BW61"/>
  <c r="H56" i="6"/>
  <c r="E57"/>
  <c r="D59"/>
  <c r="D64" s="1"/>
  <c r="BV22" i="4" l="1"/>
  <c r="BZ21"/>
  <c r="CC21" s="1"/>
  <c r="BW62"/>
  <c r="I56" i="6"/>
  <c r="H103" i="4"/>
  <c r="F57" i="6"/>
  <c r="E59"/>
  <c r="I103" i="4" s="1"/>
  <c r="BV23" l="1"/>
  <c r="BZ22"/>
  <c r="CC22" s="1"/>
  <c r="BW63"/>
  <c r="E64" i="6"/>
  <c r="F64" s="1"/>
  <c r="J56"/>
  <c r="G57"/>
  <c r="F59"/>
  <c r="J103" i="4" s="1"/>
  <c r="BV24" l="1"/>
  <c r="BZ23"/>
  <c r="CC23" s="1"/>
  <c r="BW64"/>
  <c r="K56" i="6"/>
  <c r="H57"/>
  <c r="H59" s="1"/>
  <c r="L103" i="4" s="1"/>
  <c r="G59" i="6"/>
  <c r="K103" i="4" s="1"/>
  <c r="BV25" l="1"/>
  <c r="BW65"/>
  <c r="BZ24"/>
  <c r="CC24" s="1"/>
  <c r="Q42"/>
  <c r="G64" i="6"/>
  <c r="H64" s="1"/>
  <c r="L56"/>
  <c r="I57"/>
  <c r="C92" i="4"/>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BV26" l="1"/>
  <c r="BZ25"/>
  <c r="CC25" s="1"/>
  <c r="BW66"/>
  <c r="M56" i="6"/>
  <c r="J57"/>
  <c r="I59"/>
  <c r="M103" i="4" s="1"/>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H4"/>
  <c r="I4"/>
  <c r="J4"/>
  <c r="K4"/>
  <c r="L4"/>
  <c r="M4"/>
  <c r="C4"/>
  <c r="D4"/>
  <c r="E4"/>
  <c r="F4"/>
  <c r="G4"/>
  <c r="B4"/>
  <c r="CB8"/>
  <c r="CB42" s="1"/>
  <c r="CA8"/>
  <c r="CA42" s="1"/>
  <c r="CD42"/>
  <c r="BX83"/>
  <c r="B42" l="1"/>
  <c r="BT27"/>
  <c r="BV27"/>
  <c r="BW67"/>
  <c r="BZ26"/>
  <c r="CC26" s="1"/>
  <c r="CE9"/>
  <c r="CF41"/>
  <c r="CE38"/>
  <c r="CG38" s="1"/>
  <c r="CF38"/>
  <c r="CE39"/>
  <c r="CG39" s="1"/>
  <c r="CF39"/>
  <c r="CE40"/>
  <c r="CG40" s="1"/>
  <c r="CF40"/>
  <c r="CE41"/>
  <c r="CG41" s="1"/>
  <c r="I64" i="6"/>
  <c r="CF37" i="4"/>
  <c r="CE36"/>
  <c r="CF35"/>
  <c r="CE34"/>
  <c r="CF33"/>
  <c r="CE32"/>
  <c r="CF31"/>
  <c r="CE30"/>
  <c r="CF29"/>
  <c r="CE28"/>
  <c r="CF27"/>
  <c r="CE26"/>
  <c r="CF25"/>
  <c r="CE24"/>
  <c r="CG24" s="1"/>
  <c r="CF23"/>
  <c r="CF22"/>
  <c r="CE21"/>
  <c r="CG21" s="1"/>
  <c r="CF20"/>
  <c r="CE19"/>
  <c r="CG19" s="1"/>
  <c r="CF18"/>
  <c r="CE17"/>
  <c r="CG17" s="1"/>
  <c r="CF16"/>
  <c r="CE15"/>
  <c r="CG15" s="1"/>
  <c r="CF14"/>
  <c r="CE13"/>
  <c r="CG13" s="1"/>
  <c r="CF12"/>
  <c r="CE11"/>
  <c r="CG11" s="1"/>
  <c r="CF10"/>
  <c r="CG9"/>
  <c r="CE37"/>
  <c r="CF36"/>
  <c r="CE35"/>
  <c r="CF34"/>
  <c r="CE33"/>
  <c r="CF32"/>
  <c r="CE31"/>
  <c r="CF30"/>
  <c r="CE29"/>
  <c r="CF28"/>
  <c r="CE27"/>
  <c r="CF26"/>
  <c r="CE25"/>
  <c r="CG25" s="1"/>
  <c r="CF24"/>
  <c r="CE23"/>
  <c r="CG23" s="1"/>
  <c r="CE22"/>
  <c r="CG22" s="1"/>
  <c r="CF21"/>
  <c r="CE20"/>
  <c r="CG20" s="1"/>
  <c r="CF19"/>
  <c r="CE18"/>
  <c r="CG18" s="1"/>
  <c r="CF17"/>
  <c r="CE16"/>
  <c r="CG16" s="1"/>
  <c r="CF15"/>
  <c r="CE14"/>
  <c r="CG14" s="1"/>
  <c r="CF13"/>
  <c r="CE12"/>
  <c r="CG12" s="1"/>
  <c r="CF11"/>
  <c r="CE10"/>
  <c r="CG10" s="1"/>
  <c r="CH10" s="1"/>
  <c r="CF9"/>
  <c r="N56" i="6"/>
  <c r="O56" s="1"/>
  <c r="K57"/>
  <c r="J59"/>
  <c r="N103" i="4" s="1"/>
  <c r="CE8"/>
  <c r="CF8"/>
  <c r="CG26" l="1"/>
  <c r="BV28"/>
  <c r="C42"/>
  <c r="BZ27"/>
  <c r="CC27" s="1"/>
  <c r="BW68"/>
  <c r="CH9"/>
  <c r="CI9" s="1"/>
  <c r="CL9" s="1"/>
  <c r="CI41"/>
  <c r="CL41" s="1"/>
  <c r="CK41"/>
  <c r="CI40"/>
  <c r="CL40" s="1"/>
  <c r="CK40"/>
  <c r="CF42"/>
  <c r="CI38"/>
  <c r="CL38" s="1"/>
  <c r="CK38"/>
  <c r="CI39"/>
  <c r="CL39" s="1"/>
  <c r="CK39"/>
  <c r="CE42"/>
  <c r="J64" i="6"/>
  <c r="CI11" i="4"/>
  <c r="CL11" s="1"/>
  <c r="CK11"/>
  <c r="CP11" s="1"/>
  <c r="CI13"/>
  <c r="CL13" s="1"/>
  <c r="CK13"/>
  <c r="CI15"/>
  <c r="CL15" s="1"/>
  <c r="CK15"/>
  <c r="CI17"/>
  <c r="CL17" s="1"/>
  <c r="CK17"/>
  <c r="CI19"/>
  <c r="CL19" s="1"/>
  <c r="CK19"/>
  <c r="CI21"/>
  <c r="CL21" s="1"/>
  <c r="CK21"/>
  <c r="CI24"/>
  <c r="CL24" s="1"/>
  <c r="CK24"/>
  <c r="CI26"/>
  <c r="CL26" s="1"/>
  <c r="CK26"/>
  <c r="CI10"/>
  <c r="CL10" s="1"/>
  <c r="CI12"/>
  <c r="CL12" s="1"/>
  <c r="CK12"/>
  <c r="CI14"/>
  <c r="CL14" s="1"/>
  <c r="CK14"/>
  <c r="CI16"/>
  <c r="CL16" s="1"/>
  <c r="CK16"/>
  <c r="CI18"/>
  <c r="CL18" s="1"/>
  <c r="CK18"/>
  <c r="CI20"/>
  <c r="CL20" s="1"/>
  <c r="CK20"/>
  <c r="CI22"/>
  <c r="CL22" s="1"/>
  <c r="CK22"/>
  <c r="CI23"/>
  <c r="CL23" s="1"/>
  <c r="CK23"/>
  <c r="CI25"/>
  <c r="CL25" s="1"/>
  <c r="CK25"/>
  <c r="L57" i="6"/>
  <c r="K59"/>
  <c r="O103" i="4" s="1"/>
  <c r="BV29" l="1"/>
  <c r="D42"/>
  <c r="BZ28"/>
  <c r="BW69"/>
  <c r="CG27"/>
  <c r="CI27" s="1"/>
  <c r="CL27" s="1"/>
  <c r="CN38"/>
  <c r="CS38" s="1"/>
  <c r="CU38" s="1"/>
  <c r="CP38"/>
  <c r="CQ38" s="1"/>
  <c r="CN40"/>
  <c r="CS40" s="1"/>
  <c r="CU40" s="1"/>
  <c r="CP40"/>
  <c r="CQ40" s="1"/>
  <c r="CN41"/>
  <c r="CS41" s="1"/>
  <c r="CU41" s="1"/>
  <c r="CP41"/>
  <c r="CQ41" s="1"/>
  <c r="CN39"/>
  <c r="CS39" s="1"/>
  <c r="CU39" s="1"/>
  <c r="CP39"/>
  <c r="CQ39" s="1"/>
  <c r="K64" i="6"/>
  <c r="CP25" i="4"/>
  <c r="CQ25" s="1"/>
  <c r="CN25"/>
  <c r="CS25" s="1"/>
  <c r="CU25" s="1"/>
  <c r="CP23"/>
  <c r="CQ23" s="1"/>
  <c r="CN23"/>
  <c r="CS23" s="1"/>
  <c r="CU23" s="1"/>
  <c r="CP22"/>
  <c r="CQ22" s="1"/>
  <c r="CN22"/>
  <c r="CS22" s="1"/>
  <c r="CU22" s="1"/>
  <c r="CP20"/>
  <c r="CQ20" s="1"/>
  <c r="CN20"/>
  <c r="CS20" s="1"/>
  <c r="CU20" s="1"/>
  <c r="CP18"/>
  <c r="CQ18" s="1"/>
  <c r="CN18"/>
  <c r="CS18" s="1"/>
  <c r="CU18" s="1"/>
  <c r="CP16"/>
  <c r="CQ16" s="1"/>
  <c r="CN16"/>
  <c r="CP14"/>
  <c r="CQ14" s="1"/>
  <c r="CN14"/>
  <c r="CS14" s="1"/>
  <c r="CU14" s="1"/>
  <c r="CN12"/>
  <c r="CS12" s="1"/>
  <c r="CU12" s="1"/>
  <c r="CP12"/>
  <c r="CQ12" s="1"/>
  <c r="CK10"/>
  <c r="CP26"/>
  <c r="CQ26" s="1"/>
  <c r="CN26"/>
  <c r="CS26" s="1"/>
  <c r="CU26" s="1"/>
  <c r="CN24"/>
  <c r="CS24" s="1"/>
  <c r="CU24" s="1"/>
  <c r="CP24"/>
  <c r="CQ24" s="1"/>
  <c r="CP21"/>
  <c r="CQ21" s="1"/>
  <c r="CN21"/>
  <c r="CS21" s="1"/>
  <c r="CU21" s="1"/>
  <c r="CP19"/>
  <c r="CQ19" s="1"/>
  <c r="CN19"/>
  <c r="CS19" s="1"/>
  <c r="CU19" s="1"/>
  <c r="CP17"/>
  <c r="CQ17" s="1"/>
  <c r="CN17"/>
  <c r="CS17" s="1"/>
  <c r="CU17" s="1"/>
  <c r="CP15"/>
  <c r="CQ15" s="1"/>
  <c r="CN15"/>
  <c r="CS15" s="1"/>
  <c r="CU15" s="1"/>
  <c r="CP13"/>
  <c r="CQ13" s="1"/>
  <c r="CN13"/>
  <c r="CS13" s="1"/>
  <c r="CU13" s="1"/>
  <c r="CN11"/>
  <c r="CS11" s="1"/>
  <c r="CU11" s="1"/>
  <c r="CQ11"/>
  <c r="CK9"/>
  <c r="P56" i="6"/>
  <c r="M57"/>
  <c r="L59"/>
  <c r="P103" i="4" s="1"/>
  <c r="BV30" l="1"/>
  <c r="E42"/>
  <c r="CC28"/>
  <c r="CG28"/>
  <c r="CI28" s="1"/>
  <c r="CL28" s="1"/>
  <c r="CK27"/>
  <c r="BW70"/>
  <c r="BZ29"/>
  <c r="BZ8"/>
  <c r="CG8" s="1"/>
  <c r="CS16"/>
  <c r="CU16" s="1"/>
  <c r="L64" i="6"/>
  <c r="CN9" i="4"/>
  <c r="CS9" s="1"/>
  <c r="CP9"/>
  <c r="CN10"/>
  <c r="CP10"/>
  <c r="CQ10" s="1"/>
  <c r="Q56" i="6"/>
  <c r="E67"/>
  <c r="N57"/>
  <c r="M59"/>
  <c r="Q103" i="4" s="1"/>
  <c r="BW49"/>
  <c r="BW9"/>
  <c r="BV31" l="1"/>
  <c r="F42"/>
  <c r="BZ30"/>
  <c r="BW71"/>
  <c r="CC29"/>
  <c r="CG29"/>
  <c r="CI29" s="1"/>
  <c r="CL29" s="1"/>
  <c r="CN27"/>
  <c r="CS27" s="1"/>
  <c r="CU27" s="1"/>
  <c r="CP27"/>
  <c r="CQ27" s="1"/>
  <c r="CK28"/>
  <c r="CQ9"/>
  <c r="CS10"/>
  <c r="CU10" s="1"/>
  <c r="M64" i="6"/>
  <c r="CU9" i="4"/>
  <c r="CC8"/>
  <c r="CH8"/>
  <c r="F67" i="6"/>
  <c r="R56"/>
  <c r="O57"/>
  <c r="N59"/>
  <c r="R103" i="4" s="1"/>
  <c r="BV32" l="1"/>
  <c r="G42"/>
  <c r="CK29"/>
  <c r="CP28"/>
  <c r="CQ28" s="1"/>
  <c r="CN28"/>
  <c r="CS28" s="1"/>
  <c r="CU28" s="1"/>
  <c r="CC30"/>
  <c r="CG30"/>
  <c r="CI30" s="1"/>
  <c r="CL30" s="1"/>
  <c r="CK30"/>
  <c r="BZ31"/>
  <c r="BW72"/>
  <c r="CH42"/>
  <c r="CI8"/>
  <c r="CL8" s="1"/>
  <c r="N64" i="6"/>
  <c r="CK8" i="4"/>
  <c r="G67" i="6"/>
  <c r="S56"/>
  <c r="P57"/>
  <c r="O59"/>
  <c r="S103" i="4" s="1"/>
  <c r="H42" l="1"/>
  <c r="BV33"/>
  <c r="BT33"/>
  <c r="CP30"/>
  <c r="CQ30" s="1"/>
  <c r="CN30"/>
  <c r="CS30" s="1"/>
  <c r="CU30" s="1"/>
  <c r="CN29"/>
  <c r="CS29" s="1"/>
  <c r="CU29" s="1"/>
  <c r="CP29"/>
  <c r="CQ29" s="1"/>
  <c r="BZ32"/>
  <c r="BW73"/>
  <c r="CC31"/>
  <c r="CG31"/>
  <c r="CI31" s="1"/>
  <c r="CL31" s="1"/>
  <c r="CK31"/>
  <c r="O64" i="6"/>
  <c r="CN8" i="4"/>
  <c r="CS8" s="1"/>
  <c r="CP8"/>
  <c r="T56" i="6"/>
  <c r="H67"/>
  <c r="AN95" i="4"/>
  <c r="AP95"/>
  <c r="AR95"/>
  <c r="AT95"/>
  <c r="AV95"/>
  <c r="AL95"/>
  <c r="AM95"/>
  <c r="AO95"/>
  <c r="AQ95"/>
  <c r="AS95"/>
  <c r="AU95"/>
  <c r="AW95"/>
  <c r="AA95"/>
  <c r="AC95"/>
  <c r="AE95"/>
  <c r="AG95"/>
  <c r="AI95"/>
  <c r="AK95"/>
  <c r="O95"/>
  <c r="Q95"/>
  <c r="S95"/>
  <c r="U95"/>
  <c r="W95"/>
  <c r="Y95"/>
  <c r="P95"/>
  <c r="T95"/>
  <c r="V95"/>
  <c r="N95"/>
  <c r="AB95"/>
  <c r="AD95"/>
  <c r="AF95"/>
  <c r="AH95"/>
  <c r="AJ95"/>
  <c r="Z95"/>
  <c r="R95"/>
  <c r="X95"/>
  <c r="Q57" i="6"/>
  <c r="Q59" s="1"/>
  <c r="P59"/>
  <c r="T103" i="4" s="1"/>
  <c r="D95"/>
  <c r="F95"/>
  <c r="H95"/>
  <c r="J95"/>
  <c r="L95"/>
  <c r="B95"/>
  <c r="C95"/>
  <c r="E95"/>
  <c r="G95"/>
  <c r="I95"/>
  <c r="K95"/>
  <c r="M95"/>
  <c r="I42" l="1"/>
  <c r="BV34"/>
  <c r="CC32"/>
  <c r="CG32"/>
  <c r="CI32" s="1"/>
  <c r="CL32" s="1"/>
  <c r="CN31"/>
  <c r="CS31" s="1"/>
  <c r="CU31" s="1"/>
  <c r="CP31"/>
  <c r="CQ31" s="1"/>
  <c r="BZ33"/>
  <c r="BW74"/>
  <c r="P64" i="6"/>
  <c r="Q64" s="1"/>
  <c r="U103" i="4"/>
  <c r="CU8"/>
  <c r="CQ8"/>
  <c r="U56" i="6"/>
  <c r="I67"/>
  <c r="R57"/>
  <c r="CK32" i="4" l="1"/>
  <c r="J42"/>
  <c r="BV35"/>
  <c r="CC33"/>
  <c r="CG33"/>
  <c r="CI33" s="1"/>
  <c r="CL33" s="1"/>
  <c r="CN32"/>
  <c r="CS32" s="1"/>
  <c r="CU32" s="1"/>
  <c r="CP32"/>
  <c r="CQ32" s="1"/>
  <c r="BW75"/>
  <c r="BZ34"/>
  <c r="E66" i="6"/>
  <c r="J67"/>
  <c r="V56"/>
  <c r="S57"/>
  <c r="R59"/>
  <c r="V103" i="4" s="1"/>
  <c r="K42" l="1"/>
  <c r="BV36"/>
  <c r="CG34"/>
  <c r="CI34" s="1"/>
  <c r="CL34" s="1"/>
  <c r="CC34"/>
  <c r="CK34"/>
  <c r="BZ35"/>
  <c r="BW76"/>
  <c r="CK33"/>
  <c r="R64" i="6"/>
  <c r="F66"/>
  <c r="W56"/>
  <c r="K67"/>
  <c r="T57"/>
  <c r="S59"/>
  <c r="W103" i="4" s="1"/>
  <c r="BV37" l="1"/>
  <c r="BT37"/>
  <c r="L42"/>
  <c r="CP34"/>
  <c r="CQ34" s="1"/>
  <c r="CN34"/>
  <c r="CS34" s="1"/>
  <c r="CU34" s="1"/>
  <c r="CN33"/>
  <c r="CS33" s="1"/>
  <c r="CU33" s="1"/>
  <c r="CP33"/>
  <c r="CQ33" s="1"/>
  <c r="CG35"/>
  <c r="CI35" s="1"/>
  <c r="CL35" s="1"/>
  <c r="CC35"/>
  <c r="BZ36"/>
  <c r="BW77"/>
  <c r="BV42"/>
  <c r="BW83" s="1"/>
  <c r="S64" i="6"/>
  <c r="G66"/>
  <c r="X56"/>
  <c r="L67"/>
  <c r="U57"/>
  <c r="T59"/>
  <c r="CK35" i="4" l="1"/>
  <c r="M42"/>
  <c r="CC36"/>
  <c r="CG36"/>
  <c r="CK36"/>
  <c r="CN35"/>
  <c r="CS35" s="1"/>
  <c r="CP35"/>
  <c r="CQ35" s="1"/>
  <c r="BW78"/>
  <c r="BZ37"/>
  <c r="T64" i="6"/>
  <c r="X103" i="4"/>
  <c r="H66" i="6"/>
  <c r="Y56"/>
  <c r="M67"/>
  <c r="V57"/>
  <c r="U59"/>
  <c r="N42" i="4" l="1"/>
  <c r="CG37"/>
  <c r="CI37" s="1"/>
  <c r="CL37" s="1"/>
  <c r="CC37"/>
  <c r="CC42" s="1"/>
  <c r="CK37"/>
  <c r="CU35"/>
  <c r="BZ42"/>
  <c r="CP36"/>
  <c r="U64" i="6"/>
  <c r="J66" s="1"/>
  <c r="CI36" i="4"/>
  <c r="CG42"/>
  <c r="CG44" s="1"/>
  <c r="I66" i="6"/>
  <c r="Z56"/>
  <c r="N67"/>
  <c r="Y103" i="4"/>
  <c r="W57" i="6"/>
  <c r="V59"/>
  <c r="Z103" i="4" s="1"/>
  <c r="O42" l="1"/>
  <c r="CP37"/>
  <c r="CQ37" s="1"/>
  <c r="CN37"/>
  <c r="CS37" s="1"/>
  <c r="CU37" s="1"/>
  <c r="CK42"/>
  <c r="CL36"/>
  <c r="CN36" s="1"/>
  <c r="CI42"/>
  <c r="CQ36"/>
  <c r="AB94"/>
  <c r="AF94"/>
  <c r="Q94"/>
  <c r="AH94"/>
  <c r="C94"/>
  <c r="AV94"/>
  <c r="AS94"/>
  <c r="D94"/>
  <c r="AM94"/>
  <c r="AW94"/>
  <c r="X94"/>
  <c r="H94"/>
  <c r="AI94"/>
  <c r="O94"/>
  <c r="E94"/>
  <c r="F94"/>
  <c r="AJ94"/>
  <c r="U94"/>
  <c r="R94"/>
  <c r="K94"/>
  <c r="AD94"/>
  <c r="T94"/>
  <c r="AE94"/>
  <c r="AN94"/>
  <c r="AK94"/>
  <c r="AR94"/>
  <c r="AO94"/>
  <c r="P94"/>
  <c r="Y94"/>
  <c r="V94"/>
  <c r="B94"/>
  <c r="Z94"/>
  <c r="AA94"/>
  <c r="AQ94"/>
  <c r="AL94"/>
  <c r="I94"/>
  <c r="G94"/>
  <c r="AP94"/>
  <c r="AC94"/>
  <c r="L94"/>
  <c r="S94"/>
  <c r="AU94"/>
  <c r="W94"/>
  <c r="AT94"/>
  <c r="AG94"/>
  <c r="M94"/>
  <c r="J94"/>
  <c r="N94"/>
  <c r="V64" i="6"/>
  <c r="AA56"/>
  <c r="AB56" s="1"/>
  <c r="O67"/>
  <c r="X57"/>
  <c r="W59"/>
  <c r="AA103" i="4" s="1"/>
  <c r="CQ42" l="1"/>
  <c r="CL42"/>
  <c r="CP42"/>
  <c r="P42"/>
  <c r="AR99"/>
  <c r="V99"/>
  <c r="AO99"/>
  <c r="U99"/>
  <c r="AE99"/>
  <c r="O99"/>
  <c r="AG99"/>
  <c r="AJ99"/>
  <c r="AV99"/>
  <c r="AC99"/>
  <c r="AS99"/>
  <c r="AD99"/>
  <c r="W99"/>
  <c r="P99"/>
  <c r="AI99"/>
  <c r="AU99"/>
  <c r="N99"/>
  <c r="AL99"/>
  <c r="AM99"/>
  <c r="Z99"/>
  <c r="AW99"/>
  <c r="T99"/>
  <c r="AF99"/>
  <c r="AQ99"/>
  <c r="AH99"/>
  <c r="AA99"/>
  <c r="AT99"/>
  <c r="R99"/>
  <c r="X99"/>
  <c r="AB99"/>
  <c r="AP99"/>
  <c r="Q99"/>
  <c r="S99"/>
  <c r="Y99"/>
  <c r="AN99"/>
  <c r="AK99"/>
  <c r="AV98"/>
  <c r="O98"/>
  <c r="Q98"/>
  <c r="U98"/>
  <c r="AB98"/>
  <c r="AE98"/>
  <c r="AJ98"/>
  <c r="N98"/>
  <c r="AM98"/>
  <c r="AF98"/>
  <c r="AA98"/>
  <c r="AD98"/>
  <c r="P98"/>
  <c r="AH98"/>
  <c r="AK98"/>
  <c r="AL98"/>
  <c r="AW98"/>
  <c r="AG98"/>
  <c r="AQ98"/>
  <c r="X98"/>
  <c r="AP98"/>
  <c r="S98"/>
  <c r="Y98"/>
  <c r="AU98"/>
  <c r="AT98"/>
  <c r="AI98"/>
  <c r="AN98"/>
  <c r="V98"/>
  <c r="AS98"/>
  <c r="R98"/>
  <c r="Z98"/>
  <c r="AC98"/>
  <c r="AO98"/>
  <c r="AR98"/>
  <c r="W98"/>
  <c r="T98"/>
  <c r="AV96"/>
  <c r="R96"/>
  <c r="C96"/>
  <c r="C102" s="1"/>
  <c r="C104" s="1"/>
  <c r="C106" s="1"/>
  <c r="AS96"/>
  <c r="S96"/>
  <c r="AJ96"/>
  <c r="AU96"/>
  <c r="D96"/>
  <c r="I96"/>
  <c r="I102" s="1"/>
  <c r="AA96"/>
  <c r="T96"/>
  <c r="J96"/>
  <c r="J102" s="1"/>
  <c r="AN96"/>
  <c r="AT96"/>
  <c r="Z96"/>
  <c r="AO96"/>
  <c r="AM96"/>
  <c r="V96"/>
  <c r="G96"/>
  <c r="G102" s="1"/>
  <c r="G104" s="1"/>
  <c r="G106" s="1"/>
  <c r="AB96"/>
  <c r="E96"/>
  <c r="E102" s="1"/>
  <c r="E104" s="1"/>
  <c r="E106" s="1"/>
  <c r="Q96"/>
  <c r="P96"/>
  <c r="B96"/>
  <c r="B102" s="1"/>
  <c r="B104" s="1"/>
  <c r="B106" s="1"/>
  <c r="B107" s="1"/>
  <c r="H96"/>
  <c r="H102" s="1"/>
  <c r="N96"/>
  <c r="AK96"/>
  <c r="AL96"/>
  <c r="AR96"/>
  <c r="Y96"/>
  <c r="AC96"/>
  <c r="AQ96"/>
  <c r="O96"/>
  <c r="O102" s="1"/>
  <c r="O104" s="1"/>
  <c r="O106" s="1"/>
  <c r="K96"/>
  <c r="K102" s="1"/>
  <c r="AF96"/>
  <c r="M96"/>
  <c r="M102" s="1"/>
  <c r="AG96"/>
  <c r="U96"/>
  <c r="F96"/>
  <c r="F102" s="1"/>
  <c r="F104" s="1"/>
  <c r="F106" s="1"/>
  <c r="AI96"/>
  <c r="AD96"/>
  <c r="AE96"/>
  <c r="L96"/>
  <c r="L102" s="1"/>
  <c r="X96"/>
  <c r="X102" s="1"/>
  <c r="T60" i="6" s="1"/>
  <c r="T61" s="1"/>
  <c r="T62" s="1"/>
  <c r="AP96" i="4"/>
  <c r="AH96"/>
  <c r="W96"/>
  <c r="W102" s="1"/>
  <c r="AW96"/>
  <c r="D102"/>
  <c r="D104" s="1"/>
  <c r="D106" s="1"/>
  <c r="CS36"/>
  <c r="CN42"/>
  <c r="CK44"/>
  <c r="W64" i="6"/>
  <c r="K66"/>
  <c r="P67"/>
  <c r="Y57"/>
  <c r="X59"/>
  <c r="AB103" i="4" s="1"/>
  <c r="N102" l="1"/>
  <c r="V102"/>
  <c r="R60" i="6" s="1"/>
  <c r="R61" s="1"/>
  <c r="R62" s="1"/>
  <c r="R102" i="4"/>
  <c r="K60" i="6"/>
  <c r="K61" s="1"/>
  <c r="K62" s="1"/>
  <c r="X104" i="4"/>
  <c r="X106" s="1"/>
  <c r="P102"/>
  <c r="C107"/>
  <c r="D107" s="1"/>
  <c r="E107" s="1"/>
  <c r="F107" s="1"/>
  <c r="G107" s="1"/>
  <c r="U102"/>
  <c r="Q60" i="6" s="1"/>
  <c r="Q61" s="1"/>
  <c r="Q62" s="1"/>
  <c r="Q102" i="4"/>
  <c r="R104"/>
  <c r="R106" s="1"/>
  <c r="N60" i="6"/>
  <c r="N61" s="1"/>
  <c r="N62" s="1"/>
  <c r="W104" i="4"/>
  <c r="W106" s="1"/>
  <c r="S60" i="6"/>
  <c r="S61" s="1"/>
  <c r="S62" s="1"/>
  <c r="Q104" i="4"/>
  <c r="Q106" s="1"/>
  <c r="M60" i="6"/>
  <c r="M61" s="1"/>
  <c r="M62" s="1"/>
  <c r="N104" i="4"/>
  <c r="N106" s="1"/>
  <c r="J60" i="6"/>
  <c r="J61" s="1"/>
  <c r="J62" s="1"/>
  <c r="K104" i="4"/>
  <c r="K106" s="1"/>
  <c r="G60" i="6"/>
  <c r="G61" s="1"/>
  <c r="G62" s="1"/>
  <c r="D60"/>
  <c r="D61" s="1"/>
  <c r="D62" s="1"/>
  <c r="H104" i="4"/>
  <c r="H106" s="1"/>
  <c r="I104"/>
  <c r="I106" s="1"/>
  <c r="E60" i="6"/>
  <c r="E61" s="1"/>
  <c r="E62" s="1"/>
  <c r="S102" i="4"/>
  <c r="V104"/>
  <c r="V106" s="1"/>
  <c r="M104"/>
  <c r="M106" s="1"/>
  <c r="I60" i="6"/>
  <c r="I61" s="1"/>
  <c r="I62" s="1"/>
  <c r="J104" i="4"/>
  <c r="J106" s="1"/>
  <c r="F60" i="6"/>
  <c r="F61" s="1"/>
  <c r="F62" s="1"/>
  <c r="Y102" i="4"/>
  <c r="CU36"/>
  <c r="CU42" s="1"/>
  <c r="CS42"/>
  <c r="H60" i="6"/>
  <c r="H61" s="1"/>
  <c r="H62" s="1"/>
  <c r="L104" i="4"/>
  <c r="L106" s="1"/>
  <c r="T102"/>
  <c r="CK45"/>
  <c r="CK46" s="1"/>
  <c r="CS44"/>
  <c r="CS45" s="1"/>
  <c r="X64" i="6"/>
  <c r="Q67"/>
  <c r="L66"/>
  <c r="Z57"/>
  <c r="Y59"/>
  <c r="AC103" i="4" s="1"/>
  <c r="L60" i="6" l="1"/>
  <c r="L61" s="1"/>
  <c r="L62" s="1"/>
  <c r="P104" i="4"/>
  <c r="P106" s="1"/>
  <c r="U104"/>
  <c r="U106" s="1"/>
  <c r="U60" i="6"/>
  <c r="U61" s="1"/>
  <c r="U62" s="1"/>
  <c r="Y104" i="4"/>
  <c r="Y106" s="1"/>
  <c r="T104"/>
  <c r="T106" s="1"/>
  <c r="P60" i="6"/>
  <c r="P61" s="1"/>
  <c r="P62" s="1"/>
  <c r="S104" i="4"/>
  <c r="S106" s="1"/>
  <c r="O60" i="6"/>
  <c r="O61" s="1"/>
  <c r="O62" s="1"/>
  <c r="H107" i="4"/>
  <c r="Y64" i="6"/>
  <c r="M66"/>
  <c r="AA57"/>
  <c r="Z59"/>
  <c r="AD103" i="4" s="1"/>
  <c r="I107" l="1"/>
  <c r="J107" s="1"/>
  <c r="K107" s="1"/>
  <c r="L107" s="1"/>
  <c r="M107" s="1"/>
  <c r="N107" s="1"/>
  <c r="O107" s="1"/>
  <c r="P107" s="1"/>
  <c r="Q107" s="1"/>
  <c r="R107" s="1"/>
  <c r="S107" s="1"/>
  <c r="T107" s="1"/>
  <c r="U107" s="1"/>
  <c r="V107" s="1"/>
  <c r="W107" s="1"/>
  <c r="X107" s="1"/>
  <c r="Y107" s="1"/>
  <c r="D63" i="6"/>
  <c r="E63" s="1"/>
  <c r="F63" s="1"/>
  <c r="G63" s="1"/>
  <c r="H63" s="1"/>
  <c r="I63" s="1"/>
  <c r="J63" s="1"/>
  <c r="K63" s="1"/>
  <c r="L63" s="1"/>
  <c r="Z64"/>
  <c r="N66"/>
  <c r="AB57"/>
  <c r="AA59"/>
  <c r="AE103" i="4" s="1"/>
  <c r="AA64" i="6" l="1"/>
  <c r="O66"/>
  <c r="M63"/>
  <c r="AB59"/>
  <c r="AB64" l="1"/>
  <c r="AF103" i="4"/>
  <c r="P66" i="6"/>
  <c r="N63"/>
  <c r="Q66" l="1"/>
  <c r="O63"/>
  <c r="P63" l="1"/>
  <c r="E65" s="1"/>
  <c r="Q63" l="1"/>
  <c r="F65" s="1"/>
  <c r="R63" l="1"/>
  <c r="G65" s="1"/>
  <c r="S63" l="1"/>
  <c r="H65" s="1"/>
  <c r="T63" l="1"/>
  <c r="I65" l="1"/>
  <c r="U63"/>
  <c r="J65" s="1"/>
  <c r="AC51" l="1"/>
  <c r="AC57" s="1"/>
  <c r="AC56" l="1"/>
  <c r="R67" s="1"/>
  <c r="AC59"/>
  <c r="AC64" s="1"/>
  <c r="AG103" i="4" l="1"/>
  <c r="R66" i="6" l="1"/>
  <c r="CV18" i="4"/>
  <c r="CV27"/>
  <c r="CV15"/>
  <c r="CV19"/>
  <c r="CV20"/>
  <c r="CV21"/>
  <c r="CV35"/>
  <c r="CV29"/>
  <c r="CV14"/>
  <c r="CV22"/>
  <c r="CV33"/>
  <c r="BT29"/>
  <c r="CV34"/>
  <c r="BT16"/>
  <c r="BT19"/>
  <c r="CV26"/>
  <c r="CV12"/>
  <c r="CV13"/>
  <c r="CV30"/>
  <c r="CV11"/>
  <c r="CV17"/>
  <c r="CV37"/>
  <c r="CV25"/>
  <c r="BT35"/>
  <c r="BT20"/>
  <c r="BT32"/>
  <c r="CV36"/>
  <c r="BT15"/>
  <c r="CV16"/>
  <c r="BT17"/>
  <c r="CV28"/>
  <c r="BT30"/>
  <c r="BT31"/>
  <c r="BT18"/>
  <c r="BT41"/>
  <c r="CV24"/>
  <c r="BT10"/>
  <c r="BT11"/>
  <c r="BT12"/>
  <c r="BT38"/>
  <c r="BT40"/>
  <c r="BT25"/>
  <c r="BT26"/>
  <c r="BT28"/>
  <c r="BT36"/>
  <c r="BT24"/>
  <c r="CV23"/>
  <c r="CV31"/>
  <c r="BT21"/>
  <c r="BT23"/>
  <c r="BT39"/>
  <c r="BT34"/>
  <c r="BT22"/>
  <c r="BT13"/>
  <c r="CV10"/>
  <c r="BT42" l="1"/>
  <c r="BW39"/>
  <c r="BU80"/>
  <c r="BW40"/>
  <c r="BU81"/>
  <c r="BW41"/>
  <c r="BU82"/>
  <c r="BW38"/>
  <c r="BU79"/>
  <c r="AD51" i="6"/>
  <c r="AD57" s="1"/>
  <c r="AE57" s="1"/>
  <c r="AE59" s="1"/>
  <c r="BW20" i="4"/>
  <c r="BU61"/>
  <c r="BW23"/>
  <c r="BU64"/>
  <c r="BW33"/>
  <c r="BU74"/>
  <c r="BW25"/>
  <c r="BU66"/>
  <c r="BW36"/>
  <c r="BU77"/>
  <c r="BW11"/>
  <c r="BU52"/>
  <c r="BW17"/>
  <c r="BU58"/>
  <c r="BW28"/>
  <c r="BU69"/>
  <c r="BW16"/>
  <c r="BU57"/>
  <c r="BW14"/>
  <c r="BU55"/>
  <c r="BW30"/>
  <c r="BU71"/>
  <c r="BW32"/>
  <c r="BU73"/>
  <c r="BW15"/>
  <c r="BU56"/>
  <c r="BW27"/>
  <c r="BU68"/>
  <c r="CV42"/>
  <c r="AI101" s="1"/>
  <c r="AI102" s="1"/>
  <c r="AE60" i="6" s="1"/>
  <c r="BW13" i="4"/>
  <c r="BU54"/>
  <c r="BW21"/>
  <c r="BU62"/>
  <c r="BW31"/>
  <c r="BU72"/>
  <c r="BW35"/>
  <c r="BU76"/>
  <c r="BW22"/>
  <c r="BU63"/>
  <c r="BW26"/>
  <c r="BU67"/>
  <c r="BW24"/>
  <c r="BU65"/>
  <c r="BW34"/>
  <c r="BU75"/>
  <c r="BW12"/>
  <c r="BU53"/>
  <c r="BW10"/>
  <c r="BU51"/>
  <c r="BW37"/>
  <c r="BU78"/>
  <c r="BW29"/>
  <c r="BU70"/>
  <c r="BW19"/>
  <c r="BU60"/>
  <c r="BW18"/>
  <c r="BU59"/>
  <c r="BW42" l="1"/>
  <c r="AW101"/>
  <c r="AW102" s="1"/>
  <c r="AS60" i="6" s="1"/>
  <c r="AH101" i="4"/>
  <c r="AG101"/>
  <c r="AG102" s="1"/>
  <c r="AC60" i="6" s="1"/>
  <c r="AC61" s="1"/>
  <c r="AC62" s="1"/>
  <c r="AJ101" i="4"/>
  <c r="AJ102" s="1"/>
  <c r="AF60" i="6" s="1"/>
  <c r="AP101" i="4"/>
  <c r="AP102" s="1"/>
  <c r="AL60" i="6" s="1"/>
  <c r="AB101" i="4"/>
  <c r="AB102" s="1"/>
  <c r="AB104" s="1"/>
  <c r="AB106" s="1"/>
  <c r="AL101"/>
  <c r="AL102" s="1"/>
  <c r="AH60" i="6" s="1"/>
  <c r="AA101" i="4"/>
  <c r="AA102" s="1"/>
  <c r="AA104" s="1"/>
  <c r="AA106" s="1"/>
  <c r="AD101"/>
  <c r="AD102" s="1"/>
  <c r="AD104" s="1"/>
  <c r="AD106" s="1"/>
  <c r="AV101"/>
  <c r="AV102" s="1"/>
  <c r="AR60" i="6" s="1"/>
  <c r="AR101" i="4"/>
  <c r="AR102" s="1"/>
  <c r="AN60" i="6" s="1"/>
  <c r="AN101" i="4"/>
  <c r="AN102" s="1"/>
  <c r="AJ60" i="6" s="1"/>
  <c r="AO101" i="4"/>
  <c r="AO102" s="1"/>
  <c r="AK60" i="6" s="1"/>
  <c r="AH102" i="4"/>
  <c r="AD60" i="6" s="1"/>
  <c r="Z101" i="4"/>
  <c r="Z102" s="1"/>
  <c r="Z104" s="1"/>
  <c r="Z106" s="1"/>
  <c r="Z107" s="1"/>
  <c r="AU101"/>
  <c r="AU102" s="1"/>
  <c r="AQ60" i="6" s="1"/>
  <c r="AF101" i="4"/>
  <c r="AF102" s="1"/>
  <c r="AF104" s="1"/>
  <c r="AF106" s="1"/>
  <c r="AT101"/>
  <c r="AT102" s="1"/>
  <c r="AP60" i="6" s="1"/>
  <c r="AS101" i="4"/>
  <c r="AS102" s="1"/>
  <c r="AO60" i="6" s="1"/>
  <c r="AE101" i="4"/>
  <c r="AE102" s="1"/>
  <c r="AA60" i="6" s="1"/>
  <c r="AA61" s="1"/>
  <c r="AA62" s="1"/>
  <c r="AK101" i="4"/>
  <c r="AK102" s="1"/>
  <c r="AG60" i="6" s="1"/>
  <c r="AQ101" i="4"/>
  <c r="AQ102" s="1"/>
  <c r="AM60" i="6" s="1"/>
  <c r="AC101" i="4"/>
  <c r="AC102" s="1"/>
  <c r="AC104" s="1"/>
  <c r="AC106" s="1"/>
  <c r="AM101"/>
  <c r="AM102" s="1"/>
  <c r="AI60" i="6" s="1"/>
  <c r="AD56"/>
  <c r="AE56" s="1"/>
  <c r="AD59"/>
  <c r="AD64" s="1"/>
  <c r="AE64" s="1"/>
  <c r="AG104" i="4" l="1"/>
  <c r="AG106" s="1"/>
  <c r="V60" i="6"/>
  <c r="V61" s="1"/>
  <c r="V62" s="1"/>
  <c r="V63" s="1"/>
  <c r="K65" s="1"/>
  <c r="AE104" i="4"/>
  <c r="AE106" s="1"/>
  <c r="AF56" i="6"/>
  <c r="AF57"/>
  <c r="AF59" s="1"/>
  <c r="AF61" s="1"/>
  <c r="AF62" s="1"/>
  <c r="X60"/>
  <c r="X61" s="1"/>
  <c r="X62" s="1"/>
  <c r="AB60"/>
  <c r="AB61" s="1"/>
  <c r="AB62" s="1"/>
  <c r="W60"/>
  <c r="W61" s="1"/>
  <c r="W62" s="1"/>
  <c r="Z60"/>
  <c r="Z61" s="1"/>
  <c r="Z62" s="1"/>
  <c r="Y60"/>
  <c r="Y61" s="1"/>
  <c r="Y62" s="1"/>
  <c r="S67"/>
  <c r="AH103" i="4"/>
  <c r="AH104" s="1"/>
  <c r="AH106" s="1"/>
  <c r="AD61" i="6"/>
  <c r="AD62" s="1"/>
  <c r="T67"/>
  <c r="AA107" i="4"/>
  <c r="AB107" s="1"/>
  <c r="AC107" s="1"/>
  <c r="AD107" s="1"/>
  <c r="AE107" s="1"/>
  <c r="AF107" s="1"/>
  <c r="AG107" l="1"/>
  <c r="AH107" s="1"/>
  <c r="W63" i="6"/>
  <c r="L65" s="1"/>
  <c r="AF64"/>
  <c r="AI103" i="4"/>
  <c r="AI104" s="1"/>
  <c r="AI106" s="1"/>
  <c r="AE61" i="6"/>
  <c r="AE62" s="1"/>
  <c r="T66"/>
  <c r="S66"/>
  <c r="AG56"/>
  <c r="U67"/>
  <c r="AG57"/>
  <c r="AH57" s="1"/>
  <c r="X63" l="1"/>
  <c r="M65" s="1"/>
  <c r="AI107" i="4"/>
  <c r="AH56" i="6"/>
  <c r="W67" s="1"/>
  <c r="V67"/>
  <c r="AG59"/>
  <c r="AG64" s="1"/>
  <c r="AJ103" i="4"/>
  <c r="AJ104" s="1"/>
  <c r="AJ106" s="1"/>
  <c r="Y63" i="6" l="1"/>
  <c r="N65" s="1"/>
  <c r="AJ107" i="4"/>
  <c r="AH59" i="6"/>
  <c r="AH64" s="1"/>
  <c r="AI57"/>
  <c r="Z63"/>
  <c r="O65" s="1"/>
  <c r="V66"/>
  <c r="U66"/>
  <c r="AG61"/>
  <c r="AG62" s="1"/>
  <c r="AK103" i="4"/>
  <c r="AK104" s="1"/>
  <c r="AK106" s="1"/>
  <c r="AI56" i="6"/>
  <c r="AK107" i="4" l="1"/>
  <c r="AJ56" i="6"/>
  <c r="Y67" s="1"/>
  <c r="X67"/>
  <c r="AA63"/>
  <c r="AI59"/>
  <c r="AI64" s="1"/>
  <c r="AJ57"/>
  <c r="AL103" i="4"/>
  <c r="AL104" s="1"/>
  <c r="AL106" s="1"/>
  <c r="AH61" i="6"/>
  <c r="AH62" s="1"/>
  <c r="AL107" i="4" l="1"/>
  <c r="W66" i="6"/>
  <c r="AM103" i="4"/>
  <c r="AM104" s="1"/>
  <c r="AM106" s="1"/>
  <c r="AI61" i="6"/>
  <c r="AI62" s="1"/>
  <c r="AJ59"/>
  <c r="AJ64" s="1"/>
  <c r="AK57"/>
  <c r="AB63"/>
  <c r="Q65" s="1"/>
  <c r="P65"/>
  <c r="AK56"/>
  <c r="AM107" i="4" l="1"/>
  <c r="AL56" i="6"/>
  <c r="AA67" s="1"/>
  <c r="Z67"/>
  <c r="AN103" i="4"/>
  <c r="AN104" s="1"/>
  <c r="AN106" s="1"/>
  <c r="AN107" s="1"/>
  <c r="AJ61" i="6"/>
  <c r="AJ62" s="1"/>
  <c r="AC63"/>
  <c r="R65" s="1"/>
  <c r="AK59"/>
  <c r="AK64" s="1"/>
  <c r="AL57"/>
  <c r="X66"/>
  <c r="Y66" l="1"/>
  <c r="AO103" i="4"/>
  <c r="AO104" s="1"/>
  <c r="AO106" s="1"/>
  <c r="AO107" s="1"/>
  <c r="AK61" i="6"/>
  <c r="AK62" s="1"/>
  <c r="AL59"/>
  <c r="AL64" s="1"/>
  <c r="AM57"/>
  <c r="AD63"/>
  <c r="AE63" s="1"/>
  <c r="AM56"/>
  <c r="AN56" l="1"/>
  <c r="AC67" s="1"/>
  <c r="S65"/>
  <c r="AP103" i="4"/>
  <c r="AP104" s="1"/>
  <c r="AP106" s="1"/>
  <c r="AP107" s="1"/>
  <c r="AL61" i="6"/>
  <c r="AL62" s="1"/>
  <c r="AB67"/>
  <c r="Z66"/>
  <c r="AM59"/>
  <c r="AM64" s="1"/>
  <c r="AN57"/>
  <c r="AN59" l="1"/>
  <c r="AN64" s="1"/>
  <c r="AO57"/>
  <c r="AQ103" i="4"/>
  <c r="AQ104" s="1"/>
  <c r="AQ106" s="1"/>
  <c r="AQ107" s="1"/>
  <c r="AM61" i="6"/>
  <c r="AM62" s="1"/>
  <c r="AF63"/>
  <c r="T65"/>
  <c r="AO56"/>
  <c r="AD67" s="1"/>
  <c r="AA66"/>
  <c r="U65" l="1"/>
  <c r="AB66"/>
  <c r="AO59"/>
  <c r="AO64" s="1"/>
  <c r="AP57"/>
  <c r="AP56"/>
  <c r="AG63"/>
  <c r="AR103" i="4"/>
  <c r="AR104" s="1"/>
  <c r="AR106" s="1"/>
  <c r="AR107" s="1"/>
  <c r="AN61" i="6"/>
  <c r="AN62" s="1"/>
  <c r="C6" i="7" l="1"/>
  <c r="C8" s="1"/>
  <c r="C14" s="1"/>
  <c r="AE67" i="6"/>
  <c r="AH63"/>
  <c r="W65" s="1"/>
  <c r="V65"/>
  <c r="AQ56"/>
  <c r="AF67" s="1"/>
  <c r="AC66"/>
  <c r="AS103" i="4"/>
  <c r="AS104" s="1"/>
  <c r="AS106" s="1"/>
  <c r="AS107" s="1"/>
  <c r="AO61" i="6"/>
  <c r="AO62" s="1"/>
  <c r="AP59"/>
  <c r="AP64" s="1"/>
  <c r="AE66" s="1"/>
  <c r="AQ57"/>
  <c r="AD66" l="1"/>
  <c r="AR56"/>
  <c r="AT103" i="4"/>
  <c r="AT104" s="1"/>
  <c r="AT106" s="1"/>
  <c r="AT107" s="1"/>
  <c r="AP61" i="6"/>
  <c r="AP62" s="1"/>
  <c r="AR57"/>
  <c r="AQ59"/>
  <c r="AQ64" s="1"/>
  <c r="AF66" s="1"/>
  <c r="AI63"/>
  <c r="AG67" l="1"/>
  <c r="D69" s="1"/>
  <c r="X65"/>
  <c r="AS57"/>
  <c r="AS59" s="1"/>
  <c r="AR59"/>
  <c r="AR64" s="1"/>
  <c r="AS56"/>
  <c r="AS67" s="1"/>
  <c r="AJ63"/>
  <c r="Y65" s="1"/>
  <c r="AU103" i="4"/>
  <c r="AU104" s="1"/>
  <c r="AU106" s="1"/>
  <c r="AU107" s="1"/>
  <c r="AQ61" i="6"/>
  <c r="AQ62" s="1"/>
  <c r="AS64" l="1"/>
  <c r="AH67"/>
  <c r="AQ67"/>
  <c r="AK63"/>
  <c r="Z65" s="1"/>
  <c r="AO67"/>
  <c r="AW103" i="4"/>
  <c r="AW104" s="1"/>
  <c r="AW106" s="1"/>
  <c r="AS61" i="6"/>
  <c r="AS62" s="1"/>
  <c r="AG66"/>
  <c r="C9" i="7" s="1"/>
  <c r="AJ67" i="6"/>
  <c r="AL67"/>
  <c r="AI67"/>
  <c r="AR67"/>
  <c r="AK67"/>
  <c r="AM67"/>
  <c r="AP67"/>
  <c r="AN67"/>
  <c r="AV103" i="4"/>
  <c r="AV104" s="1"/>
  <c r="AV106" s="1"/>
  <c r="AV107" s="1"/>
  <c r="AR61" i="6"/>
  <c r="AR62" s="1"/>
  <c r="AW107" i="4" l="1"/>
  <c r="AL63" i="6"/>
  <c r="AA65" s="1"/>
  <c r="AS66"/>
  <c r="AH66" l="1"/>
  <c r="AQ66"/>
  <c r="AK66"/>
  <c r="AI66"/>
  <c r="AM66"/>
  <c r="AO66"/>
  <c r="AJ66"/>
  <c r="AL66"/>
  <c r="AN66"/>
  <c r="AP66"/>
  <c r="AM63"/>
  <c r="AB65" s="1"/>
  <c r="AR66"/>
  <c r="AN63" l="1"/>
  <c r="AC65" s="1"/>
  <c r="AO63" l="1"/>
  <c r="AD65" l="1"/>
  <c r="AP63"/>
  <c r="AE65" l="1"/>
  <c r="AQ63"/>
  <c r="AF65" s="1"/>
  <c r="AR63" l="1"/>
  <c r="AG65" s="1"/>
  <c r="C10" i="7" s="1"/>
  <c r="C11" s="1"/>
  <c r="C15" s="1"/>
  <c r="C13" l="1"/>
  <c r="C16" s="1"/>
  <c r="AS63" i="6"/>
  <c r="AH65" s="1"/>
  <c r="AN65" l="1"/>
  <c r="C20" i="7"/>
  <c r="C22" s="1"/>
  <c r="AK65" i="6"/>
  <c r="AO65"/>
  <c r="AM65"/>
  <c r="AQ65"/>
  <c r="AI65"/>
  <c r="AL65"/>
  <c r="AJ65"/>
  <c r="AP65"/>
  <c r="AS65"/>
  <c r="AR65"/>
  <c r="G17" i="8" l="1"/>
  <c r="G15" s="1"/>
  <c r="K49" i="9" s="1"/>
  <c r="L49" s="1"/>
  <c r="L46" s="1"/>
  <c r="M46" s="1"/>
  <c r="L47" l="1"/>
  <c r="M47" s="1"/>
  <c r="G11" i="8"/>
  <c r="K17" i="9" s="1"/>
  <c r="L17" s="1"/>
  <c r="M17" s="1"/>
  <c r="L45"/>
  <c r="M45" s="1"/>
  <c r="G9" i="8"/>
  <c r="K12" i="9" s="1"/>
  <c r="L12" s="1"/>
  <c r="L10" s="1"/>
  <c r="M10" s="1"/>
  <c r="G14" i="8"/>
  <c r="K66" i="9" s="1"/>
  <c r="L66" s="1"/>
  <c r="M66" s="1"/>
  <c r="G13" i="8"/>
  <c r="K60" i="9" s="1"/>
  <c r="L60" s="1"/>
  <c r="L55" s="1"/>
  <c r="M55" s="1"/>
  <c r="G10" i="8"/>
  <c r="K30" i="9" s="1"/>
  <c r="L30" s="1"/>
  <c r="L27" s="1"/>
  <c r="M27" s="1"/>
  <c r="G12" i="8"/>
  <c r="K39" i="9" s="1"/>
  <c r="L39" s="1"/>
  <c r="L36" s="1"/>
  <c r="M36" s="1"/>
  <c r="O46"/>
  <c r="K46"/>
  <c r="K55" l="1"/>
  <c r="O10"/>
  <c r="C36" i="10" s="1"/>
  <c r="G16" s="1"/>
  <c r="I16" s="1"/>
  <c r="O17" i="9"/>
  <c r="K36"/>
  <c r="L7"/>
  <c r="M7" s="1"/>
  <c r="K7" s="1"/>
  <c r="K27"/>
  <c r="O66"/>
  <c r="K45"/>
  <c r="O47"/>
  <c r="K47"/>
  <c r="L25"/>
  <c r="M25" s="1"/>
  <c r="O25" s="1"/>
  <c r="O45"/>
  <c r="L11"/>
  <c r="M11" s="1"/>
  <c r="O11" s="1"/>
  <c r="L57"/>
  <c r="M57" s="1"/>
  <c r="K10"/>
  <c r="L8"/>
  <c r="M8" s="1"/>
  <c r="K8" s="1"/>
  <c r="K69"/>
  <c r="L37"/>
  <c r="M37" s="1"/>
  <c r="L23"/>
  <c r="M23" s="1"/>
  <c r="L24"/>
  <c r="M24" s="1"/>
  <c r="L58"/>
  <c r="M58" s="1"/>
  <c r="O58" s="1"/>
  <c r="O55"/>
  <c r="O36"/>
  <c r="L56"/>
  <c r="M56" s="1"/>
  <c r="L38"/>
  <c r="M38" s="1"/>
  <c r="L59"/>
  <c r="M59" s="1"/>
  <c r="L28"/>
  <c r="M28" s="1"/>
  <c r="L29"/>
  <c r="M29" s="1"/>
  <c r="O27"/>
  <c r="G14" i="10" l="1"/>
  <c r="I14" s="1"/>
  <c r="G19"/>
  <c r="I19" s="1"/>
  <c r="O7" i="9"/>
  <c r="D36" i="10" s="1"/>
  <c r="G20" s="1"/>
  <c r="I20" s="1"/>
  <c r="G13"/>
  <c r="I13" s="1"/>
  <c r="G18"/>
  <c r="I18" s="1"/>
  <c r="G17"/>
  <c r="I17" s="1"/>
  <c r="G15"/>
  <c r="I15" s="1"/>
  <c r="O38" i="9"/>
  <c r="O59"/>
  <c r="O56"/>
  <c r="O24"/>
  <c r="K37"/>
  <c r="O8"/>
  <c r="O57"/>
  <c r="K58"/>
  <c r="K11"/>
  <c r="K25"/>
  <c r="K24"/>
  <c r="K56"/>
  <c r="K59"/>
  <c r="O37"/>
  <c r="K57"/>
  <c r="K38"/>
  <c r="K23"/>
  <c r="O23"/>
  <c r="K29"/>
  <c r="O29"/>
  <c r="O28"/>
  <c r="K28"/>
  <c r="G12" i="10" l="1"/>
  <c r="I12" s="1"/>
  <c r="G10"/>
  <c r="I10" s="1"/>
  <c r="G21"/>
  <c r="I21" s="1"/>
  <c r="G11"/>
  <c r="I11" s="1"/>
  <c r="G24" l="1"/>
  <c r="I24"/>
  <c r="I26" s="1"/>
</calcChain>
</file>

<file path=xl/comments1.xml><?xml version="1.0" encoding="utf-8"?>
<comments xmlns="http://schemas.openxmlformats.org/spreadsheetml/2006/main">
  <authors>
    <author>Summers</author>
    <author>Austin Summers</author>
  </authors>
  <commentList>
    <comment ref="CP3" authorId="0">
      <text>
        <r>
          <rPr>
            <b/>
            <sz val="9"/>
            <color indexed="81"/>
            <rFont val="Tahoma"/>
            <family val="2"/>
          </rPr>
          <t>Summers:</t>
        </r>
        <r>
          <rPr>
            <sz val="9"/>
            <color indexed="81"/>
            <rFont val="Tahoma"/>
            <family val="2"/>
          </rPr>
          <t xml:space="preserve">
Did not differentiate between 15 yr depr rate and 20 yr depr rate.  Everything that is closed to investment this year should get the 20 year rate, regardless of when the costs were acquired.</t>
        </r>
      </text>
    </comment>
    <comment ref="CO4" authorId="0">
      <text>
        <r>
          <rPr>
            <b/>
            <sz val="9"/>
            <color indexed="81"/>
            <rFont val="Tahoma"/>
            <family val="2"/>
          </rPr>
          <t>Summers:</t>
        </r>
        <r>
          <rPr>
            <sz val="9"/>
            <color indexed="81"/>
            <rFont val="Tahoma"/>
            <family val="2"/>
          </rPr>
          <t xml:space="preserve">
There is no split on closings in 2011.  Everything is 100% tax depr at the 20 yr rate.
However, costs were incurred before 2011, so there will be a split into allocation buckets based on when costs were incurred.</t>
        </r>
      </text>
    </comment>
    <comment ref="CV4" authorId="1">
      <text>
        <r>
          <rPr>
            <b/>
            <sz val="9"/>
            <color indexed="81"/>
            <rFont val="Tahoma"/>
            <family val="2"/>
          </rPr>
          <t>Austin Summers: 6/19/12</t>
        </r>
        <r>
          <rPr>
            <sz val="9"/>
            <color indexed="81"/>
            <rFont val="Tahoma"/>
            <family val="2"/>
          </rPr>
          <t xml:space="preserve">
No closing buckets because nothing closed in 2012 will get 100% bonus depreciation.</t>
        </r>
      </text>
    </comment>
  </commentList>
</comments>
</file>

<file path=xl/sharedStrings.xml><?xml version="1.0" encoding="utf-8"?>
<sst xmlns="http://schemas.openxmlformats.org/spreadsheetml/2006/main" count="748" uniqueCount="389">
  <si>
    <t>Project</t>
  </si>
  <si>
    <t>2007-06-30</t>
  </si>
  <si>
    <t>2007-05-31</t>
  </si>
  <si>
    <t>2007-07-31</t>
  </si>
  <si>
    <t>2007-10-31</t>
  </si>
  <si>
    <t>2007-12-31</t>
  </si>
  <si>
    <t>2007-11-30</t>
  </si>
  <si>
    <t>2008-01-31</t>
  </si>
  <si>
    <t>2008-02-29</t>
  </si>
  <si>
    <t>2008-03-31</t>
  </si>
  <si>
    <t>2010-06-30</t>
  </si>
  <si>
    <t>2008-07-31</t>
  </si>
  <si>
    <t>01006822</t>
  </si>
  <si>
    <t>2008-06-30</t>
  </si>
  <si>
    <t>2008-08-31</t>
  </si>
  <si>
    <t>2008-12-31</t>
  </si>
  <si>
    <t>2008-11-30</t>
  </si>
  <si>
    <t>2009-09-30</t>
  </si>
  <si>
    <t>2009-10-31</t>
  </si>
  <si>
    <t>2009-05-31</t>
  </si>
  <si>
    <t>2009-03-31</t>
  </si>
  <si>
    <t>2007-04-30</t>
  </si>
  <si>
    <t>2007-09-30</t>
  </si>
  <si>
    <t>2008-04-30</t>
  </si>
  <si>
    <t>2008-05-31</t>
  </si>
  <si>
    <t>2009-02-28</t>
  </si>
  <si>
    <t>2009-11-30</t>
  </si>
  <si>
    <t>2008-10-31</t>
  </si>
  <si>
    <t>2008-09-30</t>
  </si>
  <si>
    <t>2009-07-31</t>
  </si>
  <si>
    <t>2011-02-28</t>
  </si>
  <si>
    <t>01006824</t>
  </si>
  <si>
    <t>2009-01-31</t>
  </si>
  <si>
    <t>2009-12-31</t>
  </si>
  <si>
    <t>2009-04-30</t>
  </si>
  <si>
    <t>2007-08-31</t>
  </si>
  <si>
    <t>01007067</t>
  </si>
  <si>
    <t>2010-07-31</t>
  </si>
  <si>
    <t>2010-05-31</t>
  </si>
  <si>
    <t>2010-08-31</t>
  </si>
  <si>
    <t>2010-11-30</t>
  </si>
  <si>
    <t>2010-12-31</t>
  </si>
  <si>
    <t>2010-10-31</t>
  </si>
  <si>
    <t>2009-08-31</t>
  </si>
  <si>
    <t>2010-02-28</t>
  </si>
  <si>
    <t>2010-01-31</t>
  </si>
  <si>
    <t>2011-03-31</t>
  </si>
  <si>
    <t>2011-04-30</t>
  </si>
  <si>
    <t>2011-07-31</t>
  </si>
  <si>
    <t>2011-08-31</t>
  </si>
  <si>
    <t>2011-06-30</t>
  </si>
  <si>
    <t>2011-05-31</t>
  </si>
  <si>
    <t>2009-06-30</t>
  </si>
  <si>
    <t>2010-09-30</t>
  </si>
  <si>
    <t>2010-03-31</t>
  </si>
  <si>
    <t>2010-04-30</t>
  </si>
  <si>
    <t>2011-01-31</t>
  </si>
  <si>
    <t>01008213</t>
  </si>
  <si>
    <t>01009341</t>
  </si>
  <si>
    <t>01009359</t>
  </si>
  <si>
    <t>01009441</t>
  </si>
  <si>
    <t>01009497</t>
  </si>
  <si>
    <t>2007-03-31</t>
  </si>
  <si>
    <t>Grand Total</t>
  </si>
  <si>
    <t>Closed Prior to Tracker</t>
  </si>
  <si>
    <t>Amounts Closed</t>
  </si>
  <si>
    <t>Costs Incurred</t>
  </si>
  <si>
    <t>Tracker eligible costs</t>
  </si>
  <si>
    <t>prior costs not closed</t>
  </si>
  <si>
    <t>time frame</t>
  </si>
  <si>
    <t>Bonus Depreciation rate</t>
  </si>
  <si>
    <t>Depreciation schedule</t>
  </si>
  <si>
    <t>15 yr</t>
  </si>
  <si>
    <t>current yr costs</t>
  </si>
  <si>
    <t>20 yr</t>
  </si>
  <si>
    <t>Costs incurred as of 12/31/2009</t>
  </si>
  <si>
    <t>Cost Buckets</t>
  </si>
  <si>
    <t>Closing Buckets</t>
  </si>
  <si>
    <t>Total Closed</t>
  </si>
  <si>
    <t>Total Costs</t>
  </si>
  <si>
    <t>Closed</t>
  </si>
  <si>
    <t>closed 50% pd</t>
  </si>
  <si>
    <t>incurred 50% pd</t>
  </si>
  <si>
    <t>closed 100% pd</t>
  </si>
  <si>
    <t>incurred 100% pd</t>
  </si>
  <si>
    <t>2010 Bucket Allocations</t>
  </si>
  <si>
    <t>107 balance check</t>
  </si>
  <si>
    <t>Current Year Costs</t>
  </si>
  <si>
    <t>Total</t>
  </si>
  <si>
    <t>2011 Bucket Allocations</t>
  </si>
  <si>
    <t>Closed 100% pd</t>
  </si>
  <si>
    <t>RATES</t>
  </si>
  <si>
    <t>100% Bonus Deferred Tax Rate</t>
  </si>
  <si>
    <t>50% Bonus Deferred Tax Rate (15 yr)</t>
  </si>
  <si>
    <t>50% Bouns Deferred Tax Rate (20 yr)</t>
  </si>
  <si>
    <t>2010 Buckets</t>
  </si>
  <si>
    <t>Closed 50% pd, incurred 50% pd</t>
  </si>
  <si>
    <t>Closed 100% pd, incurred 100% pd</t>
  </si>
  <si>
    <t>Closed 100% pd, incurred 50 % pd</t>
  </si>
  <si>
    <t>Already in Rates</t>
  </si>
  <si>
    <t>Total In bucket</t>
  </si>
  <si>
    <t>2011 Buckets</t>
  </si>
  <si>
    <t>Closed 100% pd, incurred 50% pd</t>
  </si>
  <si>
    <t>Yr1</t>
  </si>
  <si>
    <t>Yr2</t>
  </si>
  <si>
    <t>Yr3</t>
  </si>
  <si>
    <t>Yr4</t>
  </si>
  <si>
    <t>Yr5</t>
  </si>
  <si>
    <t>Yr6</t>
  </si>
  <si>
    <t>Yr7</t>
  </si>
  <si>
    <t>Yr8</t>
  </si>
  <si>
    <t>Yr9</t>
  </si>
  <si>
    <t>Yr10</t>
  </si>
  <si>
    <t>Yr11</t>
  </si>
  <si>
    <t>Yr12</t>
  </si>
  <si>
    <t>Yr13</t>
  </si>
  <si>
    <t>Yr14</t>
  </si>
  <si>
    <t>Yr15</t>
  </si>
  <si>
    <t>Yr16</t>
  </si>
  <si>
    <t>Yr17</t>
  </si>
  <si>
    <t>Yr18</t>
  </si>
  <si>
    <t>Yr19</t>
  </si>
  <si>
    <t>Yr20</t>
  </si>
  <si>
    <t>Yr21</t>
  </si>
  <si>
    <t>Tax Depreciation Calculations</t>
  </si>
  <si>
    <t>Description</t>
  </si>
  <si>
    <t>FL 4 Install 28,000' of 24"</t>
  </si>
  <si>
    <t>FL11 Install 55,780' of 24"</t>
  </si>
  <si>
    <t xml:space="preserve">FL19 Install 8",12" and 20"  </t>
  </si>
  <si>
    <t>Total Net Investment (101)</t>
  </si>
  <si>
    <t>Already in rates</t>
  </si>
  <si>
    <t>Total investment not in rates</t>
  </si>
  <si>
    <t>Cumulative Plant Balances</t>
  </si>
  <si>
    <t>Cumulative Plant Balances (Less $10.1 Mil)</t>
  </si>
  <si>
    <t>Book Depreciation Rate per Month</t>
  </si>
  <si>
    <t>Book Depreciation</t>
  </si>
  <si>
    <t>Accumulated Depreciation</t>
  </si>
  <si>
    <t>Questar 13 Month Avg (Accum Depr)</t>
  </si>
  <si>
    <t>Questar 13 Month Avg (Plant Additions)</t>
  </si>
  <si>
    <t>Less $10.1 Million</t>
  </si>
  <si>
    <t>Questar 13 Mo Avg Not in Rates</t>
  </si>
  <si>
    <t>FL12 Install 7300' of 24"</t>
  </si>
  <si>
    <t>FL17 Install 12" and 6"</t>
  </si>
  <si>
    <t>FL13 Included in FL12</t>
  </si>
  <si>
    <t>Use 50% Bonus</t>
  </si>
  <si>
    <t>Use 100% Bonus</t>
  </si>
  <si>
    <t>Use 50% bonus</t>
  </si>
  <si>
    <t>Use 100% bonus</t>
  </si>
  <si>
    <t>FL12 Retirement</t>
  </si>
  <si>
    <t>FL17 Retirement</t>
  </si>
  <si>
    <t>FL18 Retirement</t>
  </si>
  <si>
    <t>Temporary Difference (Book/Tax Depr)</t>
  </si>
  <si>
    <t>ADIT</t>
  </si>
  <si>
    <t>Calculation of Revenue Requirement</t>
  </si>
  <si>
    <t>Revenue</t>
  </si>
  <si>
    <t>Requirement</t>
  </si>
  <si>
    <t>Total Net Investment</t>
  </si>
  <si>
    <t>1/</t>
  </si>
  <si>
    <t>Less: Amount currently in rates</t>
  </si>
  <si>
    <t>2/</t>
  </si>
  <si>
    <t xml:space="preserve">     Replacement Infrastructure in Tracker</t>
  </si>
  <si>
    <t xml:space="preserve">              Less:  Accumulated Depreciation</t>
  </si>
  <si>
    <t>3/</t>
  </si>
  <si>
    <t xml:space="preserve">                        Accumulated Deferred Income Tax</t>
  </si>
  <si>
    <t>4/</t>
  </si>
  <si>
    <t xml:space="preserve">     Net Rate Base</t>
  </si>
  <si>
    <t xml:space="preserve">     Current Commission-Allowed Pre-Tax Rate of Return</t>
  </si>
  <si>
    <t xml:space="preserve">     Allowed Pre-Tax Return (Line 6 x Line 7)</t>
  </si>
  <si>
    <t xml:space="preserve">               Plus:  Net Depreciation Expense</t>
  </si>
  <si>
    <t xml:space="preserve">                        Net Taxes Other Than Income (1.2% x Line 6)</t>
  </si>
  <si>
    <t xml:space="preserve">     Total Revenue Requirement (Lines 8 through 10)</t>
  </si>
  <si>
    <t xml:space="preserve">    rate of 2.1% by the net investment amount on line 3.</t>
  </si>
  <si>
    <t>Cost of Service Allocation</t>
  </si>
  <si>
    <t>A</t>
  </si>
  <si>
    <t>B</t>
  </si>
  <si>
    <t>C</t>
  </si>
  <si>
    <t>Commission Ordered</t>
  </si>
  <si>
    <t>09-057-16</t>
  </si>
  <si>
    <t xml:space="preserve">Percent </t>
  </si>
  <si>
    <t>Tariff</t>
  </si>
  <si>
    <t>Revenue Requirement</t>
  </si>
  <si>
    <t>of Total</t>
  </si>
  <si>
    <t>GS</t>
  </si>
  <si>
    <t>FS</t>
  </si>
  <si>
    <t>NGV</t>
  </si>
  <si>
    <t>IS</t>
  </si>
  <si>
    <t>TS</t>
  </si>
  <si>
    <t>MT</t>
  </si>
  <si>
    <t>FT-1</t>
  </si>
  <si>
    <t>Totals</t>
  </si>
  <si>
    <t>1/ Per Docket 09-057-16, Settlement Stipulation exhibit 1, page 2, column F</t>
  </si>
  <si>
    <t>Rate Calculation</t>
  </si>
  <si>
    <t xml:space="preserve">D </t>
  </si>
  <si>
    <t>E</t>
  </si>
  <si>
    <t>F</t>
  </si>
  <si>
    <t>G</t>
  </si>
  <si>
    <t>H</t>
  </si>
  <si>
    <t>I</t>
  </si>
  <si>
    <t>J</t>
  </si>
  <si>
    <t>K</t>
  </si>
  <si>
    <t>Utah GS</t>
  </si>
  <si>
    <t xml:space="preserve">Current Rates </t>
  </si>
  <si>
    <t>Infrastructure</t>
  </si>
  <si>
    <t>Current Rates</t>
  </si>
  <si>
    <t>(I - J)</t>
  </si>
  <si>
    <t>Replacement</t>
  </si>
  <si>
    <t xml:space="preserve">Percentage </t>
  </si>
  <si>
    <t>Difference</t>
  </si>
  <si>
    <t>Volumetric Rates</t>
  </si>
  <si>
    <t>Dth</t>
  </si>
  <si>
    <t>Curr. Rate</t>
  </si>
  <si>
    <t>Revenues</t>
  </si>
  <si>
    <t>Increase</t>
  </si>
  <si>
    <t>Rate</t>
  </si>
  <si>
    <t>Winter</t>
  </si>
  <si>
    <t>Block 1</t>
  </si>
  <si>
    <t>First</t>
  </si>
  <si>
    <t>Block 2</t>
  </si>
  <si>
    <t>Next</t>
  </si>
  <si>
    <t>Summer</t>
  </si>
  <si>
    <t>Total Volumetric Charges</t>
  </si>
  <si>
    <t>Utah NGV</t>
  </si>
  <si>
    <t>Percentage</t>
  </si>
  <si>
    <t>All Usage</t>
  </si>
  <si>
    <t>All Over</t>
  </si>
  <si>
    <t>Utah FS</t>
  </si>
  <si>
    <t>Block 3</t>
  </si>
  <si>
    <t>Total Winter</t>
  </si>
  <si>
    <t>Utah IS</t>
  </si>
  <si>
    <t>Utah FT-1</t>
  </si>
  <si>
    <t>Block 4</t>
  </si>
  <si>
    <t>Utah TS</t>
  </si>
  <si>
    <t xml:space="preserve">Annual Demand Charges per Dth of </t>
  </si>
  <si>
    <t>Contract Firm Transportation</t>
  </si>
  <si>
    <t>Utah MT</t>
  </si>
  <si>
    <t>EFFECT ON GS TYPICAL CUSTOMER</t>
  </si>
  <si>
    <t>80 DTHS -  ANNUAL CONSUMPTION</t>
  </si>
  <si>
    <t>(A)</t>
  </si>
  <si>
    <t>(B)</t>
  </si>
  <si>
    <t xml:space="preserve">(C)   </t>
  </si>
  <si>
    <t xml:space="preserve">    (D)</t>
  </si>
  <si>
    <t xml:space="preserve">   (E)</t>
  </si>
  <si>
    <t xml:space="preserve">    (F)</t>
  </si>
  <si>
    <t xml:space="preserve">   Billed at Current</t>
  </si>
  <si>
    <t xml:space="preserve">   Billed at</t>
  </si>
  <si>
    <t>Usage</t>
  </si>
  <si>
    <t xml:space="preserve">   Rate Effective</t>
  </si>
  <si>
    <t xml:space="preserve">   Proposed</t>
  </si>
  <si>
    <t>Schedule</t>
  </si>
  <si>
    <t>Month</t>
  </si>
  <si>
    <t>In Dth</t>
  </si>
  <si>
    <t xml:space="preserve">   Rate</t>
  </si>
  <si>
    <t>Change</t>
  </si>
  <si>
    <t>Jan</t>
  </si>
  <si>
    <t>Feb</t>
  </si>
  <si>
    <t>Mar</t>
  </si>
  <si>
    <t>Apr</t>
  </si>
  <si>
    <t>May</t>
  </si>
  <si>
    <t>Jun</t>
  </si>
  <si>
    <t>Jul</t>
  </si>
  <si>
    <t>Aug</t>
  </si>
  <si>
    <t>Sep</t>
  </si>
  <si>
    <t>Oct</t>
  </si>
  <si>
    <t>Nov</t>
  </si>
  <si>
    <t>Dec</t>
  </si>
  <si>
    <t xml:space="preserve"> </t>
  </si>
  <si>
    <t>Percent Change:</t>
  </si>
  <si>
    <t>%</t>
  </si>
  <si>
    <t>BSF</t>
  </si>
  <si>
    <t>1st Block</t>
  </si>
  <si>
    <t>Proposed</t>
  </si>
  <si>
    <t>Current</t>
  </si>
  <si>
    <t>Tax Depreciation</t>
  </si>
  <si>
    <t>DIT</t>
  </si>
  <si>
    <t>1/ Per the Settlement Stipulation, paragraph 16 in Docket 09-057-16.</t>
  </si>
  <si>
    <t>D</t>
  </si>
  <si>
    <t>L</t>
  </si>
  <si>
    <t>M</t>
  </si>
  <si>
    <t>N</t>
  </si>
  <si>
    <t>O</t>
  </si>
  <si>
    <t>P</t>
  </si>
  <si>
    <t>Q</t>
  </si>
  <si>
    <t>R</t>
  </si>
  <si>
    <t>S</t>
  </si>
  <si>
    <t>T</t>
  </si>
  <si>
    <t>U</t>
  </si>
  <si>
    <t>V</t>
  </si>
  <si>
    <t>W</t>
  </si>
  <si>
    <t>X</t>
  </si>
  <si>
    <t>Y</t>
  </si>
  <si>
    <t>Z</t>
  </si>
  <si>
    <t>QGC Infrastructure Replacement Project Summary</t>
  </si>
  <si>
    <t>1/ ADIT is calculated using a 13 month average covering the test period.</t>
  </si>
  <si>
    <t>5/</t>
  </si>
  <si>
    <t>4/ Current Commission allowed pretax return as shown in Section 2.07 of the Company's tariff</t>
  </si>
  <si>
    <t xml:space="preserve">5/ Depreciation expense and accumulated depreciation calculated by multiplying the depreciation </t>
  </si>
  <si>
    <t>Removal Costs (108)</t>
  </si>
  <si>
    <t>Temporary Difference</t>
  </si>
  <si>
    <t>Tax Rate</t>
  </si>
  <si>
    <t>Deferred taxes</t>
  </si>
  <si>
    <t>2011-09-30</t>
  </si>
  <si>
    <t>2011-10-31</t>
  </si>
  <si>
    <t>2011-11-30</t>
  </si>
  <si>
    <t>2011-12-31</t>
  </si>
  <si>
    <t>01009253</t>
  </si>
  <si>
    <t>01009372</t>
  </si>
  <si>
    <t>01009725</t>
  </si>
  <si>
    <t>01009612</t>
  </si>
  <si>
    <t>FL46 - Inst 12" buried block valve</t>
  </si>
  <si>
    <t>FL10 - Inst Valve Assembly</t>
  </si>
  <si>
    <t>01009666</t>
  </si>
  <si>
    <t>FL25 - Repl 65,500' of 12"</t>
  </si>
  <si>
    <t>FL16 - Inst 100' of 4"</t>
  </si>
  <si>
    <t>FL12 Install 20,835' of 24"</t>
  </si>
  <si>
    <t>FL34 Install 289' of 20"</t>
  </si>
  <si>
    <t>FL18 Install 12" &amp; 8"</t>
  </si>
  <si>
    <t>Bonus Depreciation Overcollection</t>
  </si>
  <si>
    <t>Proration Adjustment</t>
  </si>
  <si>
    <t>Total Revenue Requirement</t>
  </si>
  <si>
    <t>FL25 Retirement</t>
  </si>
  <si>
    <t>FL19 Retirement</t>
  </si>
  <si>
    <t>Adjustments to Revenue Requirement:</t>
  </si>
  <si>
    <t>2012</t>
  </si>
  <si>
    <t>Prior costs not closed</t>
  </si>
  <si>
    <t>107 Balance Check</t>
  </si>
  <si>
    <t>01040078</t>
  </si>
  <si>
    <t>01040064</t>
  </si>
  <si>
    <t>01040177</t>
  </si>
  <si>
    <t>01009120</t>
  </si>
  <si>
    <t>01010132</t>
  </si>
  <si>
    <t>01009182</t>
  </si>
  <si>
    <t>01009896</t>
  </si>
  <si>
    <t>01010098</t>
  </si>
  <si>
    <t>01040196</t>
  </si>
  <si>
    <t>01040330</t>
  </si>
  <si>
    <t>01040492</t>
  </si>
  <si>
    <t>01040857</t>
  </si>
  <si>
    <t>01040858</t>
  </si>
  <si>
    <t>01041006</t>
  </si>
  <si>
    <t>01041007</t>
  </si>
  <si>
    <t>FL23-INST 130' OF 12"</t>
  </si>
  <si>
    <t xml:space="preserve"> FL6-INST 150' OF 12"</t>
  </si>
  <si>
    <t>FL68-INST 8X8" DUAL BLOCK VLV</t>
  </si>
  <si>
    <t>FL6-INST 20' OF 12" FBE ST HP</t>
  </si>
  <si>
    <t>FL26-INST BLOCK VLV ASSEMBLY</t>
  </si>
  <si>
    <t>FL24-INST 12" BLOCK VALVE</t>
  </si>
  <si>
    <t>FL71-INST 400' OF 8" &amp; BLK VLV</t>
  </si>
  <si>
    <t>FL71-INST PIPE &amp; 8" BL VALVE</t>
  </si>
  <si>
    <t>FL41-INST 15' OF 16" FBE PIPE</t>
  </si>
  <si>
    <t>FL41-REPL 15' OF FBE ST HP PI</t>
  </si>
  <si>
    <t>FL42-REPL PIPE @ TIE W/FL26</t>
  </si>
  <si>
    <t>FL26-REPL PIPE @ TIE W/FL42</t>
  </si>
  <si>
    <t>AA</t>
  </si>
  <si>
    <t>AB</t>
  </si>
  <si>
    <t>AC</t>
  </si>
  <si>
    <t>AD</t>
  </si>
  <si>
    <t>Questar 13 Month Avg (ADIT) 1/</t>
  </si>
  <si>
    <t>Plant Balance Date</t>
  </si>
  <si>
    <t>Test Period Beginning</t>
  </si>
  <si>
    <t>01009410</t>
  </si>
  <si>
    <t>01040465</t>
  </si>
  <si>
    <t>FL23 - Repl FL, Logan</t>
  </si>
  <si>
    <t>FL24 - INST 1650' of 6"</t>
  </si>
  <si>
    <t>FL26-INST 10' OF 20" &amp; BLOCK V</t>
  </si>
  <si>
    <t>FL44-INST 10' OF 8" WR</t>
  </si>
  <si>
    <t>FL23 Retirement</t>
  </si>
  <si>
    <t>FL6 Retirement</t>
  </si>
  <si>
    <t>FL44 Retirement</t>
  </si>
  <si>
    <t>FL41 Retirement</t>
  </si>
  <si>
    <t>FL46 Retirement</t>
  </si>
  <si>
    <t>2/ See Exhibit 1.1 line 44</t>
  </si>
  <si>
    <t>3/ Depreciation for tax purposes is calculated using the average ADIT for the test period.  See exhibit 1.1 line 52</t>
  </si>
  <si>
    <t>01040277</t>
  </si>
  <si>
    <t>01009221</t>
  </si>
  <si>
    <t>01040493</t>
  </si>
  <si>
    <t>01010104</t>
  </si>
  <si>
    <t>FL35 Retirement</t>
  </si>
  <si>
    <t>FL14 Retirement</t>
  </si>
  <si>
    <t>Closed 50% pd, incurred any pd</t>
  </si>
  <si>
    <t>FL35- REPL FL 13400 S, SLCo</t>
  </si>
  <si>
    <t>FL36-INST 535' OF 6" FBE ST HP</t>
  </si>
  <si>
    <t>FL110-INST 88' OF 8" FBE ST HP</t>
  </si>
  <si>
    <t>FL14- REPL 10" DROUBAY RD, TC</t>
  </si>
  <si>
    <t>Revenue Requirement Previously Included in Rates:</t>
  </si>
  <si>
    <t>6/</t>
  </si>
  <si>
    <t>2/ Total calculated surcharge amount from Exhibit 1.1 page 5, line 15</t>
  </si>
  <si>
    <t>Incremental Revenue Request (Line 15 - Line16)</t>
  </si>
  <si>
    <t>6/ Revenue requirement in docket 12-057-12</t>
  </si>
  <si>
    <t>FL16- CONCEP ENG RIP-RAP</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</si>
</sst>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409]mmmm\-yy;@"/>
    <numFmt numFmtId="165" formatCode="_(* #,##0_);_(* \(#,##0\);_(* &quot;-&quot;??_);_(@_)"/>
    <numFmt numFmtId="166" formatCode="0.000%"/>
    <numFmt numFmtId="167" formatCode="0.0000%"/>
    <numFmt numFmtId="168" formatCode="_(&quot;$&quot;* #,##0_);_(&quot;$&quot;* \(#,##0\);_(&quot;$&quot;* &quot;-&quot;??_);_(@_)"/>
    <numFmt numFmtId="169" formatCode="#,##0.00000_);\(#,##0.00000\)"/>
    <numFmt numFmtId="170" formatCode="0.0000000_)"/>
    <numFmt numFmtId="171" formatCode="#,##0.00000"/>
    <numFmt numFmtId="172" formatCode="&quot;$&quot;#,##0.00000_);\(&quot;$&quot;#,##0.00000\)"/>
    <numFmt numFmtId="173" formatCode="#,##0.0"/>
    <numFmt numFmtId="174" formatCode="#,##0.0_);\(#,##0.0\)"/>
    <numFmt numFmtId="175" formatCode="0.00_);\(0.00\)"/>
    <numFmt numFmtId="176" formatCode="[$-409]d\-mmm\-yy;@"/>
    <numFmt numFmtId="177" formatCode="0.00000"/>
    <numFmt numFmtId="178" formatCode="&quot;$&quot;#,##0"/>
    <numFmt numFmtId="179" formatCode="_(* #,##0.00000_);_(* \(#,##0.00000\);_(* &quot;-&quot;??_);_(@_)"/>
  </numFmts>
  <fonts count="20">
    <font>
      <sz val="10"/>
      <name val="MS Sans Serif"/>
    </font>
    <font>
      <b/>
      <sz val="10"/>
      <name val="MS Sans Serif"/>
      <family val="2"/>
    </font>
    <font>
      <sz val="10"/>
      <name val="MS Sans Serif"/>
      <family val="2"/>
    </font>
    <font>
      <sz val="10"/>
      <name val="MS Sans Serif"/>
      <family val="2"/>
    </font>
    <font>
      <b/>
      <sz val="10"/>
      <name val="MS Sans Serif"/>
      <family val="2"/>
    </font>
    <font>
      <sz val="9"/>
      <color indexed="81"/>
      <name val="Tahoma"/>
      <family val="2"/>
    </font>
    <font>
      <b/>
      <sz val="9"/>
      <color indexed="81"/>
      <name val="Tahoma"/>
      <family val="2"/>
    </font>
    <font>
      <i/>
      <sz val="10"/>
      <name val="MS Sans Serif"/>
      <family val="2"/>
    </font>
    <font>
      <sz val="10"/>
      <name val="Arial"/>
      <family val="2"/>
    </font>
    <font>
      <sz val="10"/>
      <color theme="1"/>
      <name val="Arial"/>
      <family val="2"/>
    </font>
    <font>
      <b/>
      <sz val="10"/>
      <name val="Arial"/>
      <family val="2"/>
    </font>
    <font>
      <b/>
      <sz val="12"/>
      <name val="Arial"/>
      <family val="2"/>
    </font>
    <font>
      <sz val="10"/>
      <color indexed="8"/>
      <name val="Arial"/>
      <family val="2"/>
    </font>
    <font>
      <b/>
      <sz val="10"/>
      <color indexed="8"/>
      <name val="Arial"/>
      <family val="2"/>
    </font>
    <font>
      <sz val="10"/>
      <color indexed="10"/>
      <name val="Arial"/>
      <family val="2"/>
    </font>
    <font>
      <sz val="8"/>
      <name val="LinePrinter"/>
    </font>
    <font>
      <b/>
      <sz val="10"/>
      <color indexed="12"/>
      <name val="Arial"/>
      <family val="2"/>
    </font>
    <font>
      <b/>
      <sz val="12"/>
      <name val="MS Sans Serif"/>
      <family val="2"/>
    </font>
    <font>
      <sz val="10"/>
      <name val="Arial Unicode MS"/>
      <family val="2"/>
    </font>
    <font>
      <sz val="11"/>
      <color theme="0"/>
      <name val="Calibri"/>
      <family val="2"/>
      <scheme val="minor"/>
    </font>
  </fonts>
  <fills count="8">
    <fill>
      <patternFill patternType="none"/>
    </fill>
    <fill>
      <patternFill patternType="gray125"/>
    </fill>
    <fill>
      <patternFill patternType="mediumGray">
        <fgColor indexed="22"/>
      </patternFill>
    </fill>
    <fill>
      <patternFill patternType="solid">
        <fgColor theme="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0000"/>
        <bgColor indexed="64"/>
      </patternFill>
    </fill>
    <fill>
      <patternFill patternType="solid">
        <fgColor theme="9" tint="0.39997558519241921"/>
        <bgColor indexed="65"/>
      </patternFill>
    </fill>
  </fills>
  <borders count="10">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top/>
      <bottom style="double">
        <color indexed="64"/>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s>
  <cellStyleXfs count="17">
    <xf numFmtId="164" fontId="0" fillId="0" borderId="0"/>
    <xf numFmtId="164"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164" fontId="1" fillId="0" borderId="1">
      <alignment horizontal="center"/>
    </xf>
    <xf numFmtId="3" fontId="2" fillId="0" borderId="0" applyFont="0" applyFill="0" applyBorder="0" applyAlignment="0" applyProtection="0"/>
    <xf numFmtId="164" fontId="2" fillId="2" borderId="0" applyNumberFormat="0" applyFon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Protection="0"/>
    <xf numFmtId="0" fontId="8" fillId="0" borderId="0"/>
    <xf numFmtId="9" fontId="8" fillId="0" borderId="0" applyFont="0" applyFill="0" applyBorder="0" applyAlignment="0" applyProtection="0"/>
    <xf numFmtId="0" fontId="15" fillId="0" borderId="0"/>
    <xf numFmtId="0" fontId="18" fillId="0" borderId="0"/>
    <xf numFmtId="0" fontId="19" fillId="7" borderId="0" applyNumberFormat="0" applyBorder="0" applyAlignment="0" applyProtection="0"/>
  </cellStyleXfs>
  <cellXfs count="285">
    <xf numFmtId="164" fontId="0" fillId="0" borderId="0" xfId="0"/>
    <xf numFmtId="38" fontId="0" fillId="0" borderId="0" xfId="0" applyNumberFormat="1"/>
    <xf numFmtId="164" fontId="3" fillId="0" borderId="0" xfId="0" applyFont="1"/>
    <xf numFmtId="164" fontId="4" fillId="0" borderId="0" xfId="0" applyFont="1"/>
    <xf numFmtId="164" fontId="0" fillId="0" borderId="0" xfId="0" applyBorder="1"/>
    <xf numFmtId="164" fontId="0" fillId="0" borderId="0" xfId="0" applyFill="1"/>
    <xf numFmtId="164" fontId="3" fillId="0" borderId="0" xfId="0" applyFont="1" applyAlignment="1">
      <alignment wrapText="1"/>
    </xf>
    <xf numFmtId="43" fontId="0" fillId="0" borderId="0" xfId="7" applyFont="1" applyFill="1"/>
    <xf numFmtId="43" fontId="0" fillId="0" borderId="2" xfId="7" applyFont="1" applyBorder="1"/>
    <xf numFmtId="43" fontId="0" fillId="0" borderId="0" xfId="7" applyFont="1"/>
    <xf numFmtId="164" fontId="0" fillId="0" borderId="0" xfId="0" quotePrefix="1"/>
    <xf numFmtId="43" fontId="3" fillId="0" borderId="0" xfId="7" applyFont="1"/>
    <xf numFmtId="43" fontId="3" fillId="0" borderId="0" xfId="7" applyFont="1" applyAlignment="1">
      <alignment wrapText="1"/>
    </xf>
    <xf numFmtId="9" fontId="3" fillId="0" borderId="0" xfId="7" applyNumberFormat="1" applyFont="1" applyAlignment="1">
      <alignment horizontal="center" wrapText="1"/>
    </xf>
    <xf numFmtId="9" fontId="0" fillId="0" borderId="0" xfId="7" applyNumberFormat="1" applyFont="1" applyAlignment="1">
      <alignment horizontal="center"/>
    </xf>
    <xf numFmtId="43" fontId="3" fillId="0" borderId="0" xfId="7" applyFont="1" applyAlignment="1">
      <alignment horizontal="center" wrapText="1"/>
    </xf>
    <xf numFmtId="43" fontId="3" fillId="0" borderId="0" xfId="7" applyFont="1" applyAlignment="1">
      <alignment horizontal="center"/>
    </xf>
    <xf numFmtId="2" fontId="0" fillId="0" borderId="0" xfId="0" applyNumberFormat="1"/>
    <xf numFmtId="0" fontId="3" fillId="0" borderId="0" xfId="7" applyNumberFormat="1" applyFont="1" applyAlignment="1">
      <alignment horizontal="center"/>
    </xf>
    <xf numFmtId="1" fontId="0" fillId="0" borderId="0" xfId="0" applyNumberFormat="1"/>
    <xf numFmtId="165" fontId="0" fillId="0" borderId="0" xfId="7" applyNumberFormat="1" applyFont="1"/>
    <xf numFmtId="164" fontId="0" fillId="3" borderId="0" xfId="0" applyFill="1"/>
    <xf numFmtId="43" fontId="0" fillId="3" borderId="0" xfId="7" applyFont="1" applyFill="1"/>
    <xf numFmtId="164" fontId="3" fillId="0" borderId="0" xfId="0" applyFont="1" applyAlignment="1">
      <alignment horizontal="center"/>
    </xf>
    <xf numFmtId="0" fontId="4" fillId="0" borderId="0" xfId="0" applyNumberFormat="1" applyFont="1" applyAlignment="1">
      <alignment horizontal="center"/>
    </xf>
    <xf numFmtId="166" fontId="0" fillId="0" borderId="0" xfId="8" applyNumberFormat="1" applyFont="1"/>
    <xf numFmtId="167" fontId="0" fillId="0" borderId="0" xfId="8" applyNumberFormat="1" applyFont="1"/>
    <xf numFmtId="43" fontId="0" fillId="0" borderId="0" xfId="7" applyFont="1" applyAlignment="1">
      <alignment horizontal="right"/>
    </xf>
    <xf numFmtId="43" fontId="4" fillId="0" borderId="2" xfId="7" applyFont="1" applyBorder="1"/>
    <xf numFmtId="164" fontId="3" fillId="4" borderId="0" xfId="0" applyFont="1" applyFill="1" applyAlignment="1">
      <alignment wrapText="1"/>
    </xf>
    <xf numFmtId="164" fontId="3" fillId="4" borderId="0" xfId="0" applyFont="1" applyFill="1"/>
    <xf numFmtId="164" fontId="0" fillId="4" borderId="0" xfId="0" applyFill="1"/>
    <xf numFmtId="165" fontId="0" fillId="4" borderId="0" xfId="7" applyNumberFormat="1" applyFont="1" applyFill="1"/>
    <xf numFmtId="43" fontId="0" fillId="4" borderId="2" xfId="7" applyNumberFormat="1" applyFont="1" applyFill="1" applyBorder="1"/>
    <xf numFmtId="43" fontId="4" fillId="4" borderId="2" xfId="7" applyNumberFormat="1" applyFont="1" applyFill="1" applyBorder="1"/>
    <xf numFmtId="43" fontId="4" fillId="4" borderId="2" xfId="7" applyFont="1" applyFill="1" applyBorder="1"/>
    <xf numFmtId="43" fontId="0" fillId="4" borderId="0" xfId="7" applyFont="1" applyFill="1"/>
    <xf numFmtId="164" fontId="3" fillId="4" borderId="0" xfId="0" applyFont="1" applyFill="1" applyAlignment="1">
      <alignment horizontal="center"/>
    </xf>
    <xf numFmtId="9" fontId="0" fillId="4" borderId="0" xfId="7" applyNumberFormat="1" applyFont="1" applyFill="1" applyAlignment="1">
      <alignment horizontal="center"/>
    </xf>
    <xf numFmtId="164" fontId="0" fillId="0" borderId="0" xfId="0" applyAlignment="1">
      <alignment horizontal="left" indent="1"/>
    </xf>
    <xf numFmtId="164" fontId="0" fillId="0" borderId="0" xfId="0" applyFont="1" applyAlignment="1">
      <alignment horizontal="left" indent="1"/>
    </xf>
    <xf numFmtId="164" fontId="0" fillId="0" borderId="0" xfId="0" applyFont="1" applyAlignment="1">
      <alignment horizontal="left"/>
    </xf>
    <xf numFmtId="164" fontId="4" fillId="0" borderId="0" xfId="8" applyNumberFormat="1" applyFont="1"/>
    <xf numFmtId="164" fontId="0" fillId="0" borderId="0" xfId="7" applyNumberFormat="1" applyFont="1" applyAlignment="1">
      <alignment horizontal="center"/>
    </xf>
    <xf numFmtId="38" fontId="0" fillId="0" borderId="0" xfId="7" applyNumberFormat="1" applyFont="1"/>
    <xf numFmtId="164" fontId="7" fillId="4" borderId="0" xfId="0" applyFont="1" applyFill="1"/>
    <xf numFmtId="43" fontId="7" fillId="4" borderId="0" xfId="7" applyFont="1" applyFill="1" applyAlignment="1">
      <alignment horizontal="center"/>
    </xf>
    <xf numFmtId="43" fontId="3" fillId="0" borderId="0" xfId="7" applyFont="1" applyFill="1" applyAlignment="1">
      <alignment horizontal="center" wrapText="1"/>
    </xf>
    <xf numFmtId="164" fontId="3" fillId="0" borderId="0" xfId="0" applyFont="1" applyFill="1" applyAlignment="1">
      <alignment horizontal="center"/>
    </xf>
    <xf numFmtId="9" fontId="0" fillId="0" borderId="0" xfId="7" applyNumberFormat="1" applyFont="1" applyFill="1" applyAlignment="1">
      <alignment horizontal="center"/>
    </xf>
    <xf numFmtId="43" fontId="3" fillId="0" borderId="0" xfId="7" applyFont="1" applyFill="1" applyAlignment="1">
      <alignment horizontal="center"/>
    </xf>
    <xf numFmtId="43" fontId="0" fillId="0" borderId="2" xfId="7" applyFont="1" applyFill="1" applyBorder="1"/>
    <xf numFmtId="165" fontId="0" fillId="0" borderId="3" xfId="7" applyNumberFormat="1" applyFont="1" applyBorder="1"/>
    <xf numFmtId="164" fontId="4" fillId="0" borderId="0" xfId="0" applyFont="1" applyAlignment="1">
      <alignment horizontal="center"/>
    </xf>
    <xf numFmtId="164" fontId="9" fillId="0" borderId="0" xfId="0" applyFont="1"/>
    <xf numFmtId="164" fontId="9" fillId="0" borderId="0" xfId="0" applyFont="1" applyAlignment="1">
      <alignment horizontal="center"/>
    </xf>
    <xf numFmtId="164" fontId="9" fillId="0" borderId="0" xfId="0" applyFont="1" applyAlignment="1"/>
    <xf numFmtId="164" fontId="9" fillId="0" borderId="4" xfId="0" applyFont="1" applyBorder="1" applyAlignment="1">
      <alignment horizontal="center"/>
    </xf>
    <xf numFmtId="164" fontId="9" fillId="0" borderId="0" xfId="0" applyFont="1" applyBorder="1" applyAlignment="1">
      <alignment horizontal="left" vertical="top"/>
    </xf>
    <xf numFmtId="6" fontId="9" fillId="0" borderId="0" xfId="0" applyNumberFormat="1" applyFont="1"/>
    <xf numFmtId="5" fontId="9" fillId="0" borderId="0" xfId="0" applyNumberFormat="1" applyFont="1"/>
    <xf numFmtId="6" fontId="9" fillId="0" borderId="4" xfId="0" applyNumberFormat="1" applyFont="1" applyBorder="1"/>
    <xf numFmtId="10" fontId="9" fillId="0" borderId="0" xfId="8" applyNumberFormat="1" applyFont="1"/>
    <xf numFmtId="6" fontId="9" fillId="0" borderId="3" xfId="0" applyNumberFormat="1" applyFont="1" applyBorder="1"/>
    <xf numFmtId="164" fontId="9" fillId="0" borderId="0" xfId="0" applyFont="1" applyBorder="1" applyAlignment="1"/>
    <xf numFmtId="6" fontId="0" fillId="0" borderId="0" xfId="0" applyNumberFormat="1" applyFill="1" applyBorder="1"/>
    <xf numFmtId="6" fontId="0" fillId="0" borderId="0" xfId="0" applyNumberFormat="1" applyBorder="1"/>
    <xf numFmtId="5" fontId="0" fillId="0" borderId="0" xfId="0" applyNumberFormat="1" applyBorder="1"/>
    <xf numFmtId="0" fontId="9" fillId="0" borderId="0" xfId="0" applyNumberFormat="1" applyFont="1"/>
    <xf numFmtId="0" fontId="0" fillId="0" borderId="0" xfId="0" applyNumberFormat="1"/>
    <xf numFmtId="164" fontId="0" fillId="0" borderId="0" xfId="0" quotePrefix="1" applyFill="1"/>
    <xf numFmtId="0" fontId="8" fillId="0" borderId="0" xfId="9"/>
    <xf numFmtId="5" fontId="8" fillId="0" borderId="0" xfId="9" applyNumberFormat="1" applyFont="1"/>
    <xf numFmtId="0" fontId="8" fillId="0" borderId="0" xfId="9" applyFont="1"/>
    <xf numFmtId="0" fontId="8" fillId="0" borderId="0" xfId="9" applyFont="1" applyAlignment="1">
      <alignment horizontal="center"/>
    </xf>
    <xf numFmtId="0" fontId="8" fillId="0" borderId="0" xfId="9" applyFont="1" applyAlignment="1">
      <alignment horizontal="center" vertical="center"/>
    </xf>
    <xf numFmtId="0" fontId="8" fillId="0" borderId="0" xfId="9" quotePrefix="1" applyFont="1" applyAlignment="1">
      <alignment horizontal="center" vertical="center"/>
    </xf>
    <xf numFmtId="0" fontId="8" fillId="0" borderId="0" xfId="9" applyFont="1" applyBorder="1" applyAlignment="1">
      <alignment horizontal="center" vertical="center"/>
    </xf>
    <xf numFmtId="0" fontId="8" fillId="0" borderId="0" xfId="9" applyFont="1" applyBorder="1" applyAlignment="1">
      <alignment horizontal="center"/>
    </xf>
    <xf numFmtId="0" fontId="8" fillId="0" borderId="0" xfId="9" quotePrefix="1" applyFont="1" applyAlignment="1">
      <alignment horizontal="center"/>
    </xf>
    <xf numFmtId="0" fontId="8" fillId="0" borderId="4" xfId="9" applyFont="1" applyBorder="1"/>
    <xf numFmtId="0" fontId="8" fillId="0" borderId="4" xfId="9" applyFont="1" applyFill="1" applyBorder="1" applyAlignment="1">
      <alignment horizontal="center"/>
    </xf>
    <xf numFmtId="0" fontId="8" fillId="0" borderId="0" xfId="9" applyAlignment="1">
      <alignment horizontal="center"/>
    </xf>
    <xf numFmtId="168" fontId="9" fillId="0" borderId="2" xfId="10" applyNumberFormat="1" applyFont="1" applyBorder="1"/>
    <xf numFmtId="168" fontId="9" fillId="0" borderId="0" xfId="10" applyNumberFormat="1" applyFont="1" applyBorder="1"/>
    <xf numFmtId="10" fontId="9" fillId="0" borderId="0" xfId="8" applyNumberFormat="1" applyFont="1" applyBorder="1"/>
    <xf numFmtId="165" fontId="9" fillId="0" borderId="0" xfId="11" applyNumberFormat="1" applyFont="1"/>
    <xf numFmtId="165" fontId="9" fillId="0" borderId="0" xfId="11" applyNumberFormat="1" applyFont="1" applyBorder="1"/>
    <xf numFmtId="165" fontId="9" fillId="0" borderId="4" xfId="11" applyNumberFormat="1" applyFont="1" applyBorder="1"/>
    <xf numFmtId="10" fontId="9" fillId="0" borderId="4" xfId="8" applyNumberFormat="1" applyFont="1" applyBorder="1"/>
    <xf numFmtId="168" fontId="9" fillId="0" borderId="4" xfId="10" applyNumberFormat="1" applyFont="1" applyBorder="1"/>
    <xf numFmtId="168" fontId="9" fillId="0" borderId="0" xfId="10" applyNumberFormat="1" applyFont="1"/>
    <xf numFmtId="9" fontId="9" fillId="0" borderId="0" xfId="8" applyFont="1"/>
    <xf numFmtId="0" fontId="10" fillId="0" borderId="0" xfId="12" applyFont="1" applyFill="1" applyAlignment="1">
      <alignment horizontal="center"/>
    </xf>
    <xf numFmtId="0" fontId="8" fillId="0" borderId="0" xfId="12" applyFont="1" applyFill="1"/>
    <xf numFmtId="0" fontId="8" fillId="0" borderId="0" xfId="12" applyFont="1" applyFill="1" applyAlignment="1"/>
    <xf numFmtId="3" fontId="8" fillId="0" borderId="0" xfId="12" applyNumberFormat="1" applyFont="1" applyFill="1" applyAlignment="1">
      <alignment horizontal="center"/>
    </xf>
    <xf numFmtId="0" fontId="8" fillId="0" borderId="0" xfId="12" applyFont="1" applyFill="1" applyBorder="1" applyAlignment="1"/>
    <xf numFmtId="0" fontId="10" fillId="0" borderId="0" xfId="12" applyFont="1" applyFill="1" applyBorder="1" applyAlignment="1">
      <alignment horizontal="center"/>
    </xf>
    <xf numFmtId="0" fontId="10" fillId="0" borderId="0" xfId="12" quotePrefix="1" applyFont="1" applyFill="1" applyBorder="1" applyAlignment="1" applyProtection="1">
      <alignment horizontal="left"/>
    </xf>
    <xf numFmtId="0" fontId="8" fillId="0" borderId="0" xfId="12" applyFont="1" applyFill="1" applyBorder="1" applyAlignment="1" applyProtection="1"/>
    <xf numFmtId="3" fontId="8" fillId="0" borderId="0" xfId="12" applyNumberFormat="1" applyFont="1" applyFill="1" applyBorder="1" applyAlignment="1" applyProtection="1">
      <alignment horizontal="center"/>
    </xf>
    <xf numFmtId="0" fontId="10" fillId="0" borderId="0" xfId="12" applyFont="1" applyFill="1" applyAlignment="1" applyProtection="1">
      <alignment horizontal="center"/>
    </xf>
    <xf numFmtId="0" fontId="10" fillId="0" borderId="0" xfId="12" applyFont="1" applyFill="1" applyAlignment="1" applyProtection="1"/>
    <xf numFmtId="0" fontId="10" fillId="0" borderId="1" xfId="12" applyFont="1" applyFill="1" applyBorder="1" applyAlignment="1"/>
    <xf numFmtId="0" fontId="10" fillId="0" borderId="1" xfId="12" applyFont="1" applyFill="1" applyBorder="1" applyAlignment="1" applyProtection="1"/>
    <xf numFmtId="3" fontId="10" fillId="0" borderId="1" xfId="12" applyNumberFormat="1" applyFont="1" applyFill="1" applyBorder="1" applyAlignment="1" applyProtection="1">
      <alignment horizontal="center"/>
    </xf>
    <xf numFmtId="3" fontId="10" fillId="0" borderId="0" xfId="12" applyNumberFormat="1" applyFont="1" applyFill="1" applyBorder="1" applyAlignment="1" applyProtection="1">
      <alignment horizontal="center"/>
    </xf>
    <xf numFmtId="0" fontId="10" fillId="0" borderId="1" xfId="12" applyFont="1" applyFill="1" applyBorder="1" applyAlignment="1" applyProtection="1">
      <alignment horizontal="center"/>
    </xf>
    <xf numFmtId="0" fontId="10" fillId="0" borderId="1" xfId="12" quotePrefix="1" applyFont="1" applyFill="1" applyBorder="1" applyAlignment="1" applyProtection="1">
      <alignment horizontal="center"/>
    </xf>
    <xf numFmtId="0" fontId="12" fillId="0" borderId="0" xfId="12" quotePrefix="1" applyFont="1" applyFill="1" applyBorder="1" applyAlignment="1" applyProtection="1">
      <alignment horizontal="left"/>
    </xf>
    <xf numFmtId="37" fontId="12" fillId="0" borderId="0" xfId="12" quotePrefix="1" applyNumberFormat="1" applyFont="1" applyFill="1" applyBorder="1" applyAlignment="1" applyProtection="1">
      <alignment horizontal="center"/>
    </xf>
    <xf numFmtId="37" fontId="12" fillId="0" borderId="0" xfId="12" applyNumberFormat="1" applyFont="1" applyFill="1" applyAlignment="1"/>
    <xf numFmtId="169" fontId="12" fillId="0" borderId="0" xfId="12" applyNumberFormat="1" applyFont="1" applyFill="1" applyAlignment="1"/>
    <xf numFmtId="37" fontId="12" fillId="0" borderId="0" xfId="12" applyNumberFormat="1" applyFont="1" applyFill="1" applyAlignment="1" applyProtection="1"/>
    <xf numFmtId="4" fontId="8" fillId="0" borderId="0" xfId="12" applyNumberFormat="1" applyFont="1" applyFill="1" applyBorder="1" applyAlignment="1" applyProtection="1"/>
    <xf numFmtId="10" fontId="12" fillId="0" borderId="0" xfId="13" applyNumberFormat="1" applyFont="1" applyFill="1" applyAlignment="1"/>
    <xf numFmtId="169" fontId="12" fillId="0" borderId="0" xfId="12" applyNumberFormat="1" applyFont="1" applyFill="1" applyAlignment="1" applyProtection="1"/>
    <xf numFmtId="170" fontId="8" fillId="0" borderId="0" xfId="12" applyNumberFormat="1" applyFont="1" applyFill="1" applyBorder="1" applyAlignment="1" applyProtection="1"/>
    <xf numFmtId="0" fontId="12" fillId="0" borderId="0" xfId="12" applyFont="1" applyFill="1" applyAlignment="1"/>
    <xf numFmtId="3" fontId="12" fillId="0" borderId="0" xfId="12" quotePrefix="1" applyNumberFormat="1" applyFont="1" applyFill="1" applyBorder="1" applyAlignment="1" applyProtection="1">
      <alignment horizontal="center"/>
    </xf>
    <xf numFmtId="0" fontId="12" fillId="0" borderId="0" xfId="12" applyFont="1" applyFill="1" applyBorder="1" applyAlignment="1" applyProtection="1"/>
    <xf numFmtId="0" fontId="13" fillId="0" borderId="0" xfId="12" quotePrefix="1" applyFont="1" applyFill="1" applyBorder="1" applyAlignment="1" applyProtection="1">
      <alignment horizontal="left"/>
    </xf>
    <xf numFmtId="37" fontId="12" fillId="0" borderId="3" xfId="12" applyNumberFormat="1" applyFont="1" applyFill="1" applyBorder="1" applyAlignment="1"/>
    <xf numFmtId="169" fontId="12" fillId="0" borderId="3" xfId="12" applyNumberFormat="1" applyFont="1" applyFill="1" applyBorder="1" applyAlignment="1"/>
    <xf numFmtId="171" fontId="8" fillId="0" borderId="0" xfId="12" applyNumberFormat="1" applyFont="1" applyFill="1" applyBorder="1" applyAlignment="1" applyProtection="1"/>
    <xf numFmtId="10" fontId="12" fillId="0" borderId="3" xfId="13" applyNumberFormat="1" applyFont="1" applyFill="1" applyBorder="1" applyAlignment="1"/>
    <xf numFmtId="0" fontId="8" fillId="0" borderId="0" xfId="12" quotePrefix="1" applyFont="1" applyFill="1" applyBorder="1" applyAlignment="1" applyProtection="1">
      <alignment horizontal="left"/>
    </xf>
    <xf numFmtId="3" fontId="8" fillId="0" borderId="0" xfId="12" quotePrefix="1" applyNumberFormat="1" applyFont="1" applyFill="1" applyBorder="1" applyAlignment="1" applyProtection="1">
      <alignment horizontal="center"/>
    </xf>
    <xf numFmtId="37" fontId="8" fillId="0" borderId="0" xfId="12" applyNumberFormat="1" applyFont="1" applyFill="1" applyAlignment="1"/>
    <xf numFmtId="172" fontId="8" fillId="0" borderId="0" xfId="12" applyNumberFormat="1" applyFont="1" applyFill="1" applyAlignment="1"/>
    <xf numFmtId="37" fontId="8" fillId="0" borderId="0" xfId="12" applyNumberFormat="1" applyFont="1" applyFill="1" applyAlignment="1" applyProtection="1"/>
    <xf numFmtId="0" fontId="8" fillId="0" borderId="1" xfId="12" applyFont="1" applyFill="1" applyBorder="1" applyAlignment="1" applyProtection="1"/>
    <xf numFmtId="3" fontId="8" fillId="0" borderId="1" xfId="12" applyNumberFormat="1" applyFont="1" applyFill="1" applyBorder="1" applyAlignment="1" applyProtection="1">
      <alignment horizontal="center"/>
    </xf>
    <xf numFmtId="37" fontId="8" fillId="0" borderId="1" xfId="12" applyNumberFormat="1" applyFont="1" applyFill="1" applyBorder="1" applyAlignment="1" applyProtection="1"/>
    <xf numFmtId="37" fontId="8" fillId="0" borderId="0" xfId="12" applyNumberFormat="1" applyFont="1" applyFill="1" applyBorder="1" applyAlignment="1" applyProtection="1"/>
    <xf numFmtId="0" fontId="12" fillId="0" borderId="0" xfId="12" applyFont="1" applyFill="1" applyBorder="1" applyAlignment="1" applyProtection="1">
      <alignment horizontal="left"/>
    </xf>
    <xf numFmtId="10" fontId="12" fillId="0" borderId="2" xfId="13" applyNumberFormat="1" applyFont="1" applyFill="1" applyBorder="1" applyAlignment="1"/>
    <xf numFmtId="10" fontId="12" fillId="0" borderId="0" xfId="13" applyNumberFormat="1" applyFont="1" applyFill="1" applyBorder="1" applyAlignment="1"/>
    <xf numFmtId="5" fontId="12" fillId="0" borderId="1" xfId="12" applyNumberFormat="1" applyFont="1" applyFill="1" applyBorder="1" applyAlignment="1" applyProtection="1"/>
    <xf numFmtId="5" fontId="8" fillId="0" borderId="1" xfId="12" applyNumberFormat="1" applyFont="1" applyFill="1" applyBorder="1" applyAlignment="1" applyProtection="1"/>
    <xf numFmtId="5" fontId="12" fillId="0" borderId="0" xfId="12" applyNumberFormat="1" applyFont="1" applyFill="1" applyBorder="1" applyAlignment="1" applyProtection="1"/>
    <xf numFmtId="5" fontId="8" fillId="0" borderId="0" xfId="12" applyNumberFormat="1" applyFont="1" applyFill="1" applyBorder="1" applyAlignment="1" applyProtection="1"/>
    <xf numFmtId="10" fontId="12" fillId="0" borderId="0" xfId="13" applyNumberFormat="1" applyFont="1" applyFill="1" applyAlignment="1" applyProtection="1"/>
    <xf numFmtId="172" fontId="12" fillId="0" borderId="0" xfId="12" applyNumberFormat="1" applyFont="1" applyFill="1" applyAlignment="1"/>
    <xf numFmtId="37" fontId="12" fillId="0" borderId="2" xfId="12" applyNumberFormat="1" applyFont="1" applyFill="1" applyBorder="1" applyAlignment="1"/>
    <xf numFmtId="172" fontId="12" fillId="0" borderId="2" xfId="12" applyNumberFormat="1" applyFont="1" applyFill="1" applyBorder="1" applyAlignment="1"/>
    <xf numFmtId="37" fontId="12" fillId="0" borderId="0" xfId="12" applyNumberFormat="1" applyFont="1" applyFill="1" applyBorder="1" applyAlignment="1"/>
    <xf numFmtId="172" fontId="12" fillId="0" borderId="0" xfId="12" applyNumberFormat="1" applyFont="1" applyFill="1" applyBorder="1" applyAlignment="1"/>
    <xf numFmtId="37" fontId="12" fillId="0" borderId="0" xfId="12" applyNumberFormat="1" applyFont="1" applyFill="1" applyAlignment="1">
      <alignment horizontal="center"/>
    </xf>
    <xf numFmtId="37" fontId="12" fillId="0" borderId="0" xfId="12" applyNumberFormat="1" applyFont="1" applyFill="1" applyBorder="1" applyAlignment="1">
      <alignment horizontal="center"/>
    </xf>
    <xf numFmtId="0" fontId="14" fillId="0" borderId="1" xfId="12" applyFont="1" applyFill="1" applyBorder="1" applyAlignment="1" applyProtection="1"/>
    <xf numFmtId="0" fontId="8" fillId="0" borderId="1" xfId="12" quotePrefix="1" applyFont="1" applyFill="1" applyBorder="1" applyAlignment="1" applyProtection="1">
      <alignment horizontal="left"/>
    </xf>
    <xf numFmtId="3" fontId="8" fillId="0" borderId="1" xfId="12" quotePrefix="1" applyNumberFormat="1" applyFont="1" applyFill="1" applyBorder="1" applyAlignment="1" applyProtection="1">
      <alignment horizontal="center"/>
    </xf>
    <xf numFmtId="37" fontId="8" fillId="0" borderId="1" xfId="12" applyNumberFormat="1" applyFont="1" applyFill="1" applyBorder="1" applyAlignment="1"/>
    <xf numFmtId="172" fontId="8" fillId="0" borderId="1" xfId="12" applyNumberFormat="1" applyFont="1" applyFill="1" applyBorder="1" applyAlignment="1"/>
    <xf numFmtId="0" fontId="14" fillId="0" borderId="0" xfId="12" applyFont="1" applyFill="1" applyBorder="1" applyAlignment="1" applyProtection="1"/>
    <xf numFmtId="37" fontId="8" fillId="0" borderId="0" xfId="12" applyNumberFormat="1" applyFont="1" applyFill="1" applyBorder="1" applyAlignment="1"/>
    <xf numFmtId="172" fontId="8" fillId="0" borderId="0" xfId="12" applyNumberFormat="1" applyFont="1" applyFill="1" applyBorder="1" applyAlignment="1"/>
    <xf numFmtId="3" fontId="14" fillId="0" borderId="0" xfId="12" applyNumberFormat="1" applyFont="1" applyFill="1" applyBorder="1" applyAlignment="1" applyProtection="1">
      <alignment horizontal="center"/>
    </xf>
    <xf numFmtId="10" fontId="8" fillId="0" borderId="0" xfId="13" applyNumberFormat="1" applyFont="1" applyFill="1" applyBorder="1" applyAlignment="1" applyProtection="1"/>
    <xf numFmtId="169" fontId="12" fillId="0" borderId="0" xfId="12" applyNumberFormat="1" applyFont="1" applyFill="1" applyBorder="1" applyAlignment="1"/>
    <xf numFmtId="0" fontId="8" fillId="0" borderId="0" xfId="12" applyFont="1" applyFill="1" applyBorder="1" applyAlignment="1">
      <alignment horizontal="left"/>
    </xf>
    <xf numFmtId="37" fontId="12" fillId="0" borderId="4" xfId="12" applyNumberFormat="1" applyFont="1" applyFill="1" applyBorder="1" applyAlignment="1"/>
    <xf numFmtId="10" fontId="8" fillId="0" borderId="4" xfId="13" applyNumberFormat="1" applyFont="1" applyFill="1" applyBorder="1" applyAlignment="1" applyProtection="1"/>
    <xf numFmtId="169" fontId="12" fillId="0" borderId="4" xfId="12" applyNumberFormat="1" applyFont="1" applyFill="1" applyBorder="1" applyAlignment="1"/>
    <xf numFmtId="7" fontId="8" fillId="0" borderId="0" xfId="12" applyNumberFormat="1" applyFont="1" applyFill="1" applyBorder="1" applyAlignment="1" applyProtection="1"/>
    <xf numFmtId="0" fontId="12" fillId="0" borderId="1" xfId="12" applyFont="1" applyFill="1" applyBorder="1" applyAlignment="1" applyProtection="1"/>
    <xf numFmtId="3" fontId="14" fillId="0" borderId="1" xfId="12" applyNumberFormat="1" applyFont="1" applyFill="1" applyBorder="1" applyAlignment="1" applyProtection="1">
      <alignment horizontal="center"/>
    </xf>
    <xf numFmtId="37" fontId="12" fillId="0" borderId="1" xfId="12" applyNumberFormat="1" applyFont="1" applyFill="1" applyBorder="1" applyAlignment="1"/>
    <xf numFmtId="7" fontId="8" fillId="0" borderId="1" xfId="12" applyNumberFormat="1" applyFont="1" applyFill="1" applyBorder="1" applyAlignment="1" applyProtection="1"/>
    <xf numFmtId="3" fontId="12" fillId="0" borderId="5" xfId="12" quotePrefix="1" applyNumberFormat="1" applyFont="1" applyFill="1" applyBorder="1" applyAlignment="1" applyProtection="1">
      <alignment horizontal="center"/>
    </xf>
    <xf numFmtId="172" fontId="12" fillId="0" borderId="0" xfId="12" applyNumberFormat="1" applyFont="1" applyFill="1" applyBorder="1" applyAlignment="1">
      <alignment horizontal="center"/>
    </xf>
    <xf numFmtId="0" fontId="8" fillId="0" borderId="0" xfId="12" applyFont="1" applyFill="1" applyAlignment="1">
      <alignment horizontal="right"/>
    </xf>
    <xf numFmtId="5" fontId="10" fillId="0" borderId="6" xfId="12" applyNumberFormat="1" applyFont="1" applyFill="1" applyBorder="1" applyAlignment="1"/>
    <xf numFmtId="0" fontId="8" fillId="0" borderId="0" xfId="14" applyFont="1" applyFill="1" applyProtection="1"/>
    <xf numFmtId="0" fontId="10" fillId="0" borderId="0" xfId="14" applyFont="1" applyFill="1" applyAlignment="1" applyProtection="1">
      <alignment horizontal="center"/>
    </xf>
    <xf numFmtId="0" fontId="8" fillId="0" borderId="0" xfId="14" applyFont="1" applyFill="1" applyAlignment="1" applyProtection="1">
      <alignment horizontal="center"/>
    </xf>
    <xf numFmtId="0" fontId="8" fillId="0" borderId="0" xfId="14" quotePrefix="1" applyFont="1" applyFill="1" applyAlignment="1" applyProtection="1">
      <alignment horizontal="center"/>
    </xf>
    <xf numFmtId="0" fontId="8" fillId="0" borderId="0" xfId="14" quotePrefix="1" applyFont="1" applyFill="1" applyAlignment="1" applyProtection="1">
      <alignment horizontal="right"/>
    </xf>
    <xf numFmtId="0" fontId="10" fillId="0" borderId="0" xfId="14" applyFont="1" applyFill="1" applyProtection="1"/>
    <xf numFmtId="0" fontId="8" fillId="0" borderId="0" xfId="14" applyFont="1" applyFill="1" applyAlignment="1" applyProtection="1">
      <alignment vertical="center"/>
    </xf>
    <xf numFmtId="0" fontId="10" fillId="0" borderId="0" xfId="14" applyFont="1" applyFill="1" applyAlignment="1" applyProtection="1">
      <alignment horizontal="center" vertical="center"/>
    </xf>
    <xf numFmtId="0" fontId="10" fillId="0" borderId="0" xfId="14" quotePrefix="1" applyFont="1" applyFill="1" applyAlignment="1" applyProtection="1">
      <alignment horizontal="right" vertical="center"/>
    </xf>
    <xf numFmtId="0" fontId="10" fillId="0" borderId="0" xfId="14" applyFont="1" applyFill="1" applyAlignment="1" applyProtection="1">
      <alignment vertical="center"/>
    </xf>
    <xf numFmtId="0" fontId="8" fillId="0" borderId="0" xfId="14" applyFont="1" applyFill="1" applyAlignment="1" applyProtection="1">
      <alignment vertical="top"/>
    </xf>
    <xf numFmtId="0" fontId="10" fillId="0" borderId="1" xfId="14" applyFont="1" applyFill="1" applyBorder="1" applyAlignment="1" applyProtection="1">
      <alignment horizontal="center" vertical="top"/>
    </xf>
    <xf numFmtId="0" fontId="10" fillId="0" borderId="1" xfId="14" quotePrefix="1" applyFont="1" applyFill="1" applyBorder="1" applyAlignment="1" applyProtection="1">
      <alignment horizontal="right" vertical="top"/>
    </xf>
    <xf numFmtId="0" fontId="10" fillId="0" borderId="1" xfId="14" applyFont="1" applyFill="1" applyBorder="1" applyAlignment="1" applyProtection="1">
      <alignment horizontal="right" vertical="top"/>
    </xf>
    <xf numFmtId="173" fontId="12" fillId="0" borderId="0" xfId="9" applyNumberFormat="1" applyFont="1" applyAlignment="1" applyProtection="1">
      <alignment horizontal="right"/>
    </xf>
    <xf numFmtId="7" fontId="8" fillId="0" borderId="0" xfId="14" applyNumberFormat="1" applyFont="1" applyFill="1" applyAlignment="1" applyProtection="1">
      <alignment horizontal="right"/>
    </xf>
    <xf numFmtId="39" fontId="8" fillId="0" borderId="0" xfId="14" applyNumberFormat="1" applyFont="1" applyFill="1" applyAlignment="1" applyProtection="1">
      <alignment horizontal="right"/>
    </xf>
    <xf numFmtId="174" fontId="8" fillId="0" borderId="6" xfId="14" applyNumberFormat="1" applyFont="1" applyFill="1" applyBorder="1" applyAlignment="1" applyProtection="1">
      <alignment horizontal="center"/>
    </xf>
    <xf numFmtId="7" fontId="8" fillId="0" borderId="6" xfId="14" applyNumberFormat="1" applyFont="1" applyFill="1" applyBorder="1" applyAlignment="1" applyProtection="1">
      <alignment horizontal="center"/>
    </xf>
    <xf numFmtId="39" fontId="8" fillId="0" borderId="6" xfId="14" applyNumberFormat="1" applyFont="1" applyFill="1" applyBorder="1" applyAlignment="1" applyProtection="1">
      <alignment horizontal="center"/>
    </xf>
    <xf numFmtId="39" fontId="8" fillId="0" borderId="0" xfId="14" applyNumberFormat="1" applyFont="1" applyFill="1" applyBorder="1" applyAlignment="1" applyProtection="1">
      <alignment horizontal="center"/>
    </xf>
    <xf numFmtId="174" fontId="8" fillId="0" borderId="0" xfId="14" applyNumberFormat="1" applyFont="1" applyFill="1" applyAlignment="1" applyProtection="1">
      <alignment horizontal="center"/>
    </xf>
    <xf numFmtId="7" fontId="8" fillId="0" borderId="0" xfId="14" applyNumberFormat="1" applyFont="1" applyFill="1" applyAlignment="1" applyProtection="1">
      <alignment horizontal="center"/>
    </xf>
    <xf numFmtId="174" fontId="8" fillId="0" borderId="0" xfId="14" applyNumberFormat="1" applyFont="1" applyFill="1" applyAlignment="1">
      <alignment horizontal="center"/>
    </xf>
    <xf numFmtId="174" fontId="8" fillId="0" borderId="0" xfId="14" applyNumberFormat="1" applyFont="1" applyFill="1" applyAlignment="1" applyProtection="1">
      <alignment horizontal="right"/>
    </xf>
    <xf numFmtId="7" fontId="8" fillId="0" borderId="0" xfId="14" applyNumberFormat="1" applyFont="1" applyFill="1" applyProtection="1"/>
    <xf numFmtId="0" fontId="8" fillId="0" borderId="0" xfId="14" applyFont="1" applyFill="1" applyAlignment="1" applyProtection="1">
      <alignment horizontal="right"/>
    </xf>
    <xf numFmtId="175" fontId="8" fillId="0" borderId="0" xfId="13" applyNumberFormat="1" applyFont="1" applyFill="1" applyAlignment="1" applyProtection="1">
      <alignment horizontal="right"/>
    </xf>
    <xf numFmtId="0" fontId="8" fillId="0" borderId="0" xfId="14" quotePrefix="1" applyFont="1" applyFill="1" applyAlignment="1" applyProtection="1">
      <alignment horizontal="left"/>
    </xf>
    <xf numFmtId="176" fontId="8" fillId="0" borderId="0" xfId="9" applyNumberFormat="1" applyBorder="1"/>
    <xf numFmtId="0" fontId="8" fillId="0" borderId="0" xfId="9" applyBorder="1"/>
    <xf numFmtId="0" fontId="8" fillId="0" borderId="1" xfId="9" applyFont="1" applyBorder="1"/>
    <xf numFmtId="0" fontId="8" fillId="0" borderId="1" xfId="9" quotePrefix="1" applyFont="1" applyBorder="1" applyAlignment="1">
      <alignment horizontal="center"/>
    </xf>
    <xf numFmtId="0" fontId="8" fillId="0" borderId="0" xfId="9" applyFont="1" applyBorder="1"/>
    <xf numFmtId="2" fontId="8" fillId="0" borderId="0" xfId="9" applyNumberFormat="1" applyBorder="1"/>
    <xf numFmtId="177" fontId="8" fillId="0" borderId="0" xfId="9" applyNumberFormat="1" applyBorder="1"/>
    <xf numFmtId="0" fontId="8" fillId="0" borderId="0" xfId="9" quotePrefix="1" applyFont="1" applyBorder="1" applyAlignment="1">
      <alignment horizontal="center"/>
    </xf>
    <xf numFmtId="14" fontId="16" fillId="0" borderId="0" xfId="14" quotePrefix="1" applyNumberFormat="1" applyFont="1" applyFill="1" applyBorder="1" applyAlignment="1" applyProtection="1">
      <alignment horizontal="center" vertical="top"/>
    </xf>
    <xf numFmtId="177" fontId="8" fillId="0" borderId="0" xfId="9" applyNumberFormat="1" applyFont="1" applyBorder="1"/>
    <xf numFmtId="164" fontId="4" fillId="0" borderId="0" xfId="0" applyFont="1" applyAlignment="1"/>
    <xf numFmtId="164" fontId="2" fillId="0" borderId="0" xfId="0" applyFont="1"/>
    <xf numFmtId="165" fontId="0" fillId="0" borderId="0" xfId="7" applyNumberFormat="1" applyFont="1" applyFill="1"/>
    <xf numFmtId="164" fontId="1" fillId="0" borderId="0" xfId="0" applyFont="1" applyAlignment="1">
      <alignment horizontal="left"/>
    </xf>
    <xf numFmtId="6" fontId="9" fillId="0" borderId="0" xfId="0" applyNumberFormat="1" applyFont="1" applyBorder="1"/>
    <xf numFmtId="164" fontId="8" fillId="0" borderId="0" xfId="0" applyFont="1" applyAlignment="1">
      <alignment horizontal="left" indent="1"/>
    </xf>
    <xf numFmtId="165" fontId="8" fillId="0" borderId="0" xfId="7" applyNumberFormat="1" applyFont="1"/>
    <xf numFmtId="164" fontId="9" fillId="0" borderId="0" xfId="0" applyFont="1" applyFill="1" applyBorder="1" applyAlignment="1">
      <alignment horizontal="left" vertical="top" indent="1"/>
    </xf>
    <xf numFmtId="164" fontId="9" fillId="0" borderId="0" xfId="0" applyFont="1" applyFill="1" applyBorder="1" applyAlignment="1">
      <alignment horizontal="left" vertical="top"/>
    </xf>
    <xf numFmtId="3" fontId="10" fillId="0" borderId="0" xfId="12" applyNumberFormat="1" applyFont="1" applyFill="1" applyAlignment="1">
      <alignment horizontal="center"/>
    </xf>
    <xf numFmtId="164" fontId="0" fillId="5" borderId="0" xfId="0" applyFill="1"/>
    <xf numFmtId="164" fontId="0" fillId="0" borderId="0" xfId="0" quotePrefix="1" applyFont="1" applyAlignment="1">
      <alignment horizontal="left" indent="1"/>
    </xf>
    <xf numFmtId="164" fontId="0" fillId="0" borderId="0" xfId="0" quotePrefix="1" applyFont="1" applyAlignment="1">
      <alignment horizontal="left"/>
    </xf>
    <xf numFmtId="43" fontId="0" fillId="0" borderId="0" xfId="7" applyFont="1" applyAlignment="1">
      <alignment horizontal="center" wrapText="1"/>
    </xf>
    <xf numFmtId="0" fontId="4" fillId="0" borderId="0" xfId="0" applyNumberFormat="1" applyFont="1" applyAlignment="1"/>
    <xf numFmtId="43" fontId="0" fillId="0" borderId="0" xfId="7" applyFont="1" applyAlignment="1">
      <alignment horizontal="center"/>
    </xf>
    <xf numFmtId="43" fontId="0" fillId="0" borderId="3" xfId="7" applyFont="1" applyBorder="1"/>
    <xf numFmtId="164" fontId="0" fillId="6" borderId="0" xfId="0" applyFill="1"/>
    <xf numFmtId="3" fontId="10" fillId="0" borderId="0" xfId="12" applyNumberFormat="1" applyFont="1" applyFill="1" applyAlignment="1">
      <alignment horizontal="center"/>
    </xf>
    <xf numFmtId="164" fontId="2" fillId="0" borderId="0" xfId="0" applyFont="1" applyFill="1"/>
    <xf numFmtId="164" fontId="3" fillId="0" borderId="0" xfId="0" applyFont="1" applyFill="1"/>
    <xf numFmtId="5" fontId="9" fillId="0" borderId="0" xfId="0" applyNumberFormat="1" applyFont="1" applyFill="1"/>
    <xf numFmtId="165" fontId="9" fillId="0" borderId="4" xfId="0" applyNumberFormat="1" applyFont="1" applyFill="1" applyBorder="1"/>
    <xf numFmtId="0" fontId="0" fillId="0" borderId="0" xfId="0" applyNumberFormat="1" applyFill="1"/>
    <xf numFmtId="7" fontId="8" fillId="0" borderId="4" xfId="12" applyNumberFormat="1" applyFont="1" applyFill="1" applyBorder="1" applyAlignment="1" applyProtection="1"/>
    <xf numFmtId="169" fontId="12" fillId="0" borderId="5" xfId="12" applyNumberFormat="1" applyFont="1" applyFill="1" applyBorder="1" applyAlignment="1"/>
    <xf numFmtId="178" fontId="0" fillId="0" borderId="0" xfId="0" applyNumberFormat="1"/>
    <xf numFmtId="1" fontId="0" fillId="0" borderId="0" xfId="0" quotePrefix="1" applyNumberFormat="1" applyBorder="1" applyAlignment="1">
      <alignment horizontal="left"/>
    </xf>
    <xf numFmtId="4" fontId="0" fillId="0" borderId="0" xfId="0" applyNumberFormat="1"/>
    <xf numFmtId="4" fontId="0" fillId="0" borderId="8" xfId="0" applyNumberFormat="1" applyBorder="1"/>
    <xf numFmtId="4" fontId="0" fillId="0" borderId="9" xfId="0" applyNumberFormat="1" applyBorder="1"/>
    <xf numFmtId="43" fontId="19" fillId="0" borderId="0" xfId="16" applyNumberFormat="1" applyFill="1"/>
    <xf numFmtId="49" fontId="0" fillId="0" borderId="0" xfId="0" applyNumberFormat="1"/>
    <xf numFmtId="43" fontId="2" fillId="3" borderId="0" xfId="7" applyFont="1" applyFill="1"/>
    <xf numFmtId="1" fontId="2" fillId="0" borderId="0" xfId="0" applyNumberFormat="1" applyFont="1"/>
    <xf numFmtId="1" fontId="0" fillId="0" borderId="0" xfId="7" applyNumberFormat="1" applyFont="1"/>
    <xf numFmtId="4" fontId="0" fillId="0" borderId="0" xfId="0" applyNumberFormat="1" applyFill="1"/>
    <xf numFmtId="43" fontId="0" fillId="0" borderId="3" xfId="7" applyFont="1" applyFill="1" applyBorder="1"/>
    <xf numFmtId="7" fontId="8" fillId="0" borderId="0" xfId="12" applyNumberFormat="1" applyFont="1" applyFill="1" applyAlignment="1"/>
    <xf numFmtId="179" fontId="0" fillId="0" borderId="0" xfId="7" applyNumberFormat="1" applyFont="1"/>
    <xf numFmtId="164" fontId="0" fillId="0" borderId="0" xfId="0" applyFill="1" applyBorder="1"/>
    <xf numFmtId="164" fontId="0" fillId="0" borderId="7" xfId="0" quotePrefix="1" applyBorder="1"/>
    <xf numFmtId="1" fontId="0" fillId="0" borderId="0" xfId="0" quotePrefix="1" applyNumberFormat="1" applyFill="1" applyBorder="1" applyAlignment="1">
      <alignment horizontal="left"/>
    </xf>
    <xf numFmtId="164" fontId="2" fillId="6" borderId="0" xfId="0" applyFont="1" applyFill="1"/>
    <xf numFmtId="169" fontId="13" fillId="0" borderId="0" xfId="12" applyNumberFormat="1" applyFont="1" applyFill="1" applyAlignment="1" applyProtection="1"/>
    <xf numFmtId="164" fontId="1" fillId="0" borderId="0" xfId="0" applyFont="1"/>
    <xf numFmtId="14" fontId="0" fillId="0" borderId="0" xfId="0" applyNumberFormat="1"/>
    <xf numFmtId="1" fontId="0" fillId="0" borderId="0" xfId="0" applyNumberFormat="1" applyFill="1"/>
    <xf numFmtId="2" fontId="0" fillId="0" borderId="0" xfId="0" applyNumberFormat="1" applyFill="1"/>
    <xf numFmtId="4" fontId="0" fillId="0" borderId="9" xfId="0" applyNumberFormat="1" applyFill="1" applyBorder="1"/>
    <xf numFmtId="0" fontId="4" fillId="0" borderId="0" xfId="0" applyNumberFormat="1" applyFont="1" applyAlignment="1">
      <alignment horizontal="center"/>
    </xf>
    <xf numFmtId="43" fontId="3" fillId="0" borderId="0" xfId="7" applyFont="1" applyAlignment="1">
      <alignment horizontal="center" wrapText="1"/>
    </xf>
    <xf numFmtId="164" fontId="3" fillId="4" borderId="0" xfId="0" applyFont="1" applyFill="1" applyAlignment="1">
      <alignment horizontal="center"/>
    </xf>
    <xf numFmtId="164" fontId="3" fillId="0" borderId="0" xfId="0" applyFont="1" applyAlignment="1">
      <alignment horizontal="center"/>
    </xf>
    <xf numFmtId="0" fontId="4" fillId="0" borderId="0" xfId="7" applyNumberFormat="1" applyFont="1" applyAlignment="1">
      <alignment horizontal="center"/>
    </xf>
    <xf numFmtId="0" fontId="3" fillId="0" borderId="0" xfId="7" applyNumberFormat="1" applyFont="1" applyAlignment="1">
      <alignment horizontal="center"/>
    </xf>
    <xf numFmtId="164" fontId="17" fillId="0" borderId="0" xfId="0" applyFont="1" applyAlignment="1">
      <alignment horizontal="center"/>
    </xf>
    <xf numFmtId="164" fontId="4" fillId="0" borderId="0" xfId="0" applyFont="1" applyAlignment="1">
      <alignment horizontal="center"/>
    </xf>
    <xf numFmtId="5" fontId="10" fillId="0" borderId="0" xfId="9" applyNumberFormat="1" applyFont="1" applyAlignment="1">
      <alignment horizontal="center"/>
    </xf>
    <xf numFmtId="3" fontId="10" fillId="0" borderId="0" xfId="12" applyNumberFormat="1" applyFont="1" applyFill="1" applyAlignment="1">
      <alignment horizontal="center"/>
    </xf>
    <xf numFmtId="0" fontId="11" fillId="0" borderId="0" xfId="12" applyFont="1" applyFill="1" applyAlignment="1">
      <alignment horizontal="center"/>
    </xf>
    <xf numFmtId="0" fontId="10" fillId="0" borderId="0" xfId="14" quotePrefix="1" applyFont="1" applyFill="1" applyAlignment="1" applyProtection="1">
      <alignment horizontal="center" vertical="center"/>
    </xf>
    <xf numFmtId="0" fontId="10" fillId="0" borderId="0" xfId="14" applyFont="1" applyFill="1" applyAlignment="1" applyProtection="1">
      <alignment horizontal="center" vertical="center"/>
    </xf>
    <xf numFmtId="0" fontId="10" fillId="0" borderId="0" xfId="14" quotePrefix="1" applyFont="1" applyFill="1" applyAlignment="1">
      <alignment horizontal="center" vertical="center"/>
    </xf>
    <xf numFmtId="0" fontId="10" fillId="0" borderId="0" xfId="14" applyFont="1" applyFill="1" applyAlignment="1">
      <alignment horizontal="center" vertical="center"/>
    </xf>
    <xf numFmtId="14" fontId="10" fillId="0" borderId="1" xfId="14" quotePrefix="1" applyNumberFormat="1" applyFont="1" applyFill="1" applyBorder="1" applyAlignment="1" applyProtection="1">
      <alignment horizontal="left" vertical="top" indent="4"/>
    </xf>
    <xf numFmtId="0" fontId="10" fillId="0" borderId="1" xfId="14" quotePrefix="1" applyFont="1" applyFill="1" applyBorder="1" applyAlignment="1" applyProtection="1">
      <alignment horizontal="center" vertical="top"/>
    </xf>
    <xf numFmtId="0" fontId="10" fillId="0" borderId="1" xfId="14" applyFont="1" applyFill="1" applyBorder="1" applyAlignment="1" applyProtection="1">
      <alignment horizontal="center" vertical="top"/>
    </xf>
    <xf numFmtId="0" fontId="10" fillId="0" borderId="0" xfId="14" quotePrefix="1" applyFont="1" applyFill="1" applyAlignment="1" applyProtection="1">
      <alignment horizontal="center"/>
    </xf>
    <xf numFmtId="0" fontId="10" fillId="0" borderId="0" xfId="14" applyFont="1" applyFill="1" applyAlignment="1" applyProtection="1">
      <alignment horizontal="center"/>
    </xf>
    <xf numFmtId="0" fontId="8" fillId="0" borderId="0" xfId="14" quotePrefix="1" applyFont="1" applyFill="1" applyAlignment="1" applyProtection="1">
      <alignment horizontal="center"/>
    </xf>
  </cellXfs>
  <cellStyles count="17">
    <cellStyle name="60% - Accent6" xfId="16" builtinId="52"/>
    <cellStyle name="Comma" xfId="7" builtinId="3"/>
    <cellStyle name="Comma 2" xfId="11"/>
    <cellStyle name="Currency 2" xfId="10"/>
    <cellStyle name="Normal" xfId="0" builtinId="0"/>
    <cellStyle name="Normal 2" xfId="15"/>
    <cellStyle name="Normal 3" xfId="9"/>
    <cellStyle name="Normal 4 2" xfId="12"/>
    <cellStyle name="Normal_Pass-Through Model 11_2007 - 10_2008" xfId="14"/>
    <cellStyle name="Percent" xfId="8" builtinId="5"/>
    <cellStyle name="Percent 2" xfId="13"/>
    <cellStyle name="PSChar" xfId="1"/>
    <cellStyle name="PSDate" xfId="2"/>
    <cellStyle name="PSDec" xfId="3"/>
    <cellStyle name="PSHeading" xfId="4"/>
    <cellStyle name="PSInt" xfId="5"/>
    <cellStyle name="PSSpacer"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DZ117"/>
  <sheetViews>
    <sheetView topLeftCell="BC1" zoomScale="70" zoomScaleNormal="70" workbookViewId="0">
      <selection activeCell="BJ17" sqref="BJ17"/>
    </sheetView>
  </sheetViews>
  <sheetFormatPr defaultRowHeight="12.75"/>
  <cols>
    <col min="1" max="1" width="34" bestFit="1" customWidth="1"/>
    <col min="2" max="9" width="15.7109375" bestFit="1" customWidth="1"/>
    <col min="10" max="10" width="15.85546875" bestFit="1" customWidth="1"/>
    <col min="11" max="13" width="15.7109375" bestFit="1" customWidth="1"/>
    <col min="14" max="37" width="16.42578125" bestFit="1" customWidth="1"/>
    <col min="38" max="45" width="14.5703125" bestFit="1" customWidth="1"/>
    <col min="46" max="46" width="15.85546875" bestFit="1" customWidth="1"/>
    <col min="47" max="47" width="14.5703125" bestFit="1" customWidth="1"/>
    <col min="48" max="48" width="15.42578125" bestFit="1" customWidth="1"/>
    <col min="49" max="49" width="15.28515625" bestFit="1" customWidth="1"/>
    <col min="50" max="50" width="12.5703125" bestFit="1" customWidth="1"/>
    <col min="51" max="51" width="13.140625" bestFit="1" customWidth="1"/>
    <col min="52" max="52" width="12.5703125" bestFit="1" customWidth="1"/>
    <col min="53" max="53" width="13" bestFit="1" customWidth="1"/>
    <col min="54" max="54" width="13.85546875" bestFit="1" customWidth="1"/>
    <col min="55" max="55" width="15.85546875" style="5" bestFit="1" customWidth="1"/>
    <col min="56" max="56" width="12.5703125" bestFit="1" customWidth="1"/>
    <col min="57" max="57" width="13" bestFit="1" customWidth="1"/>
    <col min="58" max="58" width="13.140625" bestFit="1" customWidth="1"/>
    <col min="59" max="59" width="14.85546875" bestFit="1" customWidth="1"/>
    <col min="60" max="60" width="13.42578125" bestFit="1" customWidth="1"/>
    <col min="61" max="61" width="12.5703125" bestFit="1" customWidth="1"/>
    <col min="62" max="62" width="13.5703125" bestFit="1" customWidth="1"/>
    <col min="63" max="63" width="12.5703125" bestFit="1" customWidth="1"/>
    <col min="64" max="64" width="13" bestFit="1" customWidth="1"/>
    <col min="65" max="65" width="13.85546875" bestFit="1" customWidth="1"/>
    <col min="66" max="66" width="14.42578125" bestFit="1" customWidth="1"/>
    <col min="67" max="67" width="12.5703125" bestFit="1" customWidth="1"/>
    <col min="68" max="68" width="14.85546875" bestFit="1" customWidth="1"/>
    <col min="69" max="69" width="14.140625" customWidth="1"/>
    <col min="70" max="71" width="12.7109375" bestFit="1" customWidth="1"/>
    <col min="72" max="72" width="15.28515625" bestFit="1" customWidth="1"/>
    <col min="73" max="73" width="9.7109375" bestFit="1" customWidth="1"/>
    <col min="74" max="74" width="23.140625" style="9" bestFit="1" customWidth="1"/>
    <col min="75" max="75" width="21" style="9" bestFit="1" customWidth="1"/>
    <col min="76" max="76" width="29.5703125" style="9" bestFit="1" customWidth="1"/>
    <col min="77" max="77" width="23.85546875" style="9" bestFit="1" customWidth="1"/>
    <col min="78" max="78" width="14.42578125" style="9" bestFit="1" customWidth="1"/>
    <col min="79" max="79" width="14.28515625" style="9" bestFit="1" customWidth="1"/>
    <col min="80" max="80" width="13.5703125" style="9" bestFit="1" customWidth="1"/>
    <col min="81" max="81" width="13.85546875" style="9" bestFit="1" customWidth="1"/>
    <col min="82" max="82" width="14.85546875" style="9" bestFit="1" customWidth="1"/>
    <col min="83" max="83" width="14.42578125" style="9" bestFit="1" customWidth="1"/>
    <col min="84" max="84" width="16.42578125" style="9" bestFit="1" customWidth="1"/>
    <col min="85" max="85" width="16.85546875" bestFit="1" customWidth="1"/>
    <col min="86" max="86" width="17.28515625" bestFit="1" customWidth="1"/>
    <col min="87" max="87" width="17.7109375" bestFit="1" customWidth="1"/>
    <col min="88" max="88" width="1.85546875" customWidth="1"/>
    <col min="89" max="89" width="17.28515625" bestFit="1" customWidth="1"/>
    <col min="90" max="90" width="13.5703125" bestFit="1" customWidth="1"/>
    <col min="91" max="91" width="18.140625" bestFit="1" customWidth="1"/>
    <col min="92" max="92" width="13.85546875" bestFit="1" customWidth="1"/>
    <col min="93" max="93" width="14.85546875" bestFit="1" customWidth="1"/>
    <col min="94" max="94" width="17.7109375" bestFit="1" customWidth="1"/>
    <col min="95" max="95" width="18.85546875" bestFit="1" customWidth="1"/>
    <col min="96" max="96" width="1.85546875" customWidth="1"/>
    <col min="97" max="97" width="21.140625" style="9" bestFit="1" customWidth="1"/>
    <col min="98" max="98" width="18.5703125" style="9" bestFit="1" customWidth="1"/>
    <col min="99" max="99" width="13.85546875" style="9" bestFit="1" customWidth="1"/>
    <col min="100" max="100" width="14.28515625" style="9" bestFit="1" customWidth="1"/>
    <col min="101" max="130" width="9.140625" style="9"/>
  </cols>
  <sheetData>
    <row r="1" spans="1:130">
      <c r="B1" s="69">
        <f t="shared" ref="B1:P1" si="0">YEAR(B7)</f>
        <v>2007</v>
      </c>
      <c r="C1" s="69">
        <f t="shared" si="0"/>
        <v>2007</v>
      </c>
      <c r="D1" s="69">
        <f t="shared" si="0"/>
        <v>2007</v>
      </c>
      <c r="E1" s="69">
        <f t="shared" si="0"/>
        <v>2007</v>
      </c>
      <c r="F1" s="69">
        <f t="shared" si="0"/>
        <v>2007</v>
      </c>
      <c r="G1" s="69">
        <f t="shared" si="0"/>
        <v>2007</v>
      </c>
      <c r="H1" s="69">
        <f t="shared" si="0"/>
        <v>2007</v>
      </c>
      <c r="I1" s="69">
        <f t="shared" si="0"/>
        <v>2007</v>
      </c>
      <c r="J1" s="69">
        <f t="shared" si="0"/>
        <v>2007</v>
      </c>
      <c r="K1" s="69">
        <f t="shared" si="0"/>
        <v>2007</v>
      </c>
      <c r="L1" s="69">
        <f t="shared" si="0"/>
        <v>2008</v>
      </c>
      <c r="M1" s="69">
        <f t="shared" si="0"/>
        <v>2008</v>
      </c>
      <c r="N1" s="69">
        <f t="shared" si="0"/>
        <v>2008</v>
      </c>
      <c r="O1" s="69">
        <f t="shared" si="0"/>
        <v>2008</v>
      </c>
      <c r="P1" s="69">
        <f t="shared" si="0"/>
        <v>2008</v>
      </c>
      <c r="Q1" s="69">
        <f>YEAR(Q7)</f>
        <v>2008</v>
      </c>
      <c r="R1" s="69">
        <f t="shared" ref="R1:BS1" si="1">YEAR(R7)</f>
        <v>2008</v>
      </c>
      <c r="S1" s="69">
        <f t="shared" si="1"/>
        <v>2008</v>
      </c>
      <c r="T1" s="69">
        <f t="shared" si="1"/>
        <v>2008</v>
      </c>
      <c r="U1" s="69">
        <f t="shared" si="1"/>
        <v>2008</v>
      </c>
      <c r="V1" s="69">
        <f t="shared" si="1"/>
        <v>2008</v>
      </c>
      <c r="W1" s="69">
        <f t="shared" si="1"/>
        <v>2008</v>
      </c>
      <c r="X1" s="69">
        <f t="shared" si="1"/>
        <v>2009</v>
      </c>
      <c r="Y1" s="69">
        <f t="shared" si="1"/>
        <v>2009</v>
      </c>
      <c r="Z1" s="69">
        <f t="shared" si="1"/>
        <v>2009</v>
      </c>
      <c r="AA1" s="69">
        <f t="shared" si="1"/>
        <v>2009</v>
      </c>
      <c r="AB1" s="69">
        <f t="shared" si="1"/>
        <v>2009</v>
      </c>
      <c r="AC1" s="69">
        <f t="shared" si="1"/>
        <v>2009</v>
      </c>
      <c r="AD1" s="69">
        <f t="shared" si="1"/>
        <v>2009</v>
      </c>
      <c r="AE1" s="69">
        <f t="shared" si="1"/>
        <v>2009</v>
      </c>
      <c r="AF1" s="69">
        <f t="shared" si="1"/>
        <v>2009</v>
      </c>
      <c r="AG1" s="69">
        <f t="shared" si="1"/>
        <v>2009</v>
      </c>
      <c r="AH1" s="69">
        <f t="shared" si="1"/>
        <v>2009</v>
      </c>
      <c r="AI1" s="69">
        <f t="shared" si="1"/>
        <v>2009</v>
      </c>
      <c r="AJ1" s="69">
        <f t="shared" si="1"/>
        <v>2010</v>
      </c>
      <c r="AK1" s="69">
        <f t="shared" si="1"/>
        <v>2010</v>
      </c>
      <c r="AL1" s="69">
        <f t="shared" si="1"/>
        <v>2010</v>
      </c>
      <c r="AM1" s="69">
        <f t="shared" si="1"/>
        <v>2010</v>
      </c>
      <c r="AN1" s="69">
        <f t="shared" si="1"/>
        <v>2010</v>
      </c>
      <c r="AO1" s="69">
        <f t="shared" si="1"/>
        <v>2010</v>
      </c>
      <c r="AP1" s="69">
        <f t="shared" si="1"/>
        <v>2010</v>
      </c>
      <c r="AQ1" s="69">
        <f t="shared" si="1"/>
        <v>2010</v>
      </c>
      <c r="AR1" s="69">
        <f t="shared" si="1"/>
        <v>2010</v>
      </c>
      <c r="AS1" s="69">
        <f t="shared" si="1"/>
        <v>2010</v>
      </c>
      <c r="AT1" s="69">
        <f t="shared" si="1"/>
        <v>2010</v>
      </c>
      <c r="AU1" s="69">
        <f t="shared" si="1"/>
        <v>2010</v>
      </c>
      <c r="AV1" s="69">
        <f t="shared" si="1"/>
        <v>2011</v>
      </c>
      <c r="AW1" s="69">
        <f t="shared" si="1"/>
        <v>2011</v>
      </c>
      <c r="AX1" s="69">
        <f t="shared" si="1"/>
        <v>2011</v>
      </c>
      <c r="AY1" s="69">
        <f t="shared" si="1"/>
        <v>2011</v>
      </c>
      <c r="AZ1" s="69">
        <f t="shared" si="1"/>
        <v>2011</v>
      </c>
      <c r="BA1" s="69">
        <f t="shared" si="1"/>
        <v>2011</v>
      </c>
      <c r="BB1" s="69">
        <f t="shared" si="1"/>
        <v>2011</v>
      </c>
      <c r="BC1" s="69">
        <f t="shared" si="1"/>
        <v>2011</v>
      </c>
      <c r="BD1" s="69">
        <f t="shared" si="1"/>
        <v>2011</v>
      </c>
      <c r="BE1" s="69">
        <f t="shared" si="1"/>
        <v>2011</v>
      </c>
      <c r="BF1" s="69">
        <f t="shared" si="1"/>
        <v>2011</v>
      </c>
      <c r="BG1" s="69">
        <f t="shared" si="1"/>
        <v>2011</v>
      </c>
      <c r="BH1" s="69">
        <f t="shared" si="1"/>
        <v>2012</v>
      </c>
      <c r="BI1" s="69">
        <f t="shared" si="1"/>
        <v>2012</v>
      </c>
      <c r="BJ1" s="69">
        <f t="shared" si="1"/>
        <v>2012</v>
      </c>
      <c r="BK1" s="69">
        <f t="shared" si="1"/>
        <v>2012</v>
      </c>
      <c r="BL1" s="69">
        <f t="shared" si="1"/>
        <v>2012</v>
      </c>
      <c r="BM1" s="69">
        <f t="shared" si="1"/>
        <v>2012</v>
      </c>
      <c r="BN1" s="69">
        <f t="shared" si="1"/>
        <v>2012</v>
      </c>
      <c r="BO1" s="69">
        <f t="shared" si="1"/>
        <v>2012</v>
      </c>
      <c r="BP1" s="69">
        <f t="shared" si="1"/>
        <v>2012</v>
      </c>
      <c r="BQ1" s="69">
        <f t="shared" si="1"/>
        <v>2012</v>
      </c>
      <c r="BR1" s="69">
        <f t="shared" si="1"/>
        <v>2012</v>
      </c>
      <c r="BS1" s="69">
        <f t="shared" si="1"/>
        <v>2012</v>
      </c>
      <c r="CJ1" s="21"/>
      <c r="CR1" s="21"/>
    </row>
    <row r="2" spans="1:130">
      <c r="B2" s="69">
        <f t="shared" ref="B2:P2" si="2">MONTH(B7)</f>
        <v>3</v>
      </c>
      <c r="C2" s="69">
        <f t="shared" si="2"/>
        <v>4</v>
      </c>
      <c r="D2" s="69">
        <f t="shared" si="2"/>
        <v>5</v>
      </c>
      <c r="E2" s="69">
        <f t="shared" si="2"/>
        <v>6</v>
      </c>
      <c r="F2" s="69">
        <f t="shared" si="2"/>
        <v>7</v>
      </c>
      <c r="G2" s="69">
        <f t="shared" si="2"/>
        <v>8</v>
      </c>
      <c r="H2" s="69">
        <f t="shared" si="2"/>
        <v>9</v>
      </c>
      <c r="I2" s="69">
        <f t="shared" si="2"/>
        <v>10</v>
      </c>
      <c r="J2" s="69">
        <f t="shared" si="2"/>
        <v>11</v>
      </c>
      <c r="K2" s="69">
        <f t="shared" si="2"/>
        <v>12</v>
      </c>
      <c r="L2" s="69">
        <f t="shared" si="2"/>
        <v>1</v>
      </c>
      <c r="M2" s="69">
        <f t="shared" si="2"/>
        <v>2</v>
      </c>
      <c r="N2" s="69">
        <f t="shared" si="2"/>
        <v>3</v>
      </c>
      <c r="O2" s="69">
        <f t="shared" si="2"/>
        <v>4</v>
      </c>
      <c r="P2" s="69">
        <f t="shared" si="2"/>
        <v>5</v>
      </c>
      <c r="Q2" s="69">
        <f>MONTH(Q7)</f>
        <v>6</v>
      </c>
      <c r="R2" s="69">
        <f t="shared" ref="R2:BS2" si="3">MONTH(R7)</f>
        <v>7</v>
      </c>
      <c r="S2" s="69">
        <f t="shared" si="3"/>
        <v>8</v>
      </c>
      <c r="T2" s="69">
        <f t="shared" si="3"/>
        <v>9</v>
      </c>
      <c r="U2" s="69">
        <f t="shared" si="3"/>
        <v>10</v>
      </c>
      <c r="V2" s="69">
        <f t="shared" si="3"/>
        <v>11</v>
      </c>
      <c r="W2" s="69">
        <f t="shared" si="3"/>
        <v>12</v>
      </c>
      <c r="X2" s="69">
        <f t="shared" si="3"/>
        <v>1</v>
      </c>
      <c r="Y2" s="69">
        <f t="shared" si="3"/>
        <v>2</v>
      </c>
      <c r="Z2" s="69">
        <f t="shared" si="3"/>
        <v>3</v>
      </c>
      <c r="AA2" s="69">
        <f t="shared" si="3"/>
        <v>4</v>
      </c>
      <c r="AB2" s="69">
        <f t="shared" si="3"/>
        <v>5</v>
      </c>
      <c r="AC2" s="69">
        <f t="shared" si="3"/>
        <v>6</v>
      </c>
      <c r="AD2" s="69">
        <f t="shared" si="3"/>
        <v>7</v>
      </c>
      <c r="AE2" s="69">
        <f t="shared" si="3"/>
        <v>8</v>
      </c>
      <c r="AF2" s="69">
        <f t="shared" si="3"/>
        <v>9</v>
      </c>
      <c r="AG2" s="69">
        <f t="shared" si="3"/>
        <v>10</v>
      </c>
      <c r="AH2" s="69">
        <f t="shared" si="3"/>
        <v>11</v>
      </c>
      <c r="AI2" s="69">
        <f t="shared" si="3"/>
        <v>12</v>
      </c>
      <c r="AJ2" s="69">
        <f t="shared" si="3"/>
        <v>1</v>
      </c>
      <c r="AK2" s="69">
        <f t="shared" si="3"/>
        <v>2</v>
      </c>
      <c r="AL2" s="69">
        <f t="shared" si="3"/>
        <v>3</v>
      </c>
      <c r="AM2" s="69">
        <f t="shared" si="3"/>
        <v>4</v>
      </c>
      <c r="AN2" s="69">
        <f t="shared" si="3"/>
        <v>5</v>
      </c>
      <c r="AO2" s="69">
        <f t="shared" si="3"/>
        <v>6</v>
      </c>
      <c r="AP2" s="69">
        <f t="shared" si="3"/>
        <v>7</v>
      </c>
      <c r="AQ2" s="69">
        <f t="shared" si="3"/>
        <v>8</v>
      </c>
      <c r="AR2" s="69">
        <f t="shared" si="3"/>
        <v>9</v>
      </c>
      <c r="AS2" s="69">
        <f t="shared" si="3"/>
        <v>10</v>
      </c>
      <c r="AT2" s="69">
        <f t="shared" si="3"/>
        <v>11</v>
      </c>
      <c r="AU2" s="69">
        <f t="shared" si="3"/>
        <v>12</v>
      </c>
      <c r="AV2" s="69">
        <f t="shared" si="3"/>
        <v>1</v>
      </c>
      <c r="AW2" s="69">
        <f t="shared" si="3"/>
        <v>2</v>
      </c>
      <c r="AX2" s="69">
        <f t="shared" si="3"/>
        <v>3</v>
      </c>
      <c r="AY2" s="69">
        <f t="shared" si="3"/>
        <v>4</v>
      </c>
      <c r="AZ2" s="69">
        <f t="shared" si="3"/>
        <v>5</v>
      </c>
      <c r="BA2" s="69">
        <f t="shared" si="3"/>
        <v>6</v>
      </c>
      <c r="BB2" s="69">
        <f t="shared" si="3"/>
        <v>7</v>
      </c>
      <c r="BC2" s="69">
        <f t="shared" si="3"/>
        <v>8</v>
      </c>
      <c r="BD2" s="69">
        <f t="shared" si="3"/>
        <v>9</v>
      </c>
      <c r="BE2" s="69">
        <f t="shared" si="3"/>
        <v>10</v>
      </c>
      <c r="BF2" s="69">
        <f t="shared" si="3"/>
        <v>11</v>
      </c>
      <c r="BG2" s="69">
        <f t="shared" si="3"/>
        <v>12</v>
      </c>
      <c r="BH2" s="69">
        <f t="shared" si="3"/>
        <v>1</v>
      </c>
      <c r="BI2" s="69">
        <f t="shared" si="3"/>
        <v>2</v>
      </c>
      <c r="BJ2" s="69">
        <f t="shared" si="3"/>
        <v>3</v>
      </c>
      <c r="BK2" s="69">
        <f t="shared" si="3"/>
        <v>4</v>
      </c>
      <c r="BL2" s="69">
        <f t="shared" si="3"/>
        <v>5</v>
      </c>
      <c r="BM2" s="69">
        <f t="shared" si="3"/>
        <v>6</v>
      </c>
      <c r="BN2" s="69">
        <f t="shared" si="3"/>
        <v>7</v>
      </c>
      <c r="BO2" s="69">
        <f t="shared" si="3"/>
        <v>8</v>
      </c>
      <c r="BP2" s="69">
        <f t="shared" si="3"/>
        <v>9</v>
      </c>
      <c r="BQ2" s="69">
        <f t="shared" si="3"/>
        <v>10</v>
      </c>
      <c r="BR2" s="69">
        <f t="shared" si="3"/>
        <v>11</v>
      </c>
      <c r="BS2" s="69">
        <f t="shared" si="3"/>
        <v>12</v>
      </c>
      <c r="BZ2" s="268">
        <v>2010</v>
      </c>
      <c r="CA2" s="268"/>
      <c r="CB2" s="268"/>
      <c r="CC2" s="268"/>
      <c r="CD2" s="268"/>
      <c r="CE2" s="268"/>
      <c r="CF2" s="268"/>
      <c r="CG2" s="268"/>
      <c r="CH2" s="268"/>
      <c r="CI2" s="268"/>
      <c r="CJ2" s="21"/>
      <c r="CK2" s="264">
        <v>2011</v>
      </c>
      <c r="CL2" s="264"/>
      <c r="CM2" s="264"/>
      <c r="CN2" s="264"/>
      <c r="CO2" s="264"/>
      <c r="CP2" s="264"/>
      <c r="CQ2" s="264"/>
      <c r="CR2" s="21"/>
      <c r="CS2" s="264">
        <v>2012</v>
      </c>
      <c r="CT2" s="264"/>
      <c r="CU2" s="264"/>
      <c r="CV2" s="264"/>
      <c r="CW2" s="228"/>
      <c r="CX2" s="228"/>
      <c r="CY2" s="228"/>
    </row>
    <row r="3" spans="1:130">
      <c r="B3" s="69">
        <f t="shared" ref="B3:P3" si="4">DAY(B7)</f>
        <v>31</v>
      </c>
      <c r="C3" s="69">
        <f t="shared" si="4"/>
        <v>30</v>
      </c>
      <c r="D3" s="69">
        <f t="shared" si="4"/>
        <v>31</v>
      </c>
      <c r="E3" s="69">
        <f t="shared" si="4"/>
        <v>30</v>
      </c>
      <c r="F3" s="69">
        <f t="shared" si="4"/>
        <v>31</v>
      </c>
      <c r="G3" s="69">
        <f t="shared" si="4"/>
        <v>31</v>
      </c>
      <c r="H3" s="69">
        <f t="shared" si="4"/>
        <v>30</v>
      </c>
      <c r="I3" s="69">
        <f t="shared" si="4"/>
        <v>31</v>
      </c>
      <c r="J3" s="69">
        <f t="shared" si="4"/>
        <v>30</v>
      </c>
      <c r="K3" s="69">
        <f t="shared" si="4"/>
        <v>31</v>
      </c>
      <c r="L3" s="69">
        <f t="shared" si="4"/>
        <v>31</v>
      </c>
      <c r="M3" s="69">
        <f t="shared" si="4"/>
        <v>29</v>
      </c>
      <c r="N3" s="69">
        <f t="shared" si="4"/>
        <v>31</v>
      </c>
      <c r="O3" s="69">
        <f t="shared" si="4"/>
        <v>30</v>
      </c>
      <c r="P3" s="69">
        <f t="shared" si="4"/>
        <v>31</v>
      </c>
      <c r="Q3" s="69">
        <f>DAY(Q7)</f>
        <v>30</v>
      </c>
      <c r="R3" s="69">
        <f t="shared" ref="R3:BS3" si="5">DAY(R7)</f>
        <v>31</v>
      </c>
      <c r="S3" s="69">
        <f t="shared" si="5"/>
        <v>31</v>
      </c>
      <c r="T3" s="69">
        <f t="shared" si="5"/>
        <v>30</v>
      </c>
      <c r="U3" s="69">
        <f t="shared" si="5"/>
        <v>31</v>
      </c>
      <c r="V3" s="69">
        <f t="shared" si="5"/>
        <v>30</v>
      </c>
      <c r="W3" s="69">
        <f t="shared" si="5"/>
        <v>31</v>
      </c>
      <c r="X3" s="69">
        <f t="shared" si="5"/>
        <v>31</v>
      </c>
      <c r="Y3" s="69">
        <f t="shared" si="5"/>
        <v>28</v>
      </c>
      <c r="Z3" s="69">
        <f t="shared" si="5"/>
        <v>31</v>
      </c>
      <c r="AA3" s="69">
        <f t="shared" si="5"/>
        <v>30</v>
      </c>
      <c r="AB3" s="69">
        <f t="shared" si="5"/>
        <v>31</v>
      </c>
      <c r="AC3" s="69">
        <f t="shared" si="5"/>
        <v>30</v>
      </c>
      <c r="AD3" s="69">
        <f t="shared" si="5"/>
        <v>31</v>
      </c>
      <c r="AE3" s="69">
        <f t="shared" si="5"/>
        <v>31</v>
      </c>
      <c r="AF3" s="69">
        <f t="shared" si="5"/>
        <v>30</v>
      </c>
      <c r="AG3" s="69">
        <f t="shared" si="5"/>
        <v>31</v>
      </c>
      <c r="AH3" s="69">
        <f t="shared" si="5"/>
        <v>30</v>
      </c>
      <c r="AI3" s="69">
        <f t="shared" si="5"/>
        <v>31</v>
      </c>
      <c r="AJ3" s="69">
        <f t="shared" si="5"/>
        <v>31</v>
      </c>
      <c r="AK3" s="69">
        <f t="shared" si="5"/>
        <v>28</v>
      </c>
      <c r="AL3" s="69">
        <f t="shared" si="5"/>
        <v>31</v>
      </c>
      <c r="AM3" s="69">
        <f t="shared" si="5"/>
        <v>30</v>
      </c>
      <c r="AN3" s="69">
        <f t="shared" si="5"/>
        <v>31</v>
      </c>
      <c r="AO3" s="69">
        <f t="shared" si="5"/>
        <v>30</v>
      </c>
      <c r="AP3" s="69">
        <f t="shared" si="5"/>
        <v>31</v>
      </c>
      <c r="AQ3" s="69">
        <f t="shared" si="5"/>
        <v>31</v>
      </c>
      <c r="AR3" s="69">
        <f t="shared" si="5"/>
        <v>30</v>
      </c>
      <c r="AS3" s="69">
        <f t="shared" si="5"/>
        <v>31</v>
      </c>
      <c r="AT3" s="69">
        <f t="shared" si="5"/>
        <v>30</v>
      </c>
      <c r="AU3" s="69">
        <f t="shared" si="5"/>
        <v>31</v>
      </c>
      <c r="AV3" s="69">
        <f t="shared" si="5"/>
        <v>31</v>
      </c>
      <c r="AW3" s="69">
        <f t="shared" si="5"/>
        <v>28</v>
      </c>
      <c r="AX3" s="69">
        <f t="shared" si="5"/>
        <v>31</v>
      </c>
      <c r="AY3" s="69">
        <f t="shared" si="5"/>
        <v>30</v>
      </c>
      <c r="AZ3" s="69">
        <f t="shared" si="5"/>
        <v>31</v>
      </c>
      <c r="BA3" s="69">
        <f t="shared" si="5"/>
        <v>30</v>
      </c>
      <c r="BB3" s="69">
        <f t="shared" si="5"/>
        <v>31</v>
      </c>
      <c r="BC3" s="69">
        <f t="shared" si="5"/>
        <v>31</v>
      </c>
      <c r="BD3" s="69">
        <f t="shared" si="5"/>
        <v>30</v>
      </c>
      <c r="BE3" s="69">
        <f t="shared" si="5"/>
        <v>31</v>
      </c>
      <c r="BF3" s="69">
        <f t="shared" si="5"/>
        <v>30</v>
      </c>
      <c r="BG3" s="69">
        <f t="shared" si="5"/>
        <v>31</v>
      </c>
      <c r="BH3" s="69">
        <f t="shared" si="5"/>
        <v>31</v>
      </c>
      <c r="BI3" s="69">
        <f t="shared" si="5"/>
        <v>29</v>
      </c>
      <c r="BJ3" s="69">
        <f t="shared" si="5"/>
        <v>31</v>
      </c>
      <c r="BK3" s="69">
        <f t="shared" si="5"/>
        <v>30</v>
      </c>
      <c r="BL3" s="69">
        <f t="shared" si="5"/>
        <v>31</v>
      </c>
      <c r="BM3" s="69">
        <f t="shared" si="5"/>
        <v>30</v>
      </c>
      <c r="BN3" s="69">
        <f t="shared" si="5"/>
        <v>31</v>
      </c>
      <c r="BO3" s="69">
        <f t="shared" si="5"/>
        <v>31</v>
      </c>
      <c r="BP3" s="69">
        <f t="shared" si="5"/>
        <v>30</v>
      </c>
      <c r="BQ3" s="69">
        <f t="shared" si="5"/>
        <v>31</v>
      </c>
      <c r="BR3" s="69">
        <f t="shared" si="5"/>
        <v>30</v>
      </c>
      <c r="BS3" s="69">
        <f t="shared" si="5"/>
        <v>31</v>
      </c>
      <c r="BZ3" s="269" t="s">
        <v>76</v>
      </c>
      <c r="CA3" s="269"/>
      <c r="CB3" s="269"/>
      <c r="CC3" s="18"/>
      <c r="CD3" s="18"/>
      <c r="CE3" s="269" t="s">
        <v>77</v>
      </c>
      <c r="CF3" s="269"/>
      <c r="CG3" s="266" t="s">
        <v>85</v>
      </c>
      <c r="CH3" s="266"/>
      <c r="CI3" s="266"/>
      <c r="CJ3" s="21"/>
      <c r="CK3" s="267" t="s">
        <v>76</v>
      </c>
      <c r="CL3" s="267"/>
      <c r="CM3" s="267"/>
      <c r="CP3" s="266" t="s">
        <v>89</v>
      </c>
      <c r="CQ3" s="266"/>
      <c r="CR3" s="21"/>
    </row>
    <row r="4" spans="1:130" ht="25.5">
      <c r="B4" s="19">
        <f>YEAR(B7)</f>
        <v>2007</v>
      </c>
      <c r="C4" s="19">
        <f t="shared" ref="C4:BN4" si="6">YEAR(C7)</f>
        <v>2007</v>
      </c>
      <c r="D4" s="19">
        <f t="shared" si="6"/>
        <v>2007</v>
      </c>
      <c r="E4" s="19">
        <f t="shared" si="6"/>
        <v>2007</v>
      </c>
      <c r="F4" s="19">
        <f t="shared" si="6"/>
        <v>2007</v>
      </c>
      <c r="G4" s="19">
        <f t="shared" si="6"/>
        <v>2007</v>
      </c>
      <c r="H4" s="19">
        <f>YEAR(H7)</f>
        <v>2007</v>
      </c>
      <c r="I4" s="19">
        <f t="shared" si="6"/>
        <v>2007</v>
      </c>
      <c r="J4" s="19">
        <f t="shared" si="6"/>
        <v>2007</v>
      </c>
      <c r="K4" s="19">
        <f t="shared" si="6"/>
        <v>2007</v>
      </c>
      <c r="L4" s="19">
        <f t="shared" si="6"/>
        <v>2008</v>
      </c>
      <c r="M4" s="19">
        <f t="shared" si="6"/>
        <v>2008</v>
      </c>
      <c r="N4" s="19">
        <f t="shared" si="6"/>
        <v>2008</v>
      </c>
      <c r="O4" s="19">
        <f t="shared" si="6"/>
        <v>2008</v>
      </c>
      <c r="P4" s="19">
        <f t="shared" si="6"/>
        <v>2008</v>
      </c>
      <c r="Q4" s="19">
        <f t="shared" si="6"/>
        <v>2008</v>
      </c>
      <c r="R4" s="19">
        <f t="shared" si="6"/>
        <v>2008</v>
      </c>
      <c r="S4" s="19">
        <f t="shared" si="6"/>
        <v>2008</v>
      </c>
      <c r="T4" s="19">
        <f t="shared" si="6"/>
        <v>2008</v>
      </c>
      <c r="U4" s="19">
        <f t="shared" si="6"/>
        <v>2008</v>
      </c>
      <c r="V4" s="19">
        <f t="shared" si="6"/>
        <v>2008</v>
      </c>
      <c r="W4" s="19">
        <f t="shared" si="6"/>
        <v>2008</v>
      </c>
      <c r="X4" s="19">
        <f t="shared" si="6"/>
        <v>2009</v>
      </c>
      <c r="Y4" s="19">
        <f t="shared" si="6"/>
        <v>2009</v>
      </c>
      <c r="Z4" s="19">
        <f t="shared" si="6"/>
        <v>2009</v>
      </c>
      <c r="AA4" s="19">
        <f t="shared" si="6"/>
        <v>2009</v>
      </c>
      <c r="AB4" s="19">
        <f t="shared" si="6"/>
        <v>2009</v>
      </c>
      <c r="AC4" s="19">
        <f t="shared" si="6"/>
        <v>2009</v>
      </c>
      <c r="AD4" s="19">
        <f t="shared" si="6"/>
        <v>2009</v>
      </c>
      <c r="AE4" s="19">
        <f t="shared" si="6"/>
        <v>2009</v>
      </c>
      <c r="AF4" s="19">
        <f t="shared" si="6"/>
        <v>2009</v>
      </c>
      <c r="AG4" s="19">
        <f t="shared" si="6"/>
        <v>2009</v>
      </c>
      <c r="AH4" s="19">
        <f t="shared" si="6"/>
        <v>2009</v>
      </c>
      <c r="AI4" s="19">
        <f t="shared" si="6"/>
        <v>2009</v>
      </c>
      <c r="AJ4" s="19">
        <f t="shared" si="6"/>
        <v>2010</v>
      </c>
      <c r="AK4" s="19">
        <f t="shared" si="6"/>
        <v>2010</v>
      </c>
      <c r="AL4" s="19">
        <f t="shared" si="6"/>
        <v>2010</v>
      </c>
      <c r="AM4" s="19">
        <f t="shared" si="6"/>
        <v>2010</v>
      </c>
      <c r="AN4" s="19">
        <f t="shared" si="6"/>
        <v>2010</v>
      </c>
      <c r="AO4" s="19">
        <f t="shared" si="6"/>
        <v>2010</v>
      </c>
      <c r="AP4" s="19">
        <f t="shared" si="6"/>
        <v>2010</v>
      </c>
      <c r="AQ4" s="19">
        <f t="shared" si="6"/>
        <v>2010</v>
      </c>
      <c r="AR4" s="19">
        <f t="shared" si="6"/>
        <v>2010</v>
      </c>
      <c r="AS4" s="19">
        <f t="shared" si="6"/>
        <v>2010</v>
      </c>
      <c r="AT4" s="19">
        <f t="shared" si="6"/>
        <v>2010</v>
      </c>
      <c r="AU4" s="19">
        <f t="shared" si="6"/>
        <v>2010</v>
      </c>
      <c r="AV4" s="19">
        <f t="shared" si="6"/>
        <v>2011</v>
      </c>
      <c r="AW4" s="19">
        <f t="shared" si="6"/>
        <v>2011</v>
      </c>
      <c r="AX4" s="19">
        <f t="shared" si="6"/>
        <v>2011</v>
      </c>
      <c r="AY4" s="19">
        <f t="shared" si="6"/>
        <v>2011</v>
      </c>
      <c r="AZ4" s="19">
        <f t="shared" si="6"/>
        <v>2011</v>
      </c>
      <c r="BA4" s="19">
        <f t="shared" si="6"/>
        <v>2011</v>
      </c>
      <c r="BB4" s="19">
        <f t="shared" si="6"/>
        <v>2011</v>
      </c>
      <c r="BC4" s="261">
        <f t="shared" si="6"/>
        <v>2011</v>
      </c>
      <c r="BD4" s="19">
        <f t="shared" si="6"/>
        <v>2011</v>
      </c>
      <c r="BE4" s="19">
        <f t="shared" si="6"/>
        <v>2011</v>
      </c>
      <c r="BF4" s="19">
        <f t="shared" si="6"/>
        <v>2011</v>
      </c>
      <c r="BG4" s="19">
        <f t="shared" si="6"/>
        <v>2011</v>
      </c>
      <c r="BH4" s="19">
        <f t="shared" si="6"/>
        <v>2012</v>
      </c>
      <c r="BI4" s="19">
        <f t="shared" si="6"/>
        <v>2012</v>
      </c>
      <c r="BJ4" s="19">
        <f t="shared" si="6"/>
        <v>2012</v>
      </c>
      <c r="BK4" s="19">
        <f t="shared" si="6"/>
        <v>2012</v>
      </c>
      <c r="BL4" s="19">
        <f t="shared" si="6"/>
        <v>2012</v>
      </c>
      <c r="BM4" s="19">
        <f t="shared" si="6"/>
        <v>2012</v>
      </c>
      <c r="BN4" s="19">
        <f t="shared" si="6"/>
        <v>2012</v>
      </c>
      <c r="BO4" s="19">
        <f t="shared" ref="BO4:BS4" si="7">YEAR(BO7)</f>
        <v>2012</v>
      </c>
      <c r="BP4" s="19">
        <f t="shared" si="7"/>
        <v>2012</v>
      </c>
      <c r="BQ4" s="19">
        <f t="shared" si="7"/>
        <v>2012</v>
      </c>
      <c r="BR4" s="19">
        <f t="shared" si="7"/>
        <v>2012</v>
      </c>
      <c r="BS4" s="19">
        <f t="shared" si="7"/>
        <v>2012</v>
      </c>
      <c r="BY4" s="12" t="s">
        <v>69</v>
      </c>
      <c r="BZ4" s="12" t="s">
        <v>68</v>
      </c>
      <c r="CA4" s="265" t="s">
        <v>73</v>
      </c>
      <c r="CB4" s="265"/>
      <c r="CC4" s="47" t="s">
        <v>79</v>
      </c>
      <c r="CD4" s="47" t="s">
        <v>78</v>
      </c>
      <c r="CE4" s="15" t="s">
        <v>80</v>
      </c>
      <c r="CF4" s="15" t="s">
        <v>80</v>
      </c>
      <c r="CG4" s="29" t="s">
        <v>81</v>
      </c>
      <c r="CH4" s="29" t="s">
        <v>83</v>
      </c>
      <c r="CI4" s="30" t="s">
        <v>83</v>
      </c>
      <c r="CJ4" s="21"/>
      <c r="CK4" s="265" t="s">
        <v>68</v>
      </c>
      <c r="CL4" s="265"/>
      <c r="CM4" s="6" t="s">
        <v>87</v>
      </c>
      <c r="CN4" s="47" t="s">
        <v>79</v>
      </c>
      <c r="CO4" s="48" t="s">
        <v>78</v>
      </c>
      <c r="CP4" s="37" t="s">
        <v>90</v>
      </c>
      <c r="CQ4" s="37" t="s">
        <v>90</v>
      </c>
      <c r="CR4" s="21"/>
      <c r="CS4" s="227" t="s">
        <v>323</v>
      </c>
      <c r="CT4" s="227" t="s">
        <v>87</v>
      </c>
      <c r="CU4" s="9" t="s">
        <v>79</v>
      </c>
      <c r="CV4" s="9" t="s">
        <v>78</v>
      </c>
    </row>
    <row r="5" spans="1:130">
      <c r="B5" s="17">
        <v>0.5</v>
      </c>
      <c r="C5" s="17">
        <v>0.5</v>
      </c>
      <c r="D5" s="17">
        <v>0.5</v>
      </c>
      <c r="E5" s="17">
        <v>0.5</v>
      </c>
      <c r="F5" s="17">
        <v>0.5</v>
      </c>
      <c r="G5" s="17">
        <v>0.5</v>
      </c>
      <c r="H5" s="17">
        <v>0.5</v>
      </c>
      <c r="I5" s="17">
        <v>0.5</v>
      </c>
      <c r="J5" s="17">
        <v>0.5</v>
      </c>
      <c r="K5" s="17">
        <v>0.5</v>
      </c>
      <c r="L5" s="17">
        <v>0.5</v>
      </c>
      <c r="M5" s="17">
        <v>0.5</v>
      </c>
      <c r="N5" s="17">
        <v>0.5</v>
      </c>
      <c r="O5" s="17">
        <v>0.5</v>
      </c>
      <c r="P5" s="17">
        <v>0.5</v>
      </c>
      <c r="Q5" s="17">
        <v>0.5</v>
      </c>
      <c r="R5" s="17">
        <v>0.5</v>
      </c>
      <c r="S5" s="17">
        <v>0.5</v>
      </c>
      <c r="T5" s="17">
        <v>0.5</v>
      </c>
      <c r="U5" s="17">
        <v>0.5</v>
      </c>
      <c r="V5" s="17">
        <v>0.5</v>
      </c>
      <c r="W5" s="17">
        <v>0.5</v>
      </c>
      <c r="X5" s="17">
        <v>0.5</v>
      </c>
      <c r="Y5" s="17">
        <v>0.5</v>
      </c>
      <c r="Z5" s="17">
        <v>0.5</v>
      </c>
      <c r="AA5" s="17">
        <v>0.5</v>
      </c>
      <c r="AB5" s="17">
        <v>0.5</v>
      </c>
      <c r="AC5" s="17">
        <v>0.5</v>
      </c>
      <c r="AD5" s="17">
        <v>0.5</v>
      </c>
      <c r="AE5" s="17">
        <v>0.5</v>
      </c>
      <c r="AF5" s="17">
        <v>0.5</v>
      </c>
      <c r="AG5" s="17">
        <v>0.5</v>
      </c>
      <c r="AH5" s="17">
        <v>0.5</v>
      </c>
      <c r="AI5" s="17">
        <v>0.5</v>
      </c>
      <c r="AJ5" s="17">
        <v>0.5</v>
      </c>
      <c r="AK5" s="17">
        <v>0.5</v>
      </c>
      <c r="AL5" s="17">
        <v>0.5</v>
      </c>
      <c r="AM5" s="17">
        <v>0.5</v>
      </c>
      <c r="AN5" s="17">
        <v>0.5</v>
      </c>
      <c r="AO5" s="17">
        <v>0.5</v>
      </c>
      <c r="AP5" s="17">
        <v>0.5</v>
      </c>
      <c r="AQ5" s="17">
        <v>0.5</v>
      </c>
      <c r="AR5" s="17">
        <v>0.5</v>
      </c>
      <c r="AS5" s="17">
        <v>1</v>
      </c>
      <c r="AT5" s="17">
        <v>1</v>
      </c>
      <c r="AU5" s="17">
        <v>1</v>
      </c>
      <c r="AV5" s="17">
        <v>1</v>
      </c>
      <c r="AW5" s="17">
        <v>1</v>
      </c>
      <c r="AX5" s="17">
        <v>1</v>
      </c>
      <c r="AY5" s="17">
        <v>1</v>
      </c>
      <c r="AZ5" s="17">
        <v>1</v>
      </c>
      <c r="BA5" s="17">
        <v>1</v>
      </c>
      <c r="BB5" s="17">
        <v>1</v>
      </c>
      <c r="BC5" s="262">
        <v>1</v>
      </c>
      <c r="BD5" s="17">
        <v>1</v>
      </c>
      <c r="BE5" s="17">
        <v>1</v>
      </c>
      <c r="BF5" s="17">
        <v>1</v>
      </c>
      <c r="BG5" s="17">
        <v>1</v>
      </c>
      <c r="BH5" s="17">
        <v>0.5</v>
      </c>
      <c r="BI5" s="17">
        <v>0.5</v>
      </c>
      <c r="BJ5" s="17">
        <v>0.5</v>
      </c>
      <c r="BK5" s="17">
        <v>0.5</v>
      </c>
      <c r="BL5" s="17">
        <v>0.5</v>
      </c>
      <c r="BM5" s="17">
        <v>0.5</v>
      </c>
      <c r="BN5" s="17">
        <v>0.5</v>
      </c>
      <c r="BO5" s="17">
        <v>0.5</v>
      </c>
      <c r="BP5" s="17">
        <v>0.5</v>
      </c>
      <c r="BQ5" s="17">
        <v>0.5</v>
      </c>
      <c r="BR5" s="17">
        <v>0.5</v>
      </c>
      <c r="BS5" s="17">
        <v>0.5</v>
      </c>
      <c r="BY5" s="11" t="s">
        <v>70</v>
      </c>
      <c r="BZ5" s="13">
        <v>0.5</v>
      </c>
      <c r="CA5" s="14">
        <v>0.5</v>
      </c>
      <c r="CB5" s="14">
        <v>1</v>
      </c>
      <c r="CC5" s="49"/>
      <c r="CD5" s="49"/>
      <c r="CE5" s="14">
        <v>0.5</v>
      </c>
      <c r="CF5" s="14">
        <v>1</v>
      </c>
      <c r="CG5" s="30" t="s">
        <v>82</v>
      </c>
      <c r="CH5" s="30" t="s">
        <v>82</v>
      </c>
      <c r="CI5" s="30" t="s">
        <v>84</v>
      </c>
      <c r="CJ5" s="21"/>
      <c r="CK5" s="13">
        <v>0.5</v>
      </c>
      <c r="CL5" s="13">
        <v>1</v>
      </c>
      <c r="CM5" s="13">
        <v>1</v>
      </c>
      <c r="CN5" s="49"/>
      <c r="CO5" s="5"/>
      <c r="CP5" s="38" t="s">
        <v>82</v>
      </c>
      <c r="CQ5" s="38" t="s">
        <v>84</v>
      </c>
      <c r="CR5" s="21"/>
    </row>
    <row r="6" spans="1:130">
      <c r="A6" s="3" t="s">
        <v>65</v>
      </c>
      <c r="B6" s="2" t="s">
        <v>72</v>
      </c>
      <c r="C6" s="2" t="s">
        <v>72</v>
      </c>
      <c r="D6" s="2" t="s">
        <v>72</v>
      </c>
      <c r="E6" s="2" t="s">
        <v>72</v>
      </c>
      <c r="F6" s="2" t="s">
        <v>72</v>
      </c>
      <c r="G6" s="2" t="s">
        <v>72</v>
      </c>
      <c r="H6" s="2" t="s">
        <v>72</v>
      </c>
      <c r="I6" s="2" t="s">
        <v>72</v>
      </c>
      <c r="J6" s="2" t="s">
        <v>72</v>
      </c>
      <c r="K6" s="2" t="s">
        <v>72</v>
      </c>
      <c r="L6" s="2" t="s">
        <v>72</v>
      </c>
      <c r="M6" s="2" t="s">
        <v>72</v>
      </c>
      <c r="N6" s="2" t="s">
        <v>72</v>
      </c>
      <c r="O6" s="2" t="s">
        <v>72</v>
      </c>
      <c r="P6" s="2" t="s">
        <v>72</v>
      </c>
      <c r="Q6" s="2" t="s">
        <v>72</v>
      </c>
      <c r="R6" s="2" t="s">
        <v>72</v>
      </c>
      <c r="S6" s="2" t="s">
        <v>72</v>
      </c>
      <c r="T6" s="2" t="s">
        <v>72</v>
      </c>
      <c r="U6" s="2" t="s">
        <v>72</v>
      </c>
      <c r="V6" s="2" t="s">
        <v>72</v>
      </c>
      <c r="W6" s="2" t="s">
        <v>72</v>
      </c>
      <c r="X6" s="2" t="s">
        <v>72</v>
      </c>
      <c r="Y6" s="2" t="s">
        <v>72</v>
      </c>
      <c r="Z6" s="2" t="s">
        <v>72</v>
      </c>
      <c r="AA6" s="2" t="s">
        <v>72</v>
      </c>
      <c r="AB6" s="2" t="s">
        <v>72</v>
      </c>
      <c r="AC6" s="2" t="s">
        <v>72</v>
      </c>
      <c r="AD6" s="2" t="s">
        <v>72</v>
      </c>
      <c r="AE6" s="2" t="s">
        <v>72</v>
      </c>
      <c r="AF6" s="2" t="s">
        <v>72</v>
      </c>
      <c r="AG6" s="2" t="s">
        <v>72</v>
      </c>
      <c r="AH6" s="2" t="s">
        <v>72</v>
      </c>
      <c r="AI6" s="2" t="s">
        <v>72</v>
      </c>
      <c r="AJ6" s="2" t="s">
        <v>72</v>
      </c>
      <c r="AK6" s="2" t="s">
        <v>72</v>
      </c>
      <c r="AL6" s="2" t="s">
        <v>72</v>
      </c>
      <c r="AM6" s="2" t="s">
        <v>72</v>
      </c>
      <c r="AN6" s="2" t="s">
        <v>72</v>
      </c>
      <c r="AO6" s="2" t="s">
        <v>72</v>
      </c>
      <c r="AP6" s="2" t="s">
        <v>72</v>
      </c>
      <c r="AQ6" s="2" t="s">
        <v>72</v>
      </c>
      <c r="AR6" s="2" t="s">
        <v>72</v>
      </c>
      <c r="AS6" s="2" t="s">
        <v>72</v>
      </c>
      <c r="AT6" s="2" t="s">
        <v>72</v>
      </c>
      <c r="AU6" s="2" t="s">
        <v>72</v>
      </c>
      <c r="AV6" s="2" t="s">
        <v>74</v>
      </c>
      <c r="AW6" s="2" t="s">
        <v>74</v>
      </c>
      <c r="AX6" s="2" t="s">
        <v>74</v>
      </c>
      <c r="AY6" s="2" t="s">
        <v>74</v>
      </c>
      <c r="AZ6" s="2" t="s">
        <v>74</v>
      </c>
      <c r="BA6" s="2" t="s">
        <v>74</v>
      </c>
      <c r="BB6" s="2" t="s">
        <v>74</v>
      </c>
      <c r="BC6" s="234" t="s">
        <v>74</v>
      </c>
      <c r="BD6" s="2"/>
      <c r="BE6" s="2"/>
      <c r="BF6" s="2"/>
      <c r="BG6" s="2"/>
      <c r="BH6" s="2"/>
      <c r="BI6" s="2"/>
      <c r="BJ6" s="2"/>
      <c r="BK6" s="2"/>
      <c r="BL6" s="2"/>
      <c r="BM6" s="2"/>
      <c r="BN6" s="2"/>
      <c r="BO6" s="2"/>
      <c r="BP6" s="2"/>
      <c r="BQ6" s="2"/>
      <c r="BR6" s="2"/>
      <c r="BS6" s="2"/>
      <c r="BY6" s="11" t="s">
        <v>71</v>
      </c>
      <c r="BZ6" s="15" t="s">
        <v>72</v>
      </c>
      <c r="CA6" s="16" t="s">
        <v>72</v>
      </c>
      <c r="CB6" s="16" t="s">
        <v>72</v>
      </c>
      <c r="CC6" s="50"/>
      <c r="CD6" s="50"/>
      <c r="CE6" s="16" t="s">
        <v>72</v>
      </c>
      <c r="CF6" s="16" t="s">
        <v>72</v>
      </c>
      <c r="CG6" s="45" t="s">
        <v>144</v>
      </c>
      <c r="CH6" s="45" t="s">
        <v>144</v>
      </c>
      <c r="CI6" s="45" t="s">
        <v>145</v>
      </c>
      <c r="CJ6" s="21"/>
      <c r="CK6" s="15" t="s">
        <v>72</v>
      </c>
      <c r="CL6" s="15" t="s">
        <v>72</v>
      </c>
      <c r="CM6" s="23" t="s">
        <v>74</v>
      </c>
      <c r="CN6" s="50"/>
      <c r="CO6" s="5"/>
      <c r="CP6" s="46" t="s">
        <v>146</v>
      </c>
      <c r="CQ6" s="46" t="s">
        <v>147</v>
      </c>
      <c r="CR6" s="21"/>
    </row>
    <row r="7" spans="1:130">
      <c r="A7" t="s">
        <v>0</v>
      </c>
      <c r="B7" t="s">
        <v>62</v>
      </c>
      <c r="C7" t="s">
        <v>21</v>
      </c>
      <c r="D7" t="s">
        <v>2</v>
      </c>
      <c r="E7" t="s">
        <v>1</v>
      </c>
      <c r="F7" t="s">
        <v>3</v>
      </c>
      <c r="G7" t="s">
        <v>35</v>
      </c>
      <c r="H7" t="s">
        <v>22</v>
      </c>
      <c r="I7" t="s">
        <v>4</v>
      </c>
      <c r="J7" t="s">
        <v>6</v>
      </c>
      <c r="K7" t="s">
        <v>5</v>
      </c>
      <c r="L7" t="s">
        <v>7</v>
      </c>
      <c r="M7" t="s">
        <v>8</v>
      </c>
      <c r="N7" t="s">
        <v>9</v>
      </c>
      <c r="O7" t="s">
        <v>23</v>
      </c>
      <c r="P7" t="s">
        <v>24</v>
      </c>
      <c r="Q7" s="260" t="s">
        <v>13</v>
      </c>
      <c r="R7" t="s">
        <v>11</v>
      </c>
      <c r="S7" t="s">
        <v>14</v>
      </c>
      <c r="T7" t="s">
        <v>28</v>
      </c>
      <c r="U7" t="s">
        <v>27</v>
      </c>
      <c r="V7" t="s">
        <v>16</v>
      </c>
      <c r="W7" t="s">
        <v>15</v>
      </c>
      <c r="X7" t="s">
        <v>32</v>
      </c>
      <c r="Y7" t="s">
        <v>25</v>
      </c>
      <c r="Z7" t="s">
        <v>20</v>
      </c>
      <c r="AA7" t="s">
        <v>34</v>
      </c>
      <c r="AB7" t="s">
        <v>19</v>
      </c>
      <c r="AC7" t="s">
        <v>52</v>
      </c>
      <c r="AD7" t="s">
        <v>29</v>
      </c>
      <c r="AE7" t="s">
        <v>43</v>
      </c>
      <c r="AF7" t="s">
        <v>17</v>
      </c>
      <c r="AG7" t="s">
        <v>18</v>
      </c>
      <c r="AH7" t="s">
        <v>26</v>
      </c>
      <c r="AI7" t="s">
        <v>33</v>
      </c>
      <c r="AJ7" t="s">
        <v>45</v>
      </c>
      <c r="AK7" t="s">
        <v>44</v>
      </c>
      <c r="AL7" t="s">
        <v>54</v>
      </c>
      <c r="AM7" t="s">
        <v>55</v>
      </c>
      <c r="AN7" t="s">
        <v>38</v>
      </c>
      <c r="AO7" t="s">
        <v>10</v>
      </c>
      <c r="AP7" t="s">
        <v>37</v>
      </c>
      <c r="AQ7" t="s">
        <v>39</v>
      </c>
      <c r="AR7" t="s">
        <v>53</v>
      </c>
      <c r="AS7" t="s">
        <v>42</v>
      </c>
      <c r="AT7" t="s">
        <v>40</v>
      </c>
      <c r="AU7" t="s">
        <v>41</v>
      </c>
      <c r="AV7" t="s">
        <v>56</v>
      </c>
      <c r="AW7" t="s">
        <v>30</v>
      </c>
      <c r="AX7" t="s">
        <v>46</v>
      </c>
      <c r="AY7" t="s">
        <v>47</v>
      </c>
      <c r="AZ7" t="s">
        <v>51</v>
      </c>
      <c r="BA7" t="s">
        <v>50</v>
      </c>
      <c r="BB7" t="s">
        <v>48</v>
      </c>
      <c r="BC7" s="5" t="s">
        <v>49</v>
      </c>
      <c r="BD7" t="s">
        <v>300</v>
      </c>
      <c r="BE7" t="s">
        <v>301</v>
      </c>
      <c r="BF7" t="s">
        <v>302</v>
      </c>
      <c r="BG7" t="s">
        <v>303</v>
      </c>
      <c r="BH7" s="224">
        <v>40939</v>
      </c>
      <c r="BI7" s="224">
        <v>40968</v>
      </c>
      <c r="BJ7" s="224">
        <v>40999</v>
      </c>
      <c r="BK7" s="224">
        <v>41029</v>
      </c>
      <c r="BL7" s="224">
        <v>41060</v>
      </c>
      <c r="BM7" s="224">
        <v>41090</v>
      </c>
      <c r="BN7" s="224">
        <v>41121</v>
      </c>
      <c r="BO7" s="224">
        <v>41152</v>
      </c>
      <c r="BP7" s="224">
        <v>41182</v>
      </c>
      <c r="BQ7" s="224">
        <v>41213</v>
      </c>
      <c r="BR7" s="224">
        <v>41243</v>
      </c>
      <c r="BS7" s="224">
        <v>41274</v>
      </c>
      <c r="BT7" t="s">
        <v>63</v>
      </c>
      <c r="BV7" s="9" t="s">
        <v>64</v>
      </c>
      <c r="BW7" s="11" t="s">
        <v>67</v>
      </c>
      <c r="BX7" s="11"/>
      <c r="CC7" s="7"/>
      <c r="CD7" s="7"/>
      <c r="CG7" s="31"/>
      <c r="CH7" s="30"/>
      <c r="CI7" s="31"/>
      <c r="CJ7" s="21"/>
      <c r="CN7" s="7"/>
      <c r="CO7" s="5"/>
      <c r="CP7" s="31"/>
      <c r="CQ7" s="31"/>
      <c r="CR7" s="21"/>
    </row>
    <row r="8" spans="1:130">
      <c r="A8" t="s">
        <v>12</v>
      </c>
      <c r="B8" s="9">
        <v>0</v>
      </c>
      <c r="C8" s="9">
        <v>0</v>
      </c>
      <c r="D8" s="9">
        <v>0</v>
      </c>
      <c r="E8" s="9">
        <v>0</v>
      </c>
      <c r="F8" s="9">
        <v>0</v>
      </c>
      <c r="G8" s="9">
        <v>0</v>
      </c>
      <c r="H8" s="9">
        <v>0</v>
      </c>
      <c r="I8" s="9">
        <v>0</v>
      </c>
      <c r="J8" s="9">
        <v>0</v>
      </c>
      <c r="K8" s="9">
        <v>0</v>
      </c>
      <c r="L8" s="9">
        <v>0</v>
      </c>
      <c r="M8" s="9">
        <v>0</v>
      </c>
      <c r="N8" s="9">
        <v>0</v>
      </c>
      <c r="O8" s="9">
        <v>0</v>
      </c>
      <c r="P8" s="9">
        <v>0</v>
      </c>
      <c r="Q8" s="9">
        <v>-9560240</v>
      </c>
      <c r="R8" s="9">
        <v>0</v>
      </c>
      <c r="S8" s="9">
        <v>0</v>
      </c>
      <c r="T8" s="9">
        <v>0</v>
      </c>
      <c r="U8" s="9">
        <v>-8730962.870000001</v>
      </c>
      <c r="V8" s="9">
        <v>-918502.88</v>
      </c>
      <c r="W8" s="9">
        <v>-50851.18</v>
      </c>
      <c r="X8" s="9">
        <v>-399118.37</v>
      </c>
      <c r="Y8" s="9">
        <v>13073.4</v>
      </c>
      <c r="Z8" s="9">
        <v>109373.57</v>
      </c>
      <c r="AA8" s="9">
        <v>10089.459999999999</v>
      </c>
      <c r="AB8" s="9">
        <v>0</v>
      </c>
      <c r="AC8" s="9">
        <v>-255466.56</v>
      </c>
      <c r="AD8" s="9">
        <v>-35049.26</v>
      </c>
      <c r="AE8" s="9">
        <v>0</v>
      </c>
      <c r="AF8" s="9">
        <v>0</v>
      </c>
      <c r="AG8" s="9">
        <v>0</v>
      </c>
      <c r="AH8" s="9">
        <v>0</v>
      </c>
      <c r="AI8" s="9">
        <v>0</v>
      </c>
      <c r="AJ8" s="9">
        <v>0</v>
      </c>
      <c r="AK8" s="9">
        <v>0</v>
      </c>
      <c r="AL8" s="9">
        <v>0</v>
      </c>
      <c r="AM8" s="9">
        <v>0</v>
      </c>
      <c r="AN8" s="9">
        <v>0</v>
      </c>
      <c r="AO8" s="9">
        <v>0</v>
      </c>
      <c r="AP8" s="9">
        <v>0</v>
      </c>
      <c r="AQ8" s="9">
        <v>0</v>
      </c>
      <c r="AR8" s="9">
        <v>0</v>
      </c>
      <c r="AS8" s="9">
        <v>-670027.01</v>
      </c>
      <c r="AT8" s="9">
        <v>0</v>
      </c>
      <c r="AU8" s="9">
        <v>0</v>
      </c>
      <c r="AV8" s="9">
        <v>0</v>
      </c>
      <c r="AW8" s="9">
        <v>0</v>
      </c>
      <c r="AX8" s="9">
        <v>0</v>
      </c>
      <c r="AY8" s="9">
        <v>0</v>
      </c>
      <c r="AZ8" s="9">
        <v>-18838.41</v>
      </c>
      <c r="BA8" s="9">
        <v>0</v>
      </c>
      <c r="BB8" s="9">
        <v>0</v>
      </c>
      <c r="BC8" s="7">
        <v>0</v>
      </c>
      <c r="BD8" s="9">
        <v>0</v>
      </c>
      <c r="BE8" s="9">
        <v>0</v>
      </c>
      <c r="BF8" s="9">
        <v>0</v>
      </c>
      <c r="BG8" s="9">
        <v>0</v>
      </c>
      <c r="BH8" s="9">
        <v>0</v>
      </c>
      <c r="BI8" s="9">
        <v>0</v>
      </c>
      <c r="BJ8" s="9">
        <v>0</v>
      </c>
      <c r="BK8" s="9">
        <v>0</v>
      </c>
      <c r="BL8" s="9">
        <v>0</v>
      </c>
      <c r="BM8" s="9">
        <v>0</v>
      </c>
      <c r="BN8" s="9">
        <v>0</v>
      </c>
      <c r="BO8" s="9">
        <v>0</v>
      </c>
      <c r="BP8" s="9">
        <v>0</v>
      </c>
      <c r="BQ8" s="9">
        <v>0</v>
      </c>
      <c r="BR8" s="9"/>
      <c r="BS8" s="9"/>
      <c r="BT8" s="9">
        <f t="shared" ref="BT8:BT41" si="8">SUM(B8:BS8)</f>
        <v>-20506520.110000003</v>
      </c>
      <c r="BV8" s="9">
        <f>SUM(B8:AI8)</f>
        <v>-19817654.690000001</v>
      </c>
      <c r="BW8" s="9">
        <f>BT8-BV8</f>
        <v>-688865.42000000179</v>
      </c>
      <c r="BZ8" s="9">
        <f t="shared" ref="BZ8:BZ41" si="9">BX49+BV8</f>
        <v>-5412.8900000080466</v>
      </c>
      <c r="CA8" s="9">
        <f t="shared" ref="CA8:CA37" si="10">SUM(AJ49:AR49)</f>
        <v>675439.89999999991</v>
      </c>
      <c r="CB8" s="9">
        <f t="shared" ref="CB8:CB37" si="11">SUM(AS49:AU49)</f>
        <v>791.91</v>
      </c>
      <c r="CC8" s="7">
        <f>SUM(BZ8:CB8)</f>
        <v>670818.91999999189</v>
      </c>
      <c r="CD8" s="7">
        <f>SUM(AJ8:AU8)</f>
        <v>-670027.01</v>
      </c>
      <c r="CE8" s="9">
        <f>SUMIFS($B8:$BC8,$B$4:$BC$4,$BZ$2,$B$5:$BC$5,CE$5)</f>
        <v>0</v>
      </c>
      <c r="CF8" s="9">
        <f>SUMIFS($B8:$BC8,$B$4:$BC$4,$BZ$2,$B$5:$BC$5,CF$5)</f>
        <v>-670027.01</v>
      </c>
      <c r="CG8" s="32">
        <f>IF(BZ8&gt;=-CE8,MIN(BZ8,-CE8),IF(SUM(BZ8:CA8)&gt;=-CE8,MIN(SUM(BZ8:CA8),-CE8),0))</f>
        <v>0</v>
      </c>
      <c r="CH8" s="32">
        <f t="shared" ref="CH8" si="12">IF(CD8=0,0,SUM(BZ8:CA8)-CG8)</f>
        <v>670027.00999999186</v>
      </c>
      <c r="CI8" s="32">
        <f>-SUM(CG8:CH8)-CD8</f>
        <v>8.149072527885437E-9</v>
      </c>
      <c r="CJ8" s="22"/>
      <c r="CK8" s="9">
        <f>SUM(BZ8:CA8)-SUM(CG8:CH8)</f>
        <v>0</v>
      </c>
      <c r="CL8" s="9">
        <f>CB8-CI8</f>
        <v>791.9099999918509</v>
      </c>
      <c r="CM8" s="9">
        <f t="shared" ref="CM8:CM37" si="13">SUM(AV49:BG49)</f>
        <v>18046.5</v>
      </c>
      <c r="CN8" s="7">
        <f>SUM(CK8:CM8)</f>
        <v>18838.409999991851</v>
      </c>
      <c r="CO8" s="7">
        <f>SUM(AV8:BG8)</f>
        <v>-18838.41</v>
      </c>
      <c r="CP8" s="32">
        <f>IF(CK8&lt;-CO8,CK8,0)</f>
        <v>0</v>
      </c>
      <c r="CQ8" s="32">
        <f>-CO8-CP8</f>
        <v>18838.41</v>
      </c>
      <c r="CR8" s="21"/>
      <c r="CS8" s="9">
        <f>SUM(CN8:CO8)</f>
        <v>-8.149072527885437E-9</v>
      </c>
      <c r="CT8" s="9">
        <f t="shared" ref="CT8:CT41" si="14">SUM(BH49:BS49)</f>
        <v>0</v>
      </c>
      <c r="CU8" s="9">
        <f>SUM(CS8:CT8)</f>
        <v>-8.149072527885437E-9</v>
      </c>
      <c r="CV8" s="9">
        <f t="shared" ref="CV8" si="15">-SUM(BH8:BS8)</f>
        <v>0</v>
      </c>
    </row>
    <row r="9" spans="1:130">
      <c r="A9" t="s">
        <v>31</v>
      </c>
      <c r="B9" s="9">
        <v>0</v>
      </c>
      <c r="C9" s="9">
        <v>0</v>
      </c>
      <c r="D9" s="9">
        <v>0</v>
      </c>
      <c r="E9" s="9">
        <v>0</v>
      </c>
      <c r="F9" s="9">
        <v>0</v>
      </c>
      <c r="G9" s="9">
        <v>0</v>
      </c>
      <c r="H9" s="9">
        <v>0</v>
      </c>
      <c r="I9" s="9">
        <v>0</v>
      </c>
      <c r="J9" s="9">
        <v>0</v>
      </c>
      <c r="K9" s="9">
        <v>0</v>
      </c>
      <c r="L9" s="9">
        <v>0</v>
      </c>
      <c r="M9" s="9">
        <v>0</v>
      </c>
      <c r="N9" s="9">
        <v>0</v>
      </c>
      <c r="O9" s="9">
        <v>0</v>
      </c>
      <c r="P9" s="9">
        <v>0</v>
      </c>
      <c r="Q9" s="9">
        <v>-4187682</v>
      </c>
      <c r="R9" s="9">
        <v>0</v>
      </c>
      <c r="S9" s="9">
        <v>0</v>
      </c>
      <c r="T9" s="9">
        <v>0</v>
      </c>
      <c r="U9" s="9">
        <v>-5268871.05</v>
      </c>
      <c r="V9" s="9">
        <v>-16482707.93</v>
      </c>
      <c r="W9" s="9">
        <v>-2611900.1</v>
      </c>
      <c r="X9" s="9">
        <v>-1698569.12</v>
      </c>
      <c r="Y9" s="9">
        <v>-64643.25</v>
      </c>
      <c r="Z9" s="9">
        <v>110173.21</v>
      </c>
      <c r="AA9" s="9">
        <v>-366704.34</v>
      </c>
      <c r="AB9" s="9">
        <v>0</v>
      </c>
      <c r="AC9" s="9">
        <v>113313.69</v>
      </c>
      <c r="AD9" s="9">
        <v>-29886.78</v>
      </c>
      <c r="AE9" s="9">
        <v>0</v>
      </c>
      <c r="AF9" s="9">
        <v>-154089.76</v>
      </c>
      <c r="AG9" s="9">
        <v>-246508.34</v>
      </c>
      <c r="AH9" s="9">
        <v>-31553.17</v>
      </c>
      <c r="AI9" s="9">
        <v>-5620.35</v>
      </c>
      <c r="AJ9" s="9">
        <v>-4128.67</v>
      </c>
      <c r="AK9" s="9">
        <v>-208.45</v>
      </c>
      <c r="AL9" s="9">
        <v>0</v>
      </c>
      <c r="AM9" s="9">
        <v>-31520.5</v>
      </c>
      <c r="AN9" s="9">
        <v>-2206.83</v>
      </c>
      <c r="AO9" s="9">
        <v>-4074.87</v>
      </c>
      <c r="AP9" s="9">
        <v>-11204.41</v>
      </c>
      <c r="AQ9" s="9">
        <v>0</v>
      </c>
      <c r="AR9" s="9">
        <v>-330037.25</v>
      </c>
      <c r="AS9" s="9">
        <v>-52900.19</v>
      </c>
      <c r="AT9" s="9">
        <v>0</v>
      </c>
      <c r="AU9" s="9">
        <v>-54606.11</v>
      </c>
      <c r="AV9" s="9">
        <v>49598.2</v>
      </c>
      <c r="AW9" s="9">
        <v>0</v>
      </c>
      <c r="AX9" s="9">
        <v>0</v>
      </c>
      <c r="AY9" s="9">
        <v>3250.77</v>
      </c>
      <c r="AZ9" s="9">
        <v>0</v>
      </c>
      <c r="BA9" s="9">
        <v>0</v>
      </c>
      <c r="BB9" s="9">
        <v>0</v>
      </c>
      <c r="BC9" s="7">
        <v>0</v>
      </c>
      <c r="BD9" s="9">
        <v>0</v>
      </c>
      <c r="BE9" s="9">
        <v>0</v>
      </c>
      <c r="BF9" s="9">
        <v>0</v>
      </c>
      <c r="BG9" s="9">
        <v>0</v>
      </c>
      <c r="BH9" s="9">
        <v>0</v>
      </c>
      <c r="BI9" s="9">
        <v>0</v>
      </c>
      <c r="BJ9" s="9">
        <v>0</v>
      </c>
      <c r="BK9" s="9">
        <v>0</v>
      </c>
      <c r="BL9" s="9">
        <v>0</v>
      </c>
      <c r="BM9" s="9">
        <v>5125.34</v>
      </c>
      <c r="BN9" s="9">
        <v>0</v>
      </c>
      <c r="BO9" s="9">
        <v>0</v>
      </c>
      <c r="BP9" s="9">
        <v>0</v>
      </c>
      <c r="BQ9" s="9">
        <v>0</v>
      </c>
      <c r="BR9" s="9"/>
      <c r="BS9" s="9"/>
      <c r="BT9" s="9">
        <f t="shared" si="8"/>
        <v>-31358162.260000009</v>
      </c>
      <c r="BV9" s="9">
        <f t="shared" ref="BV9:BV37" si="16">SUM(B9:AI9)</f>
        <v>-30925249.290000007</v>
      </c>
      <c r="BW9" s="9">
        <f t="shared" ref="BW9:BW41" si="17">BT9-BV9</f>
        <v>-432912.97000000253</v>
      </c>
      <c r="BZ9" s="9">
        <f t="shared" si="9"/>
        <v>4128.6699999943376</v>
      </c>
      <c r="CA9" s="9">
        <f t="shared" si="10"/>
        <v>432152.5</v>
      </c>
      <c r="CB9" s="9">
        <f t="shared" si="11"/>
        <v>5007.91</v>
      </c>
      <c r="CC9" s="7">
        <f t="shared" ref="CC9:CC37" si="18">SUM(BZ9:CB9)</f>
        <v>441289.07999999431</v>
      </c>
      <c r="CD9" s="7">
        <f t="shared" ref="CD9:CD37" si="19">SUM(AJ9:AU9)</f>
        <v>-490887.27999999997</v>
      </c>
      <c r="CE9" s="9">
        <f>SUMIFS($B9:$BC9,$B$4:$BC$4,$BZ$2,$B$5:$BC$5,CE$5)</f>
        <v>-383380.98</v>
      </c>
      <c r="CF9" s="9">
        <f t="shared" ref="CE9:CF38" si="20">SUMIFS($B9:$BC9,$B$4:$BC$4,$BZ$2,$B$5:$BC$5,CF$5)</f>
        <v>-107506.3</v>
      </c>
      <c r="CG9" s="32">
        <f t="shared" ref="CG9:CG37" si="21">IF(BZ9&gt;=-CE9,MIN(BZ9,-CE9),IF(SUM(BZ9:CA9)&gt;=-CE9,MIN(SUM(BZ9:CA9),-CE9),0))</f>
        <v>383380.98</v>
      </c>
      <c r="CH9" s="32">
        <f>IF(CD9=0,0,SUM(BZ9:CA9)-CG9)</f>
        <v>52900.189999994356</v>
      </c>
      <c r="CI9" s="32">
        <f>-SUM(CG9:CH9)-CD9</f>
        <v>54606.110000005632</v>
      </c>
      <c r="CJ9" s="22"/>
      <c r="CK9" s="9">
        <f t="shared" ref="CK9:CK37" si="22">SUM(BZ9:CA9)-SUM(CG9:CH9)</f>
        <v>0</v>
      </c>
      <c r="CL9" s="9">
        <f t="shared" ref="CL9:CL37" si="23">CB9-CI9</f>
        <v>-49598.200000005629</v>
      </c>
      <c r="CM9" s="9">
        <f t="shared" si="13"/>
        <v>-3250.77</v>
      </c>
      <c r="CN9" s="7">
        <f t="shared" ref="CN9:CN37" si="24">SUM(CK9:CM9)</f>
        <v>-52848.970000005625</v>
      </c>
      <c r="CO9" s="7">
        <f t="shared" ref="CO9:CO37" si="25">SUM(AV9:BG9)</f>
        <v>52848.969999999994</v>
      </c>
      <c r="CP9" s="32">
        <f t="shared" ref="CP9:CP37" si="26">IF(CK9&lt;-CO9,CK9,0)</f>
        <v>0</v>
      </c>
      <c r="CQ9" s="32">
        <f t="shared" ref="CQ9:CQ37" si="27">-CO9-CP9</f>
        <v>-52848.969999999994</v>
      </c>
      <c r="CR9" s="21"/>
      <c r="CS9" s="9">
        <f t="shared" ref="CS9:CS37" si="28">SUM(CN9:CO9)</f>
        <v>-5.6315911933779716E-9</v>
      </c>
      <c r="CT9" s="9">
        <f t="shared" si="14"/>
        <v>-5125.34</v>
      </c>
      <c r="CU9" s="9">
        <f t="shared" ref="CU9:CU37" si="29">SUM(CS9:CT9)</f>
        <v>-5125.3400000056317</v>
      </c>
      <c r="CV9" s="9">
        <f t="shared" ref="CV9:CV37" si="30">-SUM(BH9:BS9)</f>
        <v>-5125.34</v>
      </c>
    </row>
    <row r="10" spans="1:130" s="5" customFormat="1">
      <c r="A10" s="5" t="s">
        <v>36</v>
      </c>
      <c r="B10" s="9">
        <v>0</v>
      </c>
      <c r="C10" s="9">
        <v>0</v>
      </c>
      <c r="D10" s="9">
        <v>0</v>
      </c>
      <c r="E10" s="9">
        <v>0</v>
      </c>
      <c r="F10" s="9">
        <v>0</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-5817529.0499999998</v>
      </c>
      <c r="AF10" s="9">
        <v>0</v>
      </c>
      <c r="AG10" s="9">
        <v>0</v>
      </c>
      <c r="AH10" s="9">
        <v>0</v>
      </c>
      <c r="AI10" s="9">
        <v>0</v>
      </c>
      <c r="AJ10" s="9">
        <v>0</v>
      </c>
      <c r="AK10" s="9">
        <v>0</v>
      </c>
      <c r="AL10" s="9">
        <v>0</v>
      </c>
      <c r="AM10" s="9">
        <v>0</v>
      </c>
      <c r="AN10" s="9">
        <v>0</v>
      </c>
      <c r="AO10" s="9">
        <v>0</v>
      </c>
      <c r="AP10" s="9">
        <v>-10750282.300000001</v>
      </c>
      <c r="AQ10" s="9">
        <v>0</v>
      </c>
      <c r="AR10" s="9">
        <v>0</v>
      </c>
      <c r="AS10" s="9">
        <v>-3856680.37</v>
      </c>
      <c r="AT10" s="9">
        <v>-20371763.529999997</v>
      </c>
      <c r="AU10" s="9">
        <v>0</v>
      </c>
      <c r="AV10" s="9">
        <v>0</v>
      </c>
      <c r="AW10" s="9">
        <v>0</v>
      </c>
      <c r="AX10" s="9">
        <v>0</v>
      </c>
      <c r="AY10" s="9">
        <v>0</v>
      </c>
      <c r="AZ10" s="9">
        <v>-890810.94</v>
      </c>
      <c r="BA10" s="9">
        <v>0</v>
      </c>
      <c r="BB10" s="9">
        <v>0</v>
      </c>
      <c r="BC10" s="7">
        <v>0</v>
      </c>
      <c r="BD10" s="9">
        <v>-300939.62</v>
      </c>
      <c r="BE10" s="9">
        <v>0</v>
      </c>
      <c r="BF10" s="9">
        <v>-19045.150000000001</v>
      </c>
      <c r="BG10" s="9">
        <v>-4750.3999999999996</v>
      </c>
      <c r="BH10" s="9">
        <v>-17893.23</v>
      </c>
      <c r="BI10" s="9">
        <v>-78998.58</v>
      </c>
      <c r="BJ10" s="9">
        <v>-24731.79</v>
      </c>
      <c r="BK10" s="9">
        <v>55745.08</v>
      </c>
      <c r="BL10" s="9">
        <v>0</v>
      </c>
      <c r="BM10" s="9">
        <v>68743.839999999997</v>
      </c>
      <c r="BN10" s="9">
        <v>-45773.21</v>
      </c>
      <c r="BO10" s="9">
        <v>-1787.489999999998</v>
      </c>
      <c r="BP10" s="9">
        <v>269.83999999999997</v>
      </c>
      <c r="BQ10" s="9">
        <v>0</v>
      </c>
      <c r="BR10" s="7"/>
      <c r="BS10" s="7"/>
      <c r="BT10" s="9">
        <f t="shared" si="8"/>
        <v>-42056226.899999984</v>
      </c>
      <c r="BV10" s="9">
        <f t="shared" si="16"/>
        <v>-5817529.0499999998</v>
      </c>
      <c r="BW10" s="7">
        <f t="shared" si="17"/>
        <v>-36238697.849999987</v>
      </c>
      <c r="BX10" s="7"/>
      <c r="BY10" s="7"/>
      <c r="BZ10" s="9">
        <f t="shared" si="9"/>
        <v>10246422.18</v>
      </c>
      <c r="CA10" s="9">
        <f t="shared" si="10"/>
        <v>21047460.850000001</v>
      </c>
      <c r="CB10" s="9">
        <f t="shared" si="11"/>
        <v>4888682.3399999989</v>
      </c>
      <c r="CC10" s="7">
        <f t="shared" si="18"/>
        <v>36182565.369999997</v>
      </c>
      <c r="CD10" s="7">
        <f t="shared" si="19"/>
        <v>-34978726.200000003</v>
      </c>
      <c r="CE10" s="9">
        <f t="shared" si="20"/>
        <v>-10750282.300000001</v>
      </c>
      <c r="CF10" s="9">
        <f t="shared" si="20"/>
        <v>-24228443.899999999</v>
      </c>
      <c r="CG10" s="32">
        <f t="shared" si="21"/>
        <v>10750282.300000001</v>
      </c>
      <c r="CH10" s="32">
        <f>IF(CD10=0,0,SUM(BZ10:CA10)-CG10)</f>
        <v>20543600.73</v>
      </c>
      <c r="CI10" s="32">
        <f t="shared" ref="CI10:CI37" si="31">-SUM(CG10:CH10)-CD10</f>
        <v>3684843.1700000018</v>
      </c>
      <c r="CJ10" s="22"/>
      <c r="CK10" s="9">
        <f t="shared" si="22"/>
        <v>0</v>
      </c>
      <c r="CL10" s="9">
        <f t="shared" si="23"/>
        <v>1203839.1699999971</v>
      </c>
      <c r="CM10" s="9">
        <f t="shared" si="13"/>
        <v>52629.409999999763</v>
      </c>
      <c r="CN10" s="7">
        <f t="shared" si="24"/>
        <v>1256468.5799999968</v>
      </c>
      <c r="CO10" s="7">
        <f t="shared" si="25"/>
        <v>-1215546.1099999999</v>
      </c>
      <c r="CP10" s="32">
        <f t="shared" si="26"/>
        <v>0</v>
      </c>
      <c r="CQ10" s="32">
        <f t="shared" si="27"/>
        <v>1215546.1099999999</v>
      </c>
      <c r="CR10" s="21"/>
      <c r="CS10" s="9">
        <f>SUM(CN10:CO10)</f>
        <v>40922.469999996945</v>
      </c>
      <c r="CT10" s="9">
        <f t="shared" si="14"/>
        <v>11612.529999999999</v>
      </c>
      <c r="CU10" s="9">
        <f t="shared" si="29"/>
        <v>52534.999999996944</v>
      </c>
      <c r="CV10" s="9">
        <f t="shared" si="30"/>
        <v>44425.540000000008</v>
      </c>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row>
    <row r="11" spans="1:130">
      <c r="A11" s="10" t="s">
        <v>57</v>
      </c>
      <c r="B11" s="9">
        <v>0</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v>0</v>
      </c>
      <c r="AY11" s="9">
        <v>0</v>
      </c>
      <c r="AZ11" s="9">
        <v>0</v>
      </c>
      <c r="BA11" s="9">
        <v>0</v>
      </c>
      <c r="BB11" s="9">
        <v>0</v>
      </c>
      <c r="BC11" s="7">
        <v>-6216955.0899999999</v>
      </c>
      <c r="BD11" s="9">
        <v>-110789.52</v>
      </c>
      <c r="BE11" s="9">
        <v>0</v>
      </c>
      <c r="BF11" s="9">
        <v>-181184.54</v>
      </c>
      <c r="BG11" s="9">
        <v>3824.9</v>
      </c>
      <c r="BH11" s="9">
        <v>0</v>
      </c>
      <c r="BI11" s="9">
        <v>0</v>
      </c>
      <c r="BJ11" s="9">
        <v>-20142.810000000001</v>
      </c>
      <c r="BK11" s="9">
        <v>-201.04</v>
      </c>
      <c r="BL11" s="9">
        <v>0</v>
      </c>
      <c r="BM11" s="9">
        <v>36884.82</v>
      </c>
      <c r="BN11" s="9">
        <v>0</v>
      </c>
      <c r="BO11" s="9">
        <v>0</v>
      </c>
      <c r="BP11" s="9">
        <v>0</v>
      </c>
      <c r="BQ11" s="9">
        <v>0</v>
      </c>
      <c r="BR11" s="7"/>
      <c r="BS11" s="7"/>
      <c r="BT11" s="9">
        <f t="shared" si="8"/>
        <v>-6488563.2799999984</v>
      </c>
      <c r="BV11" s="9">
        <f t="shared" si="16"/>
        <v>0</v>
      </c>
      <c r="BW11" s="9">
        <f t="shared" si="17"/>
        <v>-6488563.2799999984</v>
      </c>
      <c r="BZ11" s="9">
        <f t="shared" si="9"/>
        <v>35281.440000000002</v>
      </c>
      <c r="CA11" s="9">
        <f t="shared" si="10"/>
        <v>2552104.2899999986</v>
      </c>
      <c r="CB11" s="9">
        <f t="shared" si="11"/>
        <v>1324682.5299999996</v>
      </c>
      <c r="CC11" s="7">
        <f t="shared" si="18"/>
        <v>3912068.2599999979</v>
      </c>
      <c r="CD11" s="7">
        <f t="shared" si="19"/>
        <v>0</v>
      </c>
      <c r="CE11" s="9">
        <f t="shared" si="20"/>
        <v>0</v>
      </c>
      <c r="CF11" s="9">
        <f t="shared" si="20"/>
        <v>0</v>
      </c>
      <c r="CG11" s="32">
        <f t="shared" si="21"/>
        <v>0</v>
      </c>
      <c r="CH11" s="32">
        <f t="shared" ref="CH11:CH37" si="32">IF(CD11=0,0,SUM(BZ11:CA11)-CG11)</f>
        <v>0</v>
      </c>
      <c r="CI11" s="32">
        <f t="shared" si="31"/>
        <v>0</v>
      </c>
      <c r="CJ11" s="22"/>
      <c r="CK11" s="9">
        <f t="shared" si="22"/>
        <v>2587385.7299999986</v>
      </c>
      <c r="CL11" s="9">
        <f t="shared" si="23"/>
        <v>1324682.5299999996</v>
      </c>
      <c r="CM11" s="9">
        <f t="shared" si="13"/>
        <v>2607563.75</v>
      </c>
      <c r="CN11" s="7">
        <f t="shared" si="24"/>
        <v>6519632.0099999979</v>
      </c>
      <c r="CO11" s="7">
        <f t="shared" si="25"/>
        <v>-6505104.2499999991</v>
      </c>
      <c r="CP11" s="32">
        <f>IF(CK11&lt;-CO11,CK11,0)</f>
        <v>2587385.7299999986</v>
      </c>
      <c r="CQ11" s="32">
        <f t="shared" si="27"/>
        <v>3917718.5200000005</v>
      </c>
      <c r="CR11" s="21"/>
      <c r="CS11" s="9">
        <f t="shared" si="28"/>
        <v>14527.759999998845</v>
      </c>
      <c r="CT11" s="9">
        <f t="shared" si="14"/>
        <v>-31068.730000000003</v>
      </c>
      <c r="CU11" s="9">
        <f t="shared" si="29"/>
        <v>-16540.970000001158</v>
      </c>
      <c r="CV11" s="9">
        <f t="shared" si="30"/>
        <v>-16540.969999999998</v>
      </c>
    </row>
    <row r="12" spans="1:130">
      <c r="A12" s="70" t="s">
        <v>328</v>
      </c>
      <c r="B12" s="9">
        <v>0</v>
      </c>
      <c r="C12" s="9">
        <v>0</v>
      </c>
      <c r="D12" s="9">
        <v>0</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v>0</v>
      </c>
      <c r="AY12" s="9">
        <v>0</v>
      </c>
      <c r="AZ12" s="9">
        <v>0</v>
      </c>
      <c r="BA12" s="9">
        <v>0</v>
      </c>
      <c r="BB12" s="9">
        <v>0</v>
      </c>
      <c r="BC12" s="7">
        <v>0</v>
      </c>
      <c r="BD12" s="9">
        <v>0</v>
      </c>
      <c r="BE12" s="9">
        <v>0</v>
      </c>
      <c r="BF12" s="9">
        <v>0</v>
      </c>
      <c r="BG12" s="9">
        <v>-173142.5</v>
      </c>
      <c r="BH12" s="9">
        <v>0</v>
      </c>
      <c r="BI12" s="9">
        <v>0</v>
      </c>
      <c r="BJ12" s="9">
        <v>-869.8</v>
      </c>
      <c r="BK12" s="9">
        <v>0</v>
      </c>
      <c r="BL12" s="9">
        <v>0</v>
      </c>
      <c r="BM12" s="9">
        <v>0</v>
      </c>
      <c r="BN12" s="9">
        <v>0</v>
      </c>
      <c r="BO12" s="9">
        <v>0</v>
      </c>
      <c r="BP12" s="9">
        <v>0</v>
      </c>
      <c r="BQ12" s="9">
        <v>0</v>
      </c>
      <c r="BR12" s="7"/>
      <c r="BS12" s="7"/>
      <c r="BT12" s="9">
        <f t="shared" si="8"/>
        <v>-174012.3</v>
      </c>
      <c r="BV12" s="9">
        <f t="shared" si="16"/>
        <v>0</v>
      </c>
      <c r="BW12" s="9">
        <f t="shared" si="17"/>
        <v>-174012.3</v>
      </c>
      <c r="BZ12" s="9">
        <f t="shared" si="9"/>
        <v>0</v>
      </c>
      <c r="CA12" s="9">
        <f t="shared" si="10"/>
        <v>18154.439999999999</v>
      </c>
      <c r="CB12" s="9">
        <f t="shared" si="11"/>
        <v>3967.3700000000003</v>
      </c>
      <c r="CC12" s="7">
        <f t="shared" si="18"/>
        <v>22121.809999999998</v>
      </c>
      <c r="CD12" s="7">
        <f t="shared" si="19"/>
        <v>0</v>
      </c>
      <c r="CE12" s="9">
        <f t="shared" si="20"/>
        <v>0</v>
      </c>
      <c r="CF12" s="9">
        <f t="shared" si="20"/>
        <v>0</v>
      </c>
      <c r="CG12" s="32">
        <f t="shared" si="21"/>
        <v>0</v>
      </c>
      <c r="CH12" s="32">
        <f t="shared" si="32"/>
        <v>0</v>
      </c>
      <c r="CI12" s="32">
        <f t="shared" si="31"/>
        <v>0</v>
      </c>
      <c r="CJ12" s="22"/>
      <c r="CK12" s="9">
        <f t="shared" si="22"/>
        <v>18154.439999999999</v>
      </c>
      <c r="CL12" s="9">
        <f t="shared" si="23"/>
        <v>3967.3700000000003</v>
      </c>
      <c r="CM12" s="9">
        <f t="shared" si="13"/>
        <v>152274.53000000003</v>
      </c>
      <c r="CN12" s="7">
        <f t="shared" si="24"/>
        <v>174396.34000000003</v>
      </c>
      <c r="CO12" s="7">
        <f t="shared" si="25"/>
        <v>-173142.5</v>
      </c>
      <c r="CP12" s="32">
        <f t="shared" si="26"/>
        <v>18154.439999999999</v>
      </c>
      <c r="CQ12" s="32">
        <f t="shared" si="27"/>
        <v>154988.06</v>
      </c>
      <c r="CR12" s="21"/>
      <c r="CS12" s="9">
        <f t="shared" si="28"/>
        <v>1253.8400000000256</v>
      </c>
      <c r="CT12" s="9">
        <f t="shared" si="14"/>
        <v>518</v>
      </c>
      <c r="CU12" s="9">
        <f t="shared" si="29"/>
        <v>1771.8400000000256</v>
      </c>
      <c r="CV12" s="9">
        <f t="shared" si="30"/>
        <v>869.8</v>
      </c>
    </row>
    <row r="13" spans="1:130">
      <c r="A13" s="70" t="s">
        <v>330</v>
      </c>
      <c r="B13" s="9">
        <v>0</v>
      </c>
      <c r="C13" s="9">
        <v>0</v>
      </c>
      <c r="D13" s="9">
        <v>0</v>
      </c>
      <c r="E13" s="9">
        <v>0</v>
      </c>
      <c r="F13" s="9">
        <v>0</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9">
        <v>0</v>
      </c>
      <c r="AT13" s="9">
        <v>0</v>
      </c>
      <c r="AU13" s="9">
        <v>0</v>
      </c>
      <c r="AV13" s="9">
        <v>0</v>
      </c>
      <c r="AW13" s="9">
        <v>0</v>
      </c>
      <c r="AX13" s="9">
        <v>0</v>
      </c>
      <c r="AY13" s="9">
        <v>0</v>
      </c>
      <c r="AZ13" s="9">
        <v>0</v>
      </c>
      <c r="BA13" s="9">
        <v>0</v>
      </c>
      <c r="BB13" s="9">
        <v>0</v>
      </c>
      <c r="BC13" s="7">
        <v>0</v>
      </c>
      <c r="BD13" s="9">
        <v>0</v>
      </c>
      <c r="BE13" s="9">
        <v>0</v>
      </c>
      <c r="BF13" s="9">
        <v>0</v>
      </c>
      <c r="BG13" s="9">
        <v>-136901.19</v>
      </c>
      <c r="BH13" s="9">
        <v>0</v>
      </c>
      <c r="BI13" s="9">
        <v>0</v>
      </c>
      <c r="BJ13" s="9">
        <v>-133.83000000000001</v>
      </c>
      <c r="BK13" s="9">
        <v>-62.33</v>
      </c>
      <c r="BL13" s="9">
        <v>0</v>
      </c>
      <c r="BM13" s="9">
        <v>0</v>
      </c>
      <c r="BN13" s="9">
        <v>0</v>
      </c>
      <c r="BO13" s="9">
        <v>0</v>
      </c>
      <c r="BP13" s="9">
        <v>0</v>
      </c>
      <c r="BQ13" s="9">
        <v>0</v>
      </c>
      <c r="BR13" s="7"/>
      <c r="BS13" s="7"/>
      <c r="BT13" s="9">
        <f t="shared" si="8"/>
        <v>-137097.34999999998</v>
      </c>
      <c r="BV13" s="9">
        <f t="shared" si="16"/>
        <v>0</v>
      </c>
      <c r="BW13" s="9">
        <f t="shared" si="17"/>
        <v>-137097.34999999998</v>
      </c>
      <c r="BZ13" s="9">
        <f t="shared" si="9"/>
        <v>0</v>
      </c>
      <c r="CA13" s="9">
        <f t="shared" si="10"/>
        <v>1107.51</v>
      </c>
      <c r="CB13" s="9">
        <f t="shared" si="11"/>
        <v>2552.39</v>
      </c>
      <c r="CC13" s="7">
        <f t="shared" si="18"/>
        <v>3659.8999999999996</v>
      </c>
      <c r="CD13" s="7">
        <f t="shared" si="19"/>
        <v>0</v>
      </c>
      <c r="CE13" s="9">
        <f t="shared" si="20"/>
        <v>0</v>
      </c>
      <c r="CF13" s="9">
        <f t="shared" si="20"/>
        <v>0</v>
      </c>
      <c r="CG13" s="32">
        <f t="shared" si="21"/>
        <v>0</v>
      </c>
      <c r="CH13" s="32">
        <f t="shared" si="32"/>
        <v>0</v>
      </c>
      <c r="CI13" s="32">
        <f t="shared" si="31"/>
        <v>0</v>
      </c>
      <c r="CJ13" s="22"/>
      <c r="CK13" s="9">
        <f t="shared" si="22"/>
        <v>1107.51</v>
      </c>
      <c r="CL13" s="9">
        <f t="shared" si="23"/>
        <v>2552.39</v>
      </c>
      <c r="CM13" s="9">
        <f t="shared" si="13"/>
        <v>133823.81000000003</v>
      </c>
      <c r="CN13" s="7">
        <f t="shared" si="24"/>
        <v>137483.71000000002</v>
      </c>
      <c r="CO13" s="7">
        <f t="shared" si="25"/>
        <v>-136901.19</v>
      </c>
      <c r="CP13" s="32">
        <f t="shared" si="26"/>
        <v>1107.51</v>
      </c>
      <c r="CQ13" s="32">
        <f t="shared" si="27"/>
        <v>135793.68</v>
      </c>
      <c r="CR13" s="21"/>
      <c r="CS13" s="9">
        <f t="shared" si="28"/>
        <v>582.52000000001863</v>
      </c>
      <c r="CT13" s="9">
        <f t="shared" si="14"/>
        <v>278.29999999999995</v>
      </c>
      <c r="CU13" s="9">
        <f t="shared" si="29"/>
        <v>860.82000000001858</v>
      </c>
      <c r="CV13" s="9">
        <f t="shared" si="30"/>
        <v>196.16000000000003</v>
      </c>
    </row>
    <row r="14" spans="1:130">
      <c r="A14" s="254" t="s">
        <v>373</v>
      </c>
      <c r="B14" s="9">
        <v>0</v>
      </c>
      <c r="C14" s="9">
        <v>0</v>
      </c>
      <c r="D14" s="9">
        <v>0</v>
      </c>
      <c r="E14" s="9">
        <v>0</v>
      </c>
      <c r="F14" s="9">
        <v>0</v>
      </c>
      <c r="G14" s="9">
        <v>0</v>
      </c>
      <c r="H14" s="9">
        <v>0</v>
      </c>
      <c r="I14" s="9">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7">
        <v>0</v>
      </c>
      <c r="BD14" s="9">
        <v>0</v>
      </c>
      <c r="BE14" s="9">
        <v>0</v>
      </c>
      <c r="BF14" s="9">
        <v>0</v>
      </c>
      <c r="BG14" s="9">
        <v>0</v>
      </c>
      <c r="BH14" s="9">
        <v>0</v>
      </c>
      <c r="BI14" s="9">
        <v>0</v>
      </c>
      <c r="BJ14" s="9">
        <v>0</v>
      </c>
      <c r="BK14" s="9">
        <v>0</v>
      </c>
      <c r="BL14" s="9">
        <v>0</v>
      </c>
      <c r="BM14" s="9">
        <v>0</v>
      </c>
      <c r="BN14" s="9">
        <v>0</v>
      </c>
      <c r="BO14" s="9">
        <v>-264713.34999999998</v>
      </c>
      <c r="BP14" s="9">
        <v>46451.02</v>
      </c>
      <c r="BQ14" s="9">
        <v>0</v>
      </c>
      <c r="BR14" s="9"/>
      <c r="BS14" s="9"/>
      <c r="BT14" s="9">
        <f t="shared" si="8"/>
        <v>-218262.33</v>
      </c>
      <c r="BV14" s="9">
        <f t="shared" si="16"/>
        <v>0</v>
      </c>
      <c r="BW14" s="9">
        <f t="shared" si="17"/>
        <v>-218262.33</v>
      </c>
      <c r="BZ14" s="9">
        <f>BX55+BV14</f>
        <v>0</v>
      </c>
      <c r="CA14" s="9">
        <f t="shared" si="10"/>
        <v>6908.2199999999993</v>
      </c>
      <c r="CB14" s="9">
        <f t="shared" si="11"/>
        <v>5636.1399999999994</v>
      </c>
      <c r="CC14" s="7">
        <f t="shared" si="18"/>
        <v>12544.359999999999</v>
      </c>
      <c r="CD14" s="7">
        <f t="shared" si="19"/>
        <v>0</v>
      </c>
      <c r="CE14" s="9">
        <f t="shared" si="20"/>
        <v>0</v>
      </c>
      <c r="CF14" s="9">
        <f t="shared" si="20"/>
        <v>0</v>
      </c>
      <c r="CG14" s="32">
        <f t="shared" si="21"/>
        <v>0</v>
      </c>
      <c r="CH14" s="32">
        <f t="shared" si="32"/>
        <v>0</v>
      </c>
      <c r="CI14" s="32">
        <f t="shared" si="31"/>
        <v>0</v>
      </c>
      <c r="CJ14" s="247"/>
      <c r="CK14" s="9">
        <f t="shared" si="22"/>
        <v>6908.2199999999993</v>
      </c>
      <c r="CL14" s="9">
        <f t="shared" si="23"/>
        <v>5636.1399999999994</v>
      </c>
      <c r="CM14" s="9">
        <f t="shared" si="13"/>
        <v>80401.260000000009</v>
      </c>
      <c r="CN14" s="7">
        <f t="shared" si="24"/>
        <v>92945.62000000001</v>
      </c>
      <c r="CO14" s="7">
        <f t="shared" si="25"/>
        <v>0</v>
      </c>
      <c r="CP14" s="32">
        <f t="shared" si="26"/>
        <v>0</v>
      </c>
      <c r="CQ14" s="32">
        <f t="shared" si="27"/>
        <v>0</v>
      </c>
      <c r="CR14" s="21"/>
      <c r="CS14" s="9">
        <f t="shared" si="28"/>
        <v>92945.62000000001</v>
      </c>
      <c r="CT14" s="9">
        <f t="shared" si="14"/>
        <v>140444.75</v>
      </c>
      <c r="CU14" s="9">
        <f t="shared" si="29"/>
        <v>233390.37</v>
      </c>
      <c r="CV14" s="9">
        <f t="shared" si="30"/>
        <v>218262.33</v>
      </c>
    </row>
    <row r="15" spans="1:130" s="5" customFormat="1">
      <c r="A15" s="70" t="s">
        <v>304</v>
      </c>
      <c r="B15" s="9">
        <v>0</v>
      </c>
      <c r="C15" s="9">
        <v>0</v>
      </c>
      <c r="D15" s="9">
        <v>0</v>
      </c>
      <c r="E15" s="9">
        <v>0</v>
      </c>
      <c r="F15" s="9">
        <v>0</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0</v>
      </c>
      <c r="AS15" s="9">
        <v>0</v>
      </c>
      <c r="AT15" s="9">
        <v>0</v>
      </c>
      <c r="AU15" s="9">
        <v>0</v>
      </c>
      <c r="AV15" s="9">
        <v>0</v>
      </c>
      <c r="AW15" s="9">
        <v>0</v>
      </c>
      <c r="AX15" s="9">
        <v>0</v>
      </c>
      <c r="AY15" s="9">
        <v>0</v>
      </c>
      <c r="AZ15" s="9">
        <v>0</v>
      </c>
      <c r="BA15" s="9">
        <v>0</v>
      </c>
      <c r="BB15" s="9">
        <v>0</v>
      </c>
      <c r="BC15" s="7">
        <v>0</v>
      </c>
      <c r="BD15" s="9">
        <v>0</v>
      </c>
      <c r="BE15" s="9">
        <v>0</v>
      </c>
      <c r="BF15" s="9">
        <v>-249499.37</v>
      </c>
      <c r="BG15" s="9">
        <v>0</v>
      </c>
      <c r="BH15" s="9">
        <v>0</v>
      </c>
      <c r="BI15" s="9">
        <v>0</v>
      </c>
      <c r="BJ15" s="9">
        <v>2280</v>
      </c>
      <c r="BK15" s="9">
        <v>0</v>
      </c>
      <c r="BL15" s="9">
        <v>0</v>
      </c>
      <c r="BM15" s="9">
        <v>0</v>
      </c>
      <c r="BN15" s="9">
        <v>0</v>
      </c>
      <c r="BO15" s="9">
        <v>0</v>
      </c>
      <c r="BP15" s="9">
        <v>0</v>
      </c>
      <c r="BQ15" s="9">
        <v>0</v>
      </c>
      <c r="BR15" s="7"/>
      <c r="BS15" s="7"/>
      <c r="BT15" s="9">
        <f t="shared" si="8"/>
        <v>-247219.37</v>
      </c>
      <c r="BV15" s="9">
        <f t="shared" si="16"/>
        <v>0</v>
      </c>
      <c r="BW15" s="9">
        <f t="shared" si="17"/>
        <v>-247219.37</v>
      </c>
      <c r="BX15" s="7"/>
      <c r="BY15" s="7"/>
      <c r="BZ15" s="9">
        <f t="shared" si="9"/>
        <v>0</v>
      </c>
      <c r="CA15" s="9">
        <f t="shared" si="10"/>
        <v>47885.65</v>
      </c>
      <c r="CB15" s="9">
        <f t="shared" si="11"/>
        <v>192217.74999999994</v>
      </c>
      <c r="CC15" s="7">
        <f t="shared" si="18"/>
        <v>240103.39999999994</v>
      </c>
      <c r="CD15" s="7">
        <f t="shared" si="19"/>
        <v>0</v>
      </c>
      <c r="CE15" s="9">
        <f t="shared" si="20"/>
        <v>0</v>
      </c>
      <c r="CF15" s="9">
        <f t="shared" si="20"/>
        <v>0</v>
      </c>
      <c r="CG15" s="32">
        <f t="shared" si="21"/>
        <v>0</v>
      </c>
      <c r="CH15" s="32">
        <f t="shared" si="32"/>
        <v>0</v>
      </c>
      <c r="CI15" s="32">
        <f t="shared" si="31"/>
        <v>0</v>
      </c>
      <c r="CJ15" s="22"/>
      <c r="CK15" s="9">
        <f t="shared" si="22"/>
        <v>47885.65</v>
      </c>
      <c r="CL15" s="9">
        <f t="shared" si="23"/>
        <v>192217.74999999994</v>
      </c>
      <c r="CM15" s="9">
        <f t="shared" si="13"/>
        <v>9395.9699999999993</v>
      </c>
      <c r="CN15" s="7">
        <f t="shared" si="24"/>
        <v>249499.36999999994</v>
      </c>
      <c r="CO15" s="7">
        <f t="shared" si="25"/>
        <v>-249499.37</v>
      </c>
      <c r="CP15" s="32">
        <f t="shared" si="26"/>
        <v>47885.65</v>
      </c>
      <c r="CQ15" s="32">
        <f t="shared" si="27"/>
        <v>201613.72</v>
      </c>
      <c r="CR15" s="21"/>
      <c r="CS15" s="9">
        <f t="shared" si="28"/>
        <v>0</v>
      </c>
      <c r="CT15" s="9">
        <f t="shared" si="14"/>
        <v>-2280</v>
      </c>
      <c r="CU15" s="9">
        <f t="shared" si="29"/>
        <v>-2280</v>
      </c>
      <c r="CV15" s="9">
        <f t="shared" si="30"/>
        <v>-2280</v>
      </c>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row>
    <row r="16" spans="1:130">
      <c r="A16" s="70" t="s">
        <v>58</v>
      </c>
      <c r="B16" s="9">
        <v>0</v>
      </c>
      <c r="C16" s="9">
        <v>0</v>
      </c>
      <c r="D16" s="9">
        <v>0</v>
      </c>
      <c r="E16" s="9">
        <v>0</v>
      </c>
      <c r="F16" s="9">
        <v>0</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c r="BC16" s="7">
        <v>-18991053.130000003</v>
      </c>
      <c r="BD16" s="9">
        <v>-288904.96999999997</v>
      </c>
      <c r="BE16" s="9">
        <v>0</v>
      </c>
      <c r="BF16" s="9">
        <v>-449392.73</v>
      </c>
      <c r="BG16" s="9">
        <v>-12135.93</v>
      </c>
      <c r="BH16" s="9">
        <v>0</v>
      </c>
      <c r="BI16" s="9">
        <v>0</v>
      </c>
      <c r="BJ16" s="9">
        <v>-16810.830000000002</v>
      </c>
      <c r="BK16" s="9">
        <v>83.28</v>
      </c>
      <c r="BL16" s="9">
        <v>-5790.37</v>
      </c>
      <c r="BM16" s="9">
        <v>203351.26</v>
      </c>
      <c r="BN16" s="9">
        <v>0</v>
      </c>
      <c r="BO16" s="9">
        <v>0</v>
      </c>
      <c r="BP16" s="9">
        <v>0</v>
      </c>
      <c r="BQ16" s="9">
        <v>0</v>
      </c>
      <c r="BR16" s="7"/>
      <c r="BS16" s="7"/>
      <c r="BT16" s="9">
        <f t="shared" si="8"/>
        <v>-19560653.419999998</v>
      </c>
      <c r="BV16" s="9">
        <f t="shared" si="16"/>
        <v>0</v>
      </c>
      <c r="BW16" s="9">
        <f t="shared" si="17"/>
        <v>-19560653.419999998</v>
      </c>
      <c r="BZ16" s="9">
        <f t="shared" si="9"/>
        <v>0</v>
      </c>
      <c r="CA16" s="9">
        <f t="shared" si="10"/>
        <v>53524.61</v>
      </c>
      <c r="CB16" s="9">
        <f t="shared" si="11"/>
        <v>5209318.4400000004</v>
      </c>
      <c r="CC16" s="7">
        <f t="shared" si="18"/>
        <v>5262843.0500000007</v>
      </c>
      <c r="CD16" s="7">
        <f t="shared" si="19"/>
        <v>0</v>
      </c>
      <c r="CE16" s="9">
        <f t="shared" si="20"/>
        <v>0</v>
      </c>
      <c r="CF16" s="9">
        <f t="shared" si="20"/>
        <v>0</v>
      </c>
      <c r="CG16" s="32">
        <f t="shared" si="21"/>
        <v>0</v>
      </c>
      <c r="CH16" s="32">
        <f t="shared" si="32"/>
        <v>0</v>
      </c>
      <c r="CI16" s="32">
        <f t="shared" si="31"/>
        <v>0</v>
      </c>
      <c r="CJ16" s="22"/>
      <c r="CK16" s="9">
        <f t="shared" si="22"/>
        <v>53524.61</v>
      </c>
      <c r="CL16" s="9">
        <f t="shared" si="23"/>
        <v>5209318.4400000004</v>
      </c>
      <c r="CM16" s="9">
        <f t="shared" si="13"/>
        <v>14498339.740000002</v>
      </c>
      <c r="CN16" s="7">
        <f t="shared" si="24"/>
        <v>19761182.790000003</v>
      </c>
      <c r="CO16" s="7">
        <f t="shared" si="25"/>
        <v>-19741486.760000002</v>
      </c>
      <c r="CP16" s="32">
        <f t="shared" si="26"/>
        <v>53524.61</v>
      </c>
      <c r="CQ16" s="32">
        <f t="shared" si="27"/>
        <v>19687962.150000002</v>
      </c>
      <c r="CR16" s="21"/>
      <c r="CS16" s="9">
        <f>SUM(CN16:CO16)</f>
        <v>19696.030000001192</v>
      </c>
      <c r="CT16" s="9">
        <f t="shared" si="14"/>
        <v>-200529.37000000002</v>
      </c>
      <c r="CU16" s="9">
        <f t="shared" si="29"/>
        <v>-180833.33999999883</v>
      </c>
      <c r="CV16" s="9">
        <f t="shared" si="30"/>
        <v>-180833.34</v>
      </c>
    </row>
    <row r="17" spans="1:130">
      <c r="A17" s="10" t="s">
        <v>59</v>
      </c>
      <c r="B17" s="9">
        <v>0</v>
      </c>
      <c r="C17" s="9">
        <v>0</v>
      </c>
      <c r="D17" s="9">
        <v>0</v>
      </c>
      <c r="E17" s="9">
        <v>0</v>
      </c>
      <c r="F17" s="9">
        <v>0</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v>0</v>
      </c>
      <c r="AY17" s="9">
        <v>0</v>
      </c>
      <c r="AZ17" s="9">
        <v>0</v>
      </c>
      <c r="BA17" s="9">
        <v>0</v>
      </c>
      <c r="BB17" s="9">
        <v>0</v>
      </c>
      <c r="BC17" s="7">
        <v>-5448678.0799999991</v>
      </c>
      <c r="BD17" s="9">
        <v>-136756.13</v>
      </c>
      <c r="BE17" s="9">
        <v>0</v>
      </c>
      <c r="BF17" s="9">
        <v>-284646.34000000003</v>
      </c>
      <c r="BG17" s="9">
        <v>0</v>
      </c>
      <c r="BH17" s="9">
        <v>0</v>
      </c>
      <c r="BI17" s="9">
        <v>0</v>
      </c>
      <c r="BJ17" s="9">
        <v>-123959.44</v>
      </c>
      <c r="BK17" s="9">
        <v>18919.21</v>
      </c>
      <c r="BL17" s="9">
        <v>-17880.61</v>
      </c>
      <c r="BM17" s="9">
        <v>77304.179999999993</v>
      </c>
      <c r="BN17" s="9">
        <v>0</v>
      </c>
      <c r="BO17" s="9">
        <v>0</v>
      </c>
      <c r="BP17" s="9">
        <v>0</v>
      </c>
      <c r="BQ17" s="9">
        <v>0</v>
      </c>
      <c r="BR17" s="7"/>
      <c r="BS17" s="7"/>
      <c r="BT17" s="9">
        <f t="shared" si="8"/>
        <v>-5915697.21</v>
      </c>
      <c r="BV17" s="9">
        <f t="shared" si="16"/>
        <v>0</v>
      </c>
      <c r="BW17" s="9">
        <f t="shared" si="17"/>
        <v>-5915697.21</v>
      </c>
      <c r="BZ17" s="9">
        <f t="shared" si="9"/>
        <v>0</v>
      </c>
      <c r="CA17" s="9">
        <f t="shared" si="10"/>
        <v>34565.100000000006</v>
      </c>
      <c r="CB17" s="9">
        <f t="shared" si="11"/>
        <v>80231.23</v>
      </c>
      <c r="CC17" s="7">
        <f t="shared" si="18"/>
        <v>114796.33</v>
      </c>
      <c r="CD17" s="7">
        <f t="shared" si="19"/>
        <v>0</v>
      </c>
      <c r="CE17" s="9">
        <f t="shared" si="20"/>
        <v>0</v>
      </c>
      <c r="CF17" s="9">
        <f t="shared" si="20"/>
        <v>0</v>
      </c>
      <c r="CG17" s="32">
        <f t="shared" si="21"/>
        <v>0</v>
      </c>
      <c r="CH17" s="32">
        <f t="shared" si="32"/>
        <v>0</v>
      </c>
      <c r="CI17" s="32">
        <f t="shared" si="31"/>
        <v>0</v>
      </c>
      <c r="CJ17" s="22"/>
      <c r="CK17" s="9">
        <f t="shared" si="22"/>
        <v>34565.100000000006</v>
      </c>
      <c r="CL17" s="9">
        <f t="shared" si="23"/>
        <v>80231.23</v>
      </c>
      <c r="CM17" s="9">
        <f t="shared" si="13"/>
        <v>5844103.4900000002</v>
      </c>
      <c r="CN17" s="7">
        <f t="shared" si="24"/>
        <v>5958899.8200000003</v>
      </c>
      <c r="CO17" s="7">
        <f t="shared" si="25"/>
        <v>-5870080.5499999989</v>
      </c>
      <c r="CP17" s="32">
        <f t="shared" si="26"/>
        <v>34565.100000000006</v>
      </c>
      <c r="CQ17" s="32">
        <f t="shared" si="27"/>
        <v>5835515.4499999993</v>
      </c>
      <c r="CR17" s="21"/>
      <c r="CS17" s="9">
        <f t="shared" si="28"/>
        <v>88819.270000001416</v>
      </c>
      <c r="CT17" s="9">
        <f t="shared" si="14"/>
        <v>-28650.189999999988</v>
      </c>
      <c r="CU17" s="9">
        <f t="shared" si="29"/>
        <v>60169.080000001428</v>
      </c>
      <c r="CV17" s="9">
        <f t="shared" si="30"/>
        <v>45616.660000000018</v>
      </c>
    </row>
    <row r="18" spans="1:130" s="5" customFormat="1">
      <c r="A18" s="10" t="s">
        <v>305</v>
      </c>
      <c r="B18" s="9">
        <v>0</v>
      </c>
      <c r="C18" s="9">
        <v>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v>-167105.60000000001</v>
      </c>
      <c r="AY18" s="9">
        <v>-4507.22</v>
      </c>
      <c r="AZ18" s="9">
        <v>0</v>
      </c>
      <c r="BA18" s="9">
        <v>85401.47</v>
      </c>
      <c r="BB18" s="9">
        <v>-85401.47</v>
      </c>
      <c r="BC18" s="7">
        <v>0</v>
      </c>
      <c r="BD18" s="9">
        <v>0</v>
      </c>
      <c r="BE18" s="9">
        <v>0</v>
      </c>
      <c r="BF18" s="9">
        <v>0</v>
      </c>
      <c r="BG18" s="9">
        <v>0</v>
      </c>
      <c r="BH18" s="9">
        <v>0</v>
      </c>
      <c r="BI18" s="9">
        <v>0</v>
      </c>
      <c r="BJ18" s="9">
        <v>0</v>
      </c>
      <c r="BK18" s="9">
        <v>6460.5</v>
      </c>
      <c r="BL18" s="9">
        <v>0</v>
      </c>
      <c r="BM18" s="9">
        <v>-224.13</v>
      </c>
      <c r="BN18" s="9">
        <v>0</v>
      </c>
      <c r="BO18" s="9">
        <v>0</v>
      </c>
      <c r="BP18" s="9">
        <v>0</v>
      </c>
      <c r="BQ18" s="9">
        <v>0</v>
      </c>
      <c r="BR18" s="7"/>
      <c r="BS18" s="7"/>
      <c r="BT18" s="9">
        <f t="shared" si="8"/>
        <v>-165376.45000000001</v>
      </c>
      <c r="BV18" s="9">
        <f t="shared" si="16"/>
        <v>0</v>
      </c>
      <c r="BW18" s="7">
        <f t="shared" si="17"/>
        <v>-165376.45000000001</v>
      </c>
      <c r="BX18" s="7"/>
      <c r="BY18" s="7"/>
      <c r="BZ18" s="9">
        <f t="shared" si="9"/>
        <v>0</v>
      </c>
      <c r="CA18" s="9">
        <f t="shared" si="10"/>
        <v>19614.530000000002</v>
      </c>
      <c r="CB18" s="9">
        <f t="shared" si="11"/>
        <v>145033.82</v>
      </c>
      <c r="CC18" s="7">
        <f t="shared" si="18"/>
        <v>164648.35</v>
      </c>
      <c r="CD18" s="7">
        <f t="shared" si="19"/>
        <v>0</v>
      </c>
      <c r="CE18" s="9">
        <f t="shared" si="20"/>
        <v>0</v>
      </c>
      <c r="CF18" s="9">
        <f t="shared" si="20"/>
        <v>0</v>
      </c>
      <c r="CG18" s="32">
        <f t="shared" si="21"/>
        <v>0</v>
      </c>
      <c r="CH18" s="32">
        <f t="shared" si="32"/>
        <v>0</v>
      </c>
      <c r="CI18" s="32">
        <f t="shared" si="31"/>
        <v>0</v>
      </c>
      <c r="CJ18" s="22"/>
      <c r="CK18" s="9">
        <f t="shared" si="22"/>
        <v>19614.530000000002</v>
      </c>
      <c r="CL18" s="9">
        <f t="shared" si="23"/>
        <v>145033.82</v>
      </c>
      <c r="CM18" s="9">
        <f t="shared" si="13"/>
        <v>6964.4700000000012</v>
      </c>
      <c r="CN18" s="7">
        <f t="shared" si="24"/>
        <v>171612.82</v>
      </c>
      <c r="CO18" s="7">
        <f t="shared" si="25"/>
        <v>-171612.82</v>
      </c>
      <c r="CP18" s="32">
        <f t="shared" si="26"/>
        <v>19614.530000000002</v>
      </c>
      <c r="CQ18" s="32">
        <f t="shared" si="27"/>
        <v>151998.29</v>
      </c>
      <c r="CR18" s="21"/>
      <c r="CS18" s="9">
        <f t="shared" si="28"/>
        <v>0</v>
      </c>
      <c r="CT18" s="9">
        <f t="shared" si="14"/>
        <v>-6236.3700000000008</v>
      </c>
      <c r="CU18" s="9">
        <f t="shared" si="29"/>
        <v>-6236.3700000000008</v>
      </c>
      <c r="CV18" s="9">
        <f t="shared" si="30"/>
        <v>-6236.37</v>
      </c>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row>
    <row r="19" spans="1:130">
      <c r="A19" s="70" t="s">
        <v>359</v>
      </c>
      <c r="B19" s="9">
        <v>0</v>
      </c>
      <c r="C19" s="9">
        <v>0</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c r="BC19" s="7">
        <v>0</v>
      </c>
      <c r="BD19" s="9">
        <v>0</v>
      </c>
      <c r="BE19" s="9">
        <v>0</v>
      </c>
      <c r="BF19" s="9">
        <v>0</v>
      </c>
      <c r="BG19" s="9">
        <v>-92429.05</v>
      </c>
      <c r="BH19" s="9">
        <v>0</v>
      </c>
      <c r="BI19" s="9">
        <v>0</v>
      </c>
      <c r="BJ19" s="9">
        <v>-358.61</v>
      </c>
      <c r="BK19" s="9">
        <v>-165.03</v>
      </c>
      <c r="BL19" s="9">
        <v>0</v>
      </c>
      <c r="BM19" s="9">
        <v>0</v>
      </c>
      <c r="BN19" s="9">
        <v>0</v>
      </c>
      <c r="BO19" s="9">
        <v>0</v>
      </c>
      <c r="BP19" s="9">
        <v>0</v>
      </c>
      <c r="BQ19" s="9">
        <v>0</v>
      </c>
      <c r="BR19" s="7"/>
      <c r="BS19" s="7"/>
      <c r="BT19" s="7">
        <f t="shared" si="8"/>
        <v>-92952.69</v>
      </c>
      <c r="BV19" s="9">
        <f t="shared" si="16"/>
        <v>0</v>
      </c>
      <c r="BW19" s="9">
        <f t="shared" si="17"/>
        <v>-92952.69</v>
      </c>
      <c r="BZ19" s="9">
        <f t="shared" si="9"/>
        <v>0</v>
      </c>
      <c r="CA19" s="9">
        <f t="shared" si="10"/>
        <v>2239.66</v>
      </c>
      <c r="CB19" s="9">
        <f t="shared" si="11"/>
        <v>5900.96</v>
      </c>
      <c r="CC19" s="7">
        <f t="shared" si="18"/>
        <v>8140.62</v>
      </c>
      <c r="CD19" s="7">
        <f t="shared" si="19"/>
        <v>0</v>
      </c>
      <c r="CE19" s="9">
        <f t="shared" si="20"/>
        <v>0</v>
      </c>
      <c r="CF19" s="9">
        <f t="shared" si="20"/>
        <v>0</v>
      </c>
      <c r="CG19" s="32">
        <f t="shared" si="21"/>
        <v>0</v>
      </c>
      <c r="CH19" s="32">
        <f t="shared" si="32"/>
        <v>0</v>
      </c>
      <c r="CI19" s="32">
        <f t="shared" si="31"/>
        <v>0</v>
      </c>
      <c r="CJ19" s="22"/>
      <c r="CK19" s="9">
        <f t="shared" si="22"/>
        <v>2239.66</v>
      </c>
      <c r="CL19" s="9">
        <f t="shared" si="23"/>
        <v>5900.96</v>
      </c>
      <c r="CM19" s="9">
        <f t="shared" si="13"/>
        <v>85667.50999999998</v>
      </c>
      <c r="CN19" s="7">
        <f t="shared" si="24"/>
        <v>93808.129999999976</v>
      </c>
      <c r="CO19" s="7">
        <f t="shared" si="25"/>
        <v>-92429.05</v>
      </c>
      <c r="CP19" s="32">
        <f t="shared" si="26"/>
        <v>2239.66</v>
      </c>
      <c r="CQ19" s="32">
        <f t="shared" si="27"/>
        <v>90189.39</v>
      </c>
      <c r="CR19" s="21"/>
      <c r="CS19" s="9">
        <f t="shared" si="28"/>
        <v>1379.0799999999726</v>
      </c>
      <c r="CT19" s="9">
        <f t="shared" si="14"/>
        <v>2414.19</v>
      </c>
      <c r="CU19" s="9">
        <f t="shared" si="29"/>
        <v>3793.2699999999727</v>
      </c>
      <c r="CV19" s="9">
        <f t="shared" si="30"/>
        <v>523.64</v>
      </c>
    </row>
    <row r="20" spans="1:130">
      <c r="A20" s="10" t="s">
        <v>60</v>
      </c>
      <c r="B20" s="9">
        <v>0</v>
      </c>
      <c r="C20" s="9">
        <v>0</v>
      </c>
      <c r="D20" s="9">
        <v>0</v>
      </c>
      <c r="E20" s="9">
        <v>0</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c r="BC20" s="7">
        <v>-116112.02</v>
      </c>
      <c r="BD20" s="9">
        <v>0</v>
      </c>
      <c r="BE20" s="9">
        <v>0</v>
      </c>
      <c r="BF20" s="9">
        <v>0</v>
      </c>
      <c r="BG20" s="9">
        <v>0</v>
      </c>
      <c r="BH20" s="9">
        <v>0</v>
      </c>
      <c r="BI20" s="9">
        <v>0</v>
      </c>
      <c r="BJ20" s="9">
        <v>0</v>
      </c>
      <c r="BK20" s="9">
        <v>-15868.53</v>
      </c>
      <c r="BL20" s="9">
        <v>0</v>
      </c>
      <c r="BM20" s="9">
        <v>0</v>
      </c>
      <c r="BN20" s="9">
        <v>0</v>
      </c>
      <c r="BO20" s="9">
        <v>0</v>
      </c>
      <c r="BP20" s="9">
        <v>0</v>
      </c>
      <c r="BQ20" s="9">
        <v>0</v>
      </c>
      <c r="BR20" s="7"/>
      <c r="BS20" s="7"/>
      <c r="BT20" s="9">
        <f t="shared" si="8"/>
        <v>-131980.55000000002</v>
      </c>
      <c r="BV20" s="9">
        <f t="shared" si="16"/>
        <v>0</v>
      </c>
      <c r="BW20" s="9">
        <f t="shared" si="17"/>
        <v>-131980.55000000002</v>
      </c>
      <c r="BZ20" s="9">
        <f t="shared" si="9"/>
        <v>0</v>
      </c>
      <c r="CA20" s="9">
        <f t="shared" si="10"/>
        <v>0</v>
      </c>
      <c r="CB20" s="9">
        <f t="shared" si="11"/>
        <v>0</v>
      </c>
      <c r="CC20" s="7">
        <f t="shared" si="18"/>
        <v>0</v>
      </c>
      <c r="CD20" s="7">
        <f t="shared" si="19"/>
        <v>0</v>
      </c>
      <c r="CE20" s="9">
        <f t="shared" si="20"/>
        <v>0</v>
      </c>
      <c r="CF20" s="9">
        <f t="shared" si="20"/>
        <v>0</v>
      </c>
      <c r="CG20" s="32">
        <f t="shared" si="21"/>
        <v>0</v>
      </c>
      <c r="CH20" s="32">
        <f t="shared" si="32"/>
        <v>0</v>
      </c>
      <c r="CI20" s="32">
        <f t="shared" si="31"/>
        <v>0</v>
      </c>
      <c r="CJ20" s="22"/>
      <c r="CK20" s="9">
        <f t="shared" si="22"/>
        <v>0</v>
      </c>
      <c r="CL20" s="9">
        <f t="shared" si="23"/>
        <v>0</v>
      </c>
      <c r="CM20" s="9">
        <f t="shared" si="13"/>
        <v>131767.12000000002</v>
      </c>
      <c r="CN20" s="7">
        <f t="shared" si="24"/>
        <v>131767.12000000002</v>
      </c>
      <c r="CO20" s="7">
        <f t="shared" si="25"/>
        <v>-116112.02</v>
      </c>
      <c r="CP20" s="32">
        <f t="shared" si="26"/>
        <v>0</v>
      </c>
      <c r="CQ20" s="32">
        <f t="shared" si="27"/>
        <v>116112.02</v>
      </c>
      <c r="CR20" s="21"/>
      <c r="CS20" s="9">
        <f t="shared" si="28"/>
        <v>15655.10000000002</v>
      </c>
      <c r="CT20" s="9">
        <f t="shared" si="14"/>
        <v>213.4299999999968</v>
      </c>
      <c r="CU20" s="9">
        <f t="shared" si="29"/>
        <v>15868.530000000017</v>
      </c>
      <c r="CV20" s="9">
        <f t="shared" si="30"/>
        <v>15868.53</v>
      </c>
    </row>
    <row r="21" spans="1:130">
      <c r="A21" t="s">
        <v>61</v>
      </c>
      <c r="B21" s="9">
        <v>0</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9">
        <v>0</v>
      </c>
      <c r="BA21" s="9">
        <v>0</v>
      </c>
      <c r="BB21" s="9">
        <v>-2379563.4500000002</v>
      </c>
      <c r="BC21" s="7">
        <v>-120467.54999999999</v>
      </c>
      <c r="BD21" s="9">
        <v>-90949.73</v>
      </c>
      <c r="BE21" s="9">
        <v>90949.73</v>
      </c>
      <c r="BF21" s="9">
        <v>-16336.9</v>
      </c>
      <c r="BG21" s="9">
        <v>-361.45</v>
      </c>
      <c r="BH21" s="9">
        <v>0</v>
      </c>
      <c r="BI21" s="9">
        <v>0</v>
      </c>
      <c r="BJ21" s="9">
        <v>-14776.86</v>
      </c>
      <c r="BK21" s="9">
        <v>-331.5</v>
      </c>
      <c r="BL21" s="9">
        <v>0</v>
      </c>
      <c r="BM21" s="9">
        <v>28134.34</v>
      </c>
      <c r="BN21" s="9">
        <v>0</v>
      </c>
      <c r="BO21" s="9">
        <v>2319.66</v>
      </c>
      <c r="BP21" s="9">
        <v>0</v>
      </c>
      <c r="BQ21" s="9">
        <v>0</v>
      </c>
      <c r="BR21" s="9"/>
      <c r="BS21" s="9"/>
      <c r="BT21" s="9">
        <f t="shared" si="8"/>
        <v>-2501383.71</v>
      </c>
      <c r="BV21" s="9">
        <f t="shared" si="16"/>
        <v>0</v>
      </c>
      <c r="BW21" s="9">
        <f t="shared" si="17"/>
        <v>-2501383.71</v>
      </c>
      <c r="BZ21" s="9">
        <f t="shared" si="9"/>
        <v>0</v>
      </c>
      <c r="CA21" s="9">
        <f t="shared" si="10"/>
        <v>5030.0400000000009</v>
      </c>
      <c r="CB21" s="9">
        <f t="shared" si="11"/>
        <v>430350.5500000001</v>
      </c>
      <c r="CC21" s="7">
        <f t="shared" si="18"/>
        <v>435380.59000000008</v>
      </c>
      <c r="CD21" s="7">
        <f t="shared" si="19"/>
        <v>0</v>
      </c>
      <c r="CE21" s="9">
        <f t="shared" si="20"/>
        <v>0</v>
      </c>
      <c r="CF21" s="9">
        <f t="shared" si="20"/>
        <v>0</v>
      </c>
      <c r="CG21" s="32">
        <f t="shared" si="21"/>
        <v>0</v>
      </c>
      <c r="CH21" s="32">
        <f t="shared" si="32"/>
        <v>0</v>
      </c>
      <c r="CI21" s="32">
        <f t="shared" si="31"/>
        <v>0</v>
      </c>
      <c r="CJ21" s="22"/>
      <c r="CK21" s="9">
        <f t="shared" si="22"/>
        <v>5030.0400000000009</v>
      </c>
      <c r="CL21" s="9">
        <f t="shared" si="23"/>
        <v>430350.5500000001</v>
      </c>
      <c r="CM21" s="9">
        <f t="shared" si="13"/>
        <v>2087572.77</v>
      </c>
      <c r="CN21" s="7">
        <f t="shared" si="24"/>
        <v>2522953.3600000003</v>
      </c>
      <c r="CO21" s="7">
        <f t="shared" si="25"/>
        <v>-2516729.35</v>
      </c>
      <c r="CP21" s="32">
        <f t="shared" si="26"/>
        <v>5030.0400000000009</v>
      </c>
      <c r="CQ21" s="32">
        <f t="shared" si="27"/>
        <v>2511699.31</v>
      </c>
      <c r="CR21" s="21"/>
      <c r="CS21" s="9">
        <f t="shared" si="28"/>
        <v>6224.0100000002421</v>
      </c>
      <c r="CT21" s="9">
        <f t="shared" si="14"/>
        <v>-21569.649999999998</v>
      </c>
      <c r="CU21" s="9">
        <f t="shared" si="29"/>
        <v>-15345.639999999756</v>
      </c>
      <c r="CV21" s="9">
        <f t="shared" si="30"/>
        <v>-15345.64</v>
      </c>
    </row>
    <row r="22" spans="1:130">
      <c r="A22" s="10" t="s">
        <v>307</v>
      </c>
      <c r="B22" s="9">
        <v>0</v>
      </c>
      <c r="C22" s="9">
        <v>0</v>
      </c>
      <c r="D22" s="9">
        <v>0</v>
      </c>
      <c r="E22" s="9">
        <v>0</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v>0</v>
      </c>
      <c r="AY22" s="9">
        <v>0</v>
      </c>
      <c r="AZ22" s="9">
        <v>0</v>
      </c>
      <c r="BA22" s="9">
        <v>0</v>
      </c>
      <c r="BB22" s="9">
        <v>0</v>
      </c>
      <c r="BC22" s="7">
        <v>0</v>
      </c>
      <c r="BD22" s="9">
        <v>0</v>
      </c>
      <c r="BE22" s="9">
        <v>0</v>
      </c>
      <c r="BF22" s="9">
        <v>-153478.67000000001</v>
      </c>
      <c r="BG22" s="9">
        <v>-2788.71</v>
      </c>
      <c r="BH22" s="9">
        <v>0</v>
      </c>
      <c r="BI22" s="9">
        <v>0</v>
      </c>
      <c r="BJ22" s="9">
        <v>0</v>
      </c>
      <c r="BK22" s="9">
        <v>0</v>
      </c>
      <c r="BL22" s="9">
        <v>0</v>
      </c>
      <c r="BM22" s="9">
        <v>0</v>
      </c>
      <c r="BN22" s="9">
        <v>0</v>
      </c>
      <c r="BO22" s="9">
        <v>0</v>
      </c>
      <c r="BP22" s="9">
        <v>0</v>
      </c>
      <c r="BQ22" s="9">
        <v>0</v>
      </c>
      <c r="BR22" s="9"/>
      <c r="BS22" s="9"/>
      <c r="BT22" s="9">
        <f t="shared" si="8"/>
        <v>-156267.38</v>
      </c>
      <c r="BV22" s="9">
        <f t="shared" si="16"/>
        <v>0</v>
      </c>
      <c r="BW22" s="9">
        <f t="shared" si="17"/>
        <v>-156267.38</v>
      </c>
      <c r="BZ22" s="9">
        <f t="shared" si="9"/>
        <v>0</v>
      </c>
      <c r="CA22" s="9">
        <f t="shared" si="10"/>
        <v>0</v>
      </c>
      <c r="CB22" s="9">
        <f t="shared" si="11"/>
        <v>3239.78</v>
      </c>
      <c r="CC22" s="7">
        <f t="shared" si="18"/>
        <v>3239.78</v>
      </c>
      <c r="CD22" s="7">
        <f t="shared" si="19"/>
        <v>0</v>
      </c>
      <c r="CE22" s="9">
        <f t="shared" si="20"/>
        <v>0</v>
      </c>
      <c r="CF22" s="9">
        <f t="shared" si="20"/>
        <v>0</v>
      </c>
      <c r="CG22" s="32">
        <f t="shared" si="21"/>
        <v>0</v>
      </c>
      <c r="CH22" s="32">
        <f t="shared" si="32"/>
        <v>0</v>
      </c>
      <c r="CI22" s="32">
        <f t="shared" si="31"/>
        <v>0</v>
      </c>
      <c r="CJ22" s="22"/>
      <c r="CK22" s="9">
        <f t="shared" si="22"/>
        <v>0</v>
      </c>
      <c r="CL22" s="9">
        <f t="shared" si="23"/>
        <v>3239.78</v>
      </c>
      <c r="CM22" s="9">
        <f t="shared" si="13"/>
        <v>153058.65999999997</v>
      </c>
      <c r="CN22" s="7">
        <f t="shared" si="24"/>
        <v>156298.43999999997</v>
      </c>
      <c r="CO22" s="7">
        <f t="shared" si="25"/>
        <v>-156267.38</v>
      </c>
      <c r="CP22" s="32">
        <f t="shared" si="26"/>
        <v>0</v>
      </c>
      <c r="CQ22" s="32">
        <f t="shared" si="27"/>
        <v>156267.38</v>
      </c>
      <c r="CR22" s="21"/>
      <c r="CS22" s="9">
        <f t="shared" si="28"/>
        <v>31.059999999968568</v>
      </c>
      <c r="CT22" s="9">
        <f t="shared" si="14"/>
        <v>-31.060000000000002</v>
      </c>
      <c r="CU22" s="9">
        <f t="shared" si="29"/>
        <v>-3.1434410630026832E-11</v>
      </c>
      <c r="CV22" s="9">
        <f t="shared" si="30"/>
        <v>0</v>
      </c>
    </row>
    <row r="23" spans="1:130">
      <c r="A23" s="10" t="s">
        <v>310</v>
      </c>
      <c r="B23" s="9">
        <v>0</v>
      </c>
      <c r="C23" s="9">
        <v>0</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0</v>
      </c>
      <c r="AU23" s="9">
        <v>0</v>
      </c>
      <c r="AV23" s="9">
        <v>0</v>
      </c>
      <c r="AW23" s="9">
        <v>0</v>
      </c>
      <c r="AX23" s="9">
        <v>0</v>
      </c>
      <c r="AY23" s="9">
        <v>0</v>
      </c>
      <c r="AZ23" s="9">
        <v>0</v>
      </c>
      <c r="BA23" s="9">
        <v>0</v>
      </c>
      <c r="BB23" s="9">
        <v>0</v>
      </c>
      <c r="BC23" s="7">
        <v>0</v>
      </c>
      <c r="BD23" s="9">
        <v>0</v>
      </c>
      <c r="BE23" s="9">
        <v>0</v>
      </c>
      <c r="BF23" s="9">
        <v>0</v>
      </c>
      <c r="BG23" s="9">
        <v>-20449502.949999999</v>
      </c>
      <c r="BH23" s="9">
        <v>0</v>
      </c>
      <c r="BI23" s="9">
        <v>0</v>
      </c>
      <c r="BJ23" s="9">
        <v>0</v>
      </c>
      <c r="BK23" s="9">
        <v>0</v>
      </c>
      <c r="BL23" s="9">
        <v>0</v>
      </c>
      <c r="BM23" s="9">
        <v>0</v>
      </c>
      <c r="BN23" s="9">
        <v>-11909265.02</v>
      </c>
      <c r="BO23" s="9">
        <v>-127505.88999999996</v>
      </c>
      <c r="BP23" s="9">
        <v>-652804.37</v>
      </c>
      <c r="BQ23" s="9">
        <v>0</v>
      </c>
      <c r="BR23" s="7"/>
      <c r="BS23" s="7"/>
      <c r="BT23" s="9">
        <f t="shared" si="8"/>
        <v>-33139078.23</v>
      </c>
      <c r="BV23" s="9">
        <f t="shared" si="16"/>
        <v>0</v>
      </c>
      <c r="BW23" s="9">
        <f t="shared" si="17"/>
        <v>-33139078.23</v>
      </c>
      <c r="BZ23" s="9">
        <f t="shared" si="9"/>
        <v>0</v>
      </c>
      <c r="CA23" s="9">
        <f t="shared" si="10"/>
        <v>0</v>
      </c>
      <c r="CB23" s="9">
        <f t="shared" si="11"/>
        <v>2711638.47</v>
      </c>
      <c r="CC23" s="7">
        <f t="shared" si="18"/>
        <v>2711638.47</v>
      </c>
      <c r="CD23" s="7">
        <f t="shared" si="19"/>
        <v>0</v>
      </c>
      <c r="CE23" s="9">
        <f t="shared" si="20"/>
        <v>0</v>
      </c>
      <c r="CF23" s="9">
        <f t="shared" si="20"/>
        <v>0</v>
      </c>
      <c r="CG23" s="32">
        <f t="shared" si="21"/>
        <v>0</v>
      </c>
      <c r="CH23" s="32">
        <f t="shared" si="32"/>
        <v>0</v>
      </c>
      <c r="CI23" s="32">
        <f t="shared" si="31"/>
        <v>0</v>
      </c>
      <c r="CJ23" s="22"/>
      <c r="CK23" s="9">
        <f t="shared" si="22"/>
        <v>0</v>
      </c>
      <c r="CL23" s="9">
        <f t="shared" si="23"/>
        <v>2711638.47</v>
      </c>
      <c r="CM23" s="9">
        <f t="shared" si="13"/>
        <v>23919063.199999996</v>
      </c>
      <c r="CN23" s="7">
        <f t="shared" si="24"/>
        <v>26630701.669999994</v>
      </c>
      <c r="CO23" s="7">
        <f t="shared" si="25"/>
        <v>-20449502.949999999</v>
      </c>
      <c r="CP23" s="32">
        <f t="shared" si="26"/>
        <v>0</v>
      </c>
      <c r="CQ23" s="32">
        <f t="shared" si="27"/>
        <v>20449502.949999999</v>
      </c>
      <c r="CR23" s="21"/>
      <c r="CS23" s="9">
        <f t="shared" si="28"/>
        <v>6181198.7199999951</v>
      </c>
      <c r="CT23" s="9">
        <f t="shared" si="14"/>
        <v>6707518.8999999994</v>
      </c>
      <c r="CU23" s="9">
        <f t="shared" si="29"/>
        <v>12888717.619999994</v>
      </c>
      <c r="CV23" s="9">
        <f t="shared" si="30"/>
        <v>12689575.279999999</v>
      </c>
    </row>
    <row r="24" spans="1:130">
      <c r="A24" s="10" t="s">
        <v>306</v>
      </c>
      <c r="B24" s="9">
        <v>0</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9">
        <v>0</v>
      </c>
      <c r="AJ24" s="9">
        <v>0</v>
      </c>
      <c r="AK24" s="9">
        <v>0</v>
      </c>
      <c r="AL24" s="9">
        <v>0</v>
      </c>
      <c r="AM24" s="9">
        <v>0</v>
      </c>
      <c r="AN24" s="9">
        <v>0</v>
      </c>
      <c r="AO24" s="9">
        <v>0</v>
      </c>
      <c r="AP24" s="9">
        <v>0</v>
      </c>
      <c r="AQ24" s="9">
        <v>0</v>
      </c>
      <c r="AR24" s="9">
        <v>0</v>
      </c>
      <c r="AS24" s="9">
        <v>0</v>
      </c>
      <c r="AT24" s="9">
        <v>0</v>
      </c>
      <c r="AU24" s="9">
        <v>0</v>
      </c>
      <c r="AV24" s="9">
        <v>0</v>
      </c>
      <c r="AW24" s="9">
        <v>0</v>
      </c>
      <c r="AX24" s="9">
        <v>0</v>
      </c>
      <c r="AY24" s="9">
        <v>0</v>
      </c>
      <c r="AZ24" s="9">
        <v>0</v>
      </c>
      <c r="BA24" s="9">
        <v>0</v>
      </c>
      <c r="BB24" s="9">
        <v>0</v>
      </c>
      <c r="BC24" s="7">
        <v>0</v>
      </c>
      <c r="BD24" s="9">
        <v>0</v>
      </c>
      <c r="BE24" s="9">
        <v>0</v>
      </c>
      <c r="BF24" s="9">
        <v>-207640.65</v>
      </c>
      <c r="BG24" s="9">
        <v>-4406.6400000000003</v>
      </c>
      <c r="BH24" s="9">
        <v>0</v>
      </c>
      <c r="BI24" s="9">
        <v>0</v>
      </c>
      <c r="BJ24" s="9">
        <v>-277.22000000000003</v>
      </c>
      <c r="BK24" s="9">
        <v>0</v>
      </c>
      <c r="BL24" s="9">
        <v>0</v>
      </c>
      <c r="BM24" s="9">
        <v>0</v>
      </c>
      <c r="BN24" s="9">
        <v>0</v>
      </c>
      <c r="BO24" s="9">
        <v>0</v>
      </c>
      <c r="BP24" s="9">
        <v>0</v>
      </c>
      <c r="BQ24" s="9">
        <v>0</v>
      </c>
      <c r="BR24" s="9"/>
      <c r="BS24" s="9"/>
      <c r="BT24" s="9">
        <f t="shared" si="8"/>
        <v>-212324.51</v>
      </c>
      <c r="BV24" s="9">
        <f t="shared" si="16"/>
        <v>0</v>
      </c>
      <c r="BW24" s="9">
        <f t="shared" si="17"/>
        <v>-212324.51</v>
      </c>
      <c r="BZ24" s="9">
        <f t="shared" si="9"/>
        <v>0</v>
      </c>
      <c r="CA24" s="9">
        <f t="shared" si="10"/>
        <v>0</v>
      </c>
      <c r="CB24" s="9">
        <f t="shared" si="11"/>
        <v>9151.630000000001</v>
      </c>
      <c r="CC24" s="7">
        <f t="shared" si="18"/>
        <v>9151.630000000001</v>
      </c>
      <c r="CD24" s="7">
        <f t="shared" si="19"/>
        <v>0</v>
      </c>
      <c r="CE24" s="9">
        <f t="shared" si="20"/>
        <v>0</v>
      </c>
      <c r="CF24" s="9">
        <f t="shared" si="20"/>
        <v>0</v>
      </c>
      <c r="CG24" s="32">
        <f t="shared" si="21"/>
        <v>0</v>
      </c>
      <c r="CH24" s="32">
        <f t="shared" si="32"/>
        <v>0</v>
      </c>
      <c r="CI24" s="32">
        <f t="shared" si="31"/>
        <v>0</v>
      </c>
      <c r="CJ24" s="22"/>
      <c r="CK24" s="9">
        <f t="shared" si="22"/>
        <v>0</v>
      </c>
      <c r="CL24" s="9">
        <f t="shared" si="23"/>
        <v>9151.630000000001</v>
      </c>
      <c r="CM24" s="9">
        <f t="shared" si="13"/>
        <v>203448.66</v>
      </c>
      <c r="CN24" s="7">
        <f t="shared" si="24"/>
        <v>212600.29</v>
      </c>
      <c r="CO24" s="7">
        <f t="shared" si="25"/>
        <v>-212047.29</v>
      </c>
      <c r="CP24" s="32">
        <f t="shared" si="26"/>
        <v>0</v>
      </c>
      <c r="CQ24" s="32">
        <f t="shared" si="27"/>
        <v>212047.29</v>
      </c>
      <c r="CR24" s="21"/>
      <c r="CS24" s="9">
        <f t="shared" si="28"/>
        <v>553</v>
      </c>
      <c r="CT24" s="9">
        <f t="shared" si="14"/>
        <v>255.83</v>
      </c>
      <c r="CU24" s="9">
        <f t="shared" si="29"/>
        <v>808.83</v>
      </c>
      <c r="CV24" s="9">
        <f t="shared" si="30"/>
        <v>277.22000000000003</v>
      </c>
    </row>
    <row r="25" spans="1:130">
      <c r="A25" s="10" t="s">
        <v>331</v>
      </c>
      <c r="B25" s="9">
        <v>0</v>
      </c>
      <c r="C25" s="9">
        <v>0</v>
      </c>
      <c r="D25" s="9">
        <v>0</v>
      </c>
      <c r="E25" s="9">
        <v>0</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v>0</v>
      </c>
      <c r="AI25" s="9">
        <v>0</v>
      </c>
      <c r="AJ25" s="9">
        <v>0</v>
      </c>
      <c r="AK25" s="9">
        <v>0</v>
      </c>
      <c r="AL25" s="9">
        <v>0</v>
      </c>
      <c r="AM25" s="9">
        <v>0</v>
      </c>
      <c r="AN25" s="9">
        <v>0</v>
      </c>
      <c r="AO25" s="9">
        <v>0</v>
      </c>
      <c r="AP25" s="9">
        <v>0</v>
      </c>
      <c r="AQ25" s="9">
        <v>0</v>
      </c>
      <c r="AR25" s="9">
        <v>0</v>
      </c>
      <c r="AS25" s="9">
        <v>0</v>
      </c>
      <c r="AT25" s="9">
        <v>0</v>
      </c>
      <c r="AU25" s="9">
        <v>0</v>
      </c>
      <c r="AV25" s="9">
        <v>0</v>
      </c>
      <c r="AW25" s="9">
        <v>0</v>
      </c>
      <c r="AX25" s="9">
        <v>0</v>
      </c>
      <c r="AY25" s="9">
        <v>0</v>
      </c>
      <c r="AZ25" s="9">
        <v>0</v>
      </c>
      <c r="BA25" s="9">
        <v>0</v>
      </c>
      <c r="BB25" s="9">
        <v>0</v>
      </c>
      <c r="BC25" s="7">
        <v>0</v>
      </c>
      <c r="BD25" s="9">
        <v>0</v>
      </c>
      <c r="BE25" s="9">
        <v>0</v>
      </c>
      <c r="BF25" s="9">
        <v>0</v>
      </c>
      <c r="BG25" s="9">
        <v>-173863.29</v>
      </c>
      <c r="BH25" s="9">
        <v>0</v>
      </c>
      <c r="BI25" s="9">
        <v>0</v>
      </c>
      <c r="BJ25" s="9">
        <v>-102.5</v>
      </c>
      <c r="BK25" s="9">
        <v>0</v>
      </c>
      <c r="BL25" s="9">
        <v>0</v>
      </c>
      <c r="BM25" s="9">
        <v>0</v>
      </c>
      <c r="BN25" s="9">
        <v>0</v>
      </c>
      <c r="BO25" s="9">
        <v>0</v>
      </c>
      <c r="BP25" s="9">
        <v>0</v>
      </c>
      <c r="BQ25" s="9">
        <v>0</v>
      </c>
      <c r="BR25" s="9"/>
      <c r="BS25" s="9"/>
      <c r="BT25" s="9">
        <f t="shared" si="8"/>
        <v>-173965.79</v>
      </c>
      <c r="BV25" s="9">
        <f t="shared" si="16"/>
        <v>0</v>
      </c>
      <c r="BW25" s="9">
        <f t="shared" si="17"/>
        <v>-173965.79</v>
      </c>
      <c r="BZ25" s="9">
        <f t="shared" si="9"/>
        <v>0</v>
      </c>
      <c r="CA25" s="9">
        <f t="shared" si="10"/>
        <v>0</v>
      </c>
      <c r="CB25" s="9">
        <f t="shared" si="11"/>
        <v>0</v>
      </c>
      <c r="CC25" s="7">
        <f t="shared" si="18"/>
        <v>0</v>
      </c>
      <c r="CD25" s="7">
        <f t="shared" si="19"/>
        <v>0</v>
      </c>
      <c r="CE25" s="9">
        <f t="shared" si="20"/>
        <v>0</v>
      </c>
      <c r="CF25" s="9">
        <f t="shared" si="20"/>
        <v>0</v>
      </c>
      <c r="CG25" s="32">
        <f t="shared" si="21"/>
        <v>0</v>
      </c>
      <c r="CH25" s="32">
        <f t="shared" si="32"/>
        <v>0</v>
      </c>
      <c r="CI25" s="32">
        <f t="shared" si="31"/>
        <v>0</v>
      </c>
      <c r="CJ25" s="22"/>
      <c r="CK25" s="9">
        <f t="shared" si="22"/>
        <v>0</v>
      </c>
      <c r="CL25" s="9">
        <f t="shared" si="23"/>
        <v>0</v>
      </c>
      <c r="CM25" s="9">
        <f t="shared" si="13"/>
        <v>191742.59</v>
      </c>
      <c r="CN25" s="7">
        <f t="shared" si="24"/>
        <v>191742.59</v>
      </c>
      <c r="CO25" s="7">
        <f t="shared" si="25"/>
        <v>-173863.29</v>
      </c>
      <c r="CP25" s="32">
        <f t="shared" si="26"/>
        <v>0</v>
      </c>
      <c r="CQ25" s="32">
        <f t="shared" si="27"/>
        <v>173863.29</v>
      </c>
      <c r="CR25" s="21"/>
      <c r="CS25" s="9">
        <f t="shared" si="28"/>
        <v>17879.299999999988</v>
      </c>
      <c r="CT25" s="9">
        <f t="shared" si="14"/>
        <v>262.45000000000005</v>
      </c>
      <c r="CU25" s="9">
        <f t="shared" si="29"/>
        <v>18141.749999999989</v>
      </c>
      <c r="CV25" s="9">
        <f t="shared" si="30"/>
        <v>102.5</v>
      </c>
    </row>
    <row r="26" spans="1:130">
      <c r="A26" s="10" t="s">
        <v>332</v>
      </c>
      <c r="B26" s="9">
        <v>0</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c r="BB26" s="9">
        <v>0</v>
      </c>
      <c r="BC26" s="7">
        <v>0</v>
      </c>
      <c r="BD26" s="9">
        <v>0</v>
      </c>
      <c r="BE26" s="9">
        <v>0</v>
      </c>
      <c r="BF26" s="9">
        <v>0</v>
      </c>
      <c r="BG26" s="9">
        <v>-50445.43</v>
      </c>
      <c r="BH26" s="9">
        <v>0</v>
      </c>
      <c r="BI26" s="9">
        <v>0</v>
      </c>
      <c r="BJ26" s="9">
        <v>0</v>
      </c>
      <c r="BK26" s="9">
        <v>0</v>
      </c>
      <c r="BL26" s="9">
        <v>0</v>
      </c>
      <c r="BM26" s="9">
        <v>0</v>
      </c>
      <c r="BN26" s="9">
        <v>0</v>
      </c>
      <c r="BO26" s="9">
        <v>0</v>
      </c>
      <c r="BP26" s="9">
        <v>0</v>
      </c>
      <c r="BQ26" s="9">
        <v>0</v>
      </c>
      <c r="BR26" s="9"/>
      <c r="BS26" s="9"/>
      <c r="BT26" s="9">
        <f t="shared" si="8"/>
        <v>-50445.43</v>
      </c>
      <c r="BV26" s="9">
        <f t="shared" si="16"/>
        <v>0</v>
      </c>
      <c r="BW26" s="9">
        <f t="shared" si="17"/>
        <v>-50445.43</v>
      </c>
      <c r="BZ26" s="9">
        <f t="shared" si="9"/>
        <v>0</v>
      </c>
      <c r="CA26" s="9">
        <f t="shared" si="10"/>
        <v>0</v>
      </c>
      <c r="CB26" s="9">
        <f t="shared" si="11"/>
        <v>0</v>
      </c>
      <c r="CC26" s="7">
        <f t="shared" si="18"/>
        <v>0</v>
      </c>
      <c r="CD26" s="7">
        <f t="shared" si="19"/>
        <v>0</v>
      </c>
      <c r="CE26" s="9">
        <f t="shared" si="20"/>
        <v>0</v>
      </c>
      <c r="CF26" s="9">
        <f t="shared" si="20"/>
        <v>0</v>
      </c>
      <c r="CG26" s="32">
        <f t="shared" si="21"/>
        <v>0</v>
      </c>
      <c r="CH26" s="32">
        <f t="shared" si="32"/>
        <v>0</v>
      </c>
      <c r="CI26" s="32">
        <f t="shared" si="31"/>
        <v>0</v>
      </c>
      <c r="CJ26" s="22"/>
      <c r="CK26" s="9">
        <f t="shared" si="22"/>
        <v>0</v>
      </c>
      <c r="CL26" s="9">
        <f t="shared" si="23"/>
        <v>0</v>
      </c>
      <c r="CM26" s="9">
        <f t="shared" si="13"/>
        <v>50874.600000000006</v>
      </c>
      <c r="CN26" s="7">
        <f t="shared" si="24"/>
        <v>50874.600000000006</v>
      </c>
      <c r="CO26" s="7">
        <f t="shared" si="25"/>
        <v>-50445.43</v>
      </c>
      <c r="CP26" s="32">
        <f t="shared" si="26"/>
        <v>0</v>
      </c>
      <c r="CQ26" s="32">
        <f t="shared" si="27"/>
        <v>50445.43</v>
      </c>
      <c r="CR26" s="21"/>
      <c r="CS26" s="9">
        <f t="shared" si="28"/>
        <v>429.17000000000553</v>
      </c>
      <c r="CT26" s="9">
        <f t="shared" si="14"/>
        <v>-3.9200000000000017</v>
      </c>
      <c r="CU26" s="9">
        <f t="shared" si="29"/>
        <v>425.25000000000551</v>
      </c>
      <c r="CV26" s="9">
        <f t="shared" si="30"/>
        <v>0</v>
      </c>
    </row>
    <row r="27" spans="1:130">
      <c r="A27" s="256" t="s">
        <v>375</v>
      </c>
      <c r="B27" s="9">
        <v>0</v>
      </c>
      <c r="C27" s="9">
        <v>0</v>
      </c>
      <c r="D27" s="9">
        <v>0</v>
      </c>
      <c r="E27" s="9">
        <v>0</v>
      </c>
      <c r="F27" s="9">
        <v>0</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9">
        <v>0</v>
      </c>
      <c r="AS27" s="9">
        <v>0</v>
      </c>
      <c r="AT27" s="9">
        <v>0</v>
      </c>
      <c r="AU27" s="9">
        <v>0</v>
      </c>
      <c r="AV27" s="9">
        <v>0</v>
      </c>
      <c r="AW27" s="9">
        <v>0</v>
      </c>
      <c r="AX27" s="9">
        <v>0</v>
      </c>
      <c r="AY27" s="9">
        <v>0</v>
      </c>
      <c r="AZ27" s="9">
        <v>0</v>
      </c>
      <c r="BA27" s="9">
        <v>0</v>
      </c>
      <c r="BB27" s="9">
        <v>0</v>
      </c>
      <c r="BC27" s="7">
        <v>0</v>
      </c>
      <c r="BD27" s="9">
        <v>0</v>
      </c>
      <c r="BE27" s="9">
        <v>0</v>
      </c>
      <c r="BF27" s="9">
        <v>0</v>
      </c>
      <c r="BG27" s="9">
        <v>0</v>
      </c>
      <c r="BH27" s="9">
        <v>0</v>
      </c>
      <c r="BI27" s="9">
        <v>0</v>
      </c>
      <c r="BJ27" s="9">
        <v>0</v>
      </c>
      <c r="BK27" s="9">
        <v>0</v>
      </c>
      <c r="BL27" s="9">
        <v>0</v>
      </c>
      <c r="BM27" s="9">
        <v>0</v>
      </c>
      <c r="BN27" s="9">
        <v>0</v>
      </c>
      <c r="BO27" s="9">
        <v>0</v>
      </c>
      <c r="BP27" s="9">
        <v>0</v>
      </c>
      <c r="BQ27" s="9">
        <v>-12086502.66</v>
      </c>
      <c r="BR27" s="9"/>
      <c r="BS27" s="9"/>
      <c r="BT27" s="9">
        <f t="shared" si="8"/>
        <v>-12086502.66</v>
      </c>
      <c r="BV27" s="9">
        <f t="shared" si="16"/>
        <v>0</v>
      </c>
      <c r="BW27" s="9">
        <f t="shared" si="17"/>
        <v>-12086502.66</v>
      </c>
      <c r="BZ27" s="9">
        <f t="shared" si="9"/>
        <v>0</v>
      </c>
      <c r="CA27" s="9">
        <f t="shared" si="10"/>
        <v>0</v>
      </c>
      <c r="CB27" s="9">
        <f t="shared" si="11"/>
        <v>0</v>
      </c>
      <c r="CC27" s="7">
        <f t="shared" si="18"/>
        <v>0</v>
      </c>
      <c r="CD27" s="7">
        <f t="shared" si="19"/>
        <v>0</v>
      </c>
      <c r="CE27" s="9">
        <f t="shared" si="20"/>
        <v>0</v>
      </c>
      <c r="CF27" s="9">
        <f t="shared" si="20"/>
        <v>0</v>
      </c>
      <c r="CG27" s="32">
        <f t="shared" si="21"/>
        <v>0</v>
      </c>
      <c r="CH27" s="32">
        <f t="shared" si="32"/>
        <v>0</v>
      </c>
      <c r="CI27" s="32">
        <f t="shared" si="31"/>
        <v>0</v>
      </c>
      <c r="CJ27" s="22"/>
      <c r="CK27" s="9">
        <f t="shared" si="22"/>
        <v>0</v>
      </c>
      <c r="CL27" s="9">
        <f t="shared" si="23"/>
        <v>0</v>
      </c>
      <c r="CM27" s="9">
        <f t="shared" si="13"/>
        <v>186988.61999999997</v>
      </c>
      <c r="CN27" s="7">
        <f t="shared" si="24"/>
        <v>186988.61999999997</v>
      </c>
      <c r="CO27" s="7">
        <f t="shared" si="25"/>
        <v>0</v>
      </c>
      <c r="CP27" s="32">
        <f t="shared" si="26"/>
        <v>0</v>
      </c>
      <c r="CQ27" s="32">
        <f t="shared" si="27"/>
        <v>0</v>
      </c>
      <c r="CR27" s="21"/>
      <c r="CS27" s="9">
        <f t="shared" si="28"/>
        <v>186988.61999999997</v>
      </c>
      <c r="CT27" s="9">
        <f t="shared" si="14"/>
        <v>11349995.869999997</v>
      </c>
      <c r="CU27" s="9">
        <f t="shared" si="29"/>
        <v>11536984.489999996</v>
      </c>
      <c r="CV27" s="9">
        <f t="shared" si="30"/>
        <v>12086502.66</v>
      </c>
    </row>
    <row r="28" spans="1:130">
      <c r="A28" s="10" t="s">
        <v>329</v>
      </c>
      <c r="B28" s="9">
        <v>0</v>
      </c>
      <c r="C28" s="9">
        <v>0</v>
      </c>
      <c r="D28" s="9">
        <v>0</v>
      </c>
      <c r="E28" s="9">
        <v>0</v>
      </c>
      <c r="F28" s="9">
        <v>0</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9">
        <v>0</v>
      </c>
      <c r="AJ28" s="9">
        <v>0</v>
      </c>
      <c r="AK28" s="9">
        <v>0</v>
      </c>
      <c r="AL28" s="9">
        <v>0</v>
      </c>
      <c r="AM28" s="9">
        <v>0</v>
      </c>
      <c r="AN28" s="9">
        <v>0</v>
      </c>
      <c r="AO28" s="9">
        <v>0</v>
      </c>
      <c r="AP28" s="9">
        <v>0</v>
      </c>
      <c r="AQ28" s="9">
        <v>0</v>
      </c>
      <c r="AR28" s="9">
        <v>0</v>
      </c>
      <c r="AS28" s="9">
        <v>0</v>
      </c>
      <c r="AT28" s="9">
        <v>0</v>
      </c>
      <c r="AU28" s="9">
        <v>0</v>
      </c>
      <c r="AV28" s="9">
        <v>0</v>
      </c>
      <c r="AW28" s="9">
        <v>0</v>
      </c>
      <c r="AX28" s="9">
        <v>0</v>
      </c>
      <c r="AY28" s="9">
        <v>0</v>
      </c>
      <c r="AZ28" s="9">
        <v>0</v>
      </c>
      <c r="BA28" s="9">
        <v>0</v>
      </c>
      <c r="BB28" s="9">
        <v>0</v>
      </c>
      <c r="BC28" s="7">
        <v>0</v>
      </c>
      <c r="BD28" s="9">
        <v>0</v>
      </c>
      <c r="BE28" s="9">
        <v>0</v>
      </c>
      <c r="BF28" s="9">
        <v>0</v>
      </c>
      <c r="BG28" s="9">
        <v>0</v>
      </c>
      <c r="BH28" s="9">
        <v>0</v>
      </c>
      <c r="BI28" s="9">
        <v>0</v>
      </c>
      <c r="BJ28" s="9">
        <v>0</v>
      </c>
      <c r="BK28" s="9">
        <v>0</v>
      </c>
      <c r="BL28" s="9">
        <v>0</v>
      </c>
      <c r="BM28" s="9">
        <v>0</v>
      </c>
      <c r="BN28" s="9">
        <v>-2199339.17</v>
      </c>
      <c r="BO28" s="9">
        <v>-107238.67000000001</v>
      </c>
      <c r="BP28" s="9">
        <v>-125326.38</v>
      </c>
      <c r="BQ28" s="9">
        <v>0</v>
      </c>
      <c r="BR28" s="9"/>
      <c r="BS28" s="9"/>
      <c r="BT28" s="9">
        <f t="shared" si="8"/>
        <v>-2431904.2199999997</v>
      </c>
      <c r="BV28" s="9">
        <f t="shared" si="16"/>
        <v>0</v>
      </c>
      <c r="BW28" s="9">
        <f t="shared" si="17"/>
        <v>-2431904.2199999997</v>
      </c>
      <c r="BZ28" s="9">
        <f t="shared" si="9"/>
        <v>0</v>
      </c>
      <c r="CA28" s="9">
        <f t="shared" si="10"/>
        <v>0</v>
      </c>
      <c r="CB28" s="9">
        <f t="shared" si="11"/>
        <v>0</v>
      </c>
      <c r="CC28" s="7">
        <f t="shared" si="18"/>
        <v>0</v>
      </c>
      <c r="CD28" s="7">
        <f t="shared" si="19"/>
        <v>0</v>
      </c>
      <c r="CE28" s="9">
        <f t="shared" si="20"/>
        <v>0</v>
      </c>
      <c r="CF28" s="9">
        <f t="shared" si="20"/>
        <v>0</v>
      </c>
      <c r="CG28" s="32">
        <f t="shared" si="21"/>
        <v>0</v>
      </c>
      <c r="CH28" s="32">
        <f t="shared" si="32"/>
        <v>0</v>
      </c>
      <c r="CI28" s="32">
        <f t="shared" si="31"/>
        <v>0</v>
      </c>
      <c r="CJ28" s="22"/>
      <c r="CK28" s="9">
        <f t="shared" si="22"/>
        <v>0</v>
      </c>
      <c r="CL28" s="9">
        <f t="shared" si="23"/>
        <v>0</v>
      </c>
      <c r="CM28" s="9">
        <f t="shared" si="13"/>
        <v>879209.70000000007</v>
      </c>
      <c r="CN28" s="7">
        <f t="shared" si="24"/>
        <v>879209.70000000007</v>
      </c>
      <c r="CO28" s="7">
        <f t="shared" si="25"/>
        <v>0</v>
      </c>
      <c r="CP28" s="32">
        <f t="shared" si="26"/>
        <v>0</v>
      </c>
      <c r="CQ28" s="32">
        <f t="shared" si="27"/>
        <v>0</v>
      </c>
      <c r="CR28" s="21"/>
      <c r="CS28" s="9">
        <f t="shared" si="28"/>
        <v>879209.70000000007</v>
      </c>
      <c r="CT28" s="9">
        <f t="shared" si="14"/>
        <v>1561336.5200000003</v>
      </c>
      <c r="CU28" s="9">
        <f t="shared" si="29"/>
        <v>2440546.2200000002</v>
      </c>
      <c r="CV28" s="9">
        <f t="shared" si="30"/>
        <v>2431904.2199999997</v>
      </c>
    </row>
    <row r="29" spans="1:130">
      <c r="A29" s="10" t="s">
        <v>326</v>
      </c>
      <c r="B29" s="9">
        <v>0</v>
      </c>
      <c r="C29" s="9">
        <v>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0</v>
      </c>
      <c r="AS29" s="9">
        <v>0</v>
      </c>
      <c r="AT29" s="9">
        <v>0</v>
      </c>
      <c r="AU29" s="9">
        <v>0</v>
      </c>
      <c r="AV29" s="9">
        <v>0</v>
      </c>
      <c r="AW29" s="9">
        <v>0</v>
      </c>
      <c r="AX29" s="9">
        <v>0</v>
      </c>
      <c r="AY29" s="9">
        <v>0</v>
      </c>
      <c r="AZ29" s="9">
        <v>0</v>
      </c>
      <c r="BA29" s="9">
        <v>0</v>
      </c>
      <c r="BB29" s="9">
        <v>0</v>
      </c>
      <c r="BC29" s="7">
        <v>0</v>
      </c>
      <c r="BD29" s="9">
        <v>0</v>
      </c>
      <c r="BE29" s="9">
        <v>0</v>
      </c>
      <c r="BF29" s="9">
        <v>0</v>
      </c>
      <c r="BG29" s="9">
        <v>0</v>
      </c>
      <c r="BH29" s="9">
        <v>0</v>
      </c>
      <c r="BI29" s="9">
        <v>0</v>
      </c>
      <c r="BJ29" s="9">
        <v>0</v>
      </c>
      <c r="BK29" s="9">
        <v>0</v>
      </c>
      <c r="BL29" s="9">
        <v>0</v>
      </c>
      <c r="BM29" s="9">
        <v>0</v>
      </c>
      <c r="BN29" s="9">
        <v>-536567.52</v>
      </c>
      <c r="BO29" s="9">
        <v>-52558.66</v>
      </c>
      <c r="BP29" s="9">
        <v>-18978.689999999999</v>
      </c>
      <c r="BQ29" s="9">
        <v>0</v>
      </c>
      <c r="BR29" s="9"/>
      <c r="BS29" s="9"/>
      <c r="BT29" s="9">
        <f t="shared" si="8"/>
        <v>-608104.87</v>
      </c>
      <c r="BV29" s="9">
        <f t="shared" si="16"/>
        <v>0</v>
      </c>
      <c r="BW29" s="9">
        <f t="shared" si="17"/>
        <v>-608104.87</v>
      </c>
      <c r="BZ29" s="9">
        <f t="shared" si="9"/>
        <v>0</v>
      </c>
      <c r="CA29" s="9">
        <f t="shared" si="10"/>
        <v>0</v>
      </c>
      <c r="CB29" s="9">
        <f t="shared" si="11"/>
        <v>0</v>
      </c>
      <c r="CC29" s="7">
        <f t="shared" si="18"/>
        <v>0</v>
      </c>
      <c r="CD29" s="7">
        <f t="shared" si="19"/>
        <v>0</v>
      </c>
      <c r="CE29" s="9">
        <f t="shared" si="20"/>
        <v>0</v>
      </c>
      <c r="CF29" s="9">
        <f t="shared" si="20"/>
        <v>0</v>
      </c>
      <c r="CG29" s="32">
        <f t="shared" si="21"/>
        <v>0</v>
      </c>
      <c r="CH29" s="32">
        <f t="shared" si="32"/>
        <v>0</v>
      </c>
      <c r="CI29" s="32">
        <f t="shared" si="31"/>
        <v>0</v>
      </c>
      <c r="CJ29" s="22"/>
      <c r="CK29" s="9">
        <f t="shared" si="22"/>
        <v>0</v>
      </c>
      <c r="CL29" s="9">
        <f t="shared" si="23"/>
        <v>0</v>
      </c>
      <c r="CM29" s="9">
        <f t="shared" si="13"/>
        <v>20349.560000000001</v>
      </c>
      <c r="CN29" s="7">
        <f t="shared" si="24"/>
        <v>20349.560000000001</v>
      </c>
      <c r="CO29" s="7">
        <f t="shared" si="25"/>
        <v>0</v>
      </c>
      <c r="CP29" s="32">
        <f t="shared" si="26"/>
        <v>0</v>
      </c>
      <c r="CQ29" s="32">
        <f t="shared" si="27"/>
        <v>0</v>
      </c>
      <c r="CR29" s="21"/>
      <c r="CS29" s="9">
        <f t="shared" si="28"/>
        <v>20349.560000000001</v>
      </c>
      <c r="CT29" s="9">
        <f t="shared" si="14"/>
        <v>589030.22000000009</v>
      </c>
      <c r="CU29" s="9">
        <f t="shared" si="29"/>
        <v>609379.78000000014</v>
      </c>
      <c r="CV29" s="9">
        <f t="shared" si="30"/>
        <v>608104.87</v>
      </c>
    </row>
    <row r="30" spans="1:130">
      <c r="A30" s="10" t="s">
        <v>325</v>
      </c>
      <c r="B30" s="9">
        <v>0</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7">
        <v>0</v>
      </c>
      <c r="BD30" s="9">
        <v>0</v>
      </c>
      <c r="BE30" s="9">
        <v>0</v>
      </c>
      <c r="BF30" s="9">
        <v>0</v>
      </c>
      <c r="BG30" s="9">
        <v>0</v>
      </c>
      <c r="BH30" s="9">
        <v>0</v>
      </c>
      <c r="BI30" s="9">
        <v>0</v>
      </c>
      <c r="BJ30" s="9">
        <v>0</v>
      </c>
      <c r="BK30" s="9">
        <v>0</v>
      </c>
      <c r="BL30" s="9">
        <v>0</v>
      </c>
      <c r="BM30" s="9">
        <v>-104710.1</v>
      </c>
      <c r="BN30" s="9">
        <v>0</v>
      </c>
      <c r="BO30" s="9">
        <v>0</v>
      </c>
      <c r="BP30" s="9">
        <v>0</v>
      </c>
      <c r="BQ30" s="9">
        <v>0</v>
      </c>
      <c r="BR30" s="9"/>
      <c r="BS30" s="9"/>
      <c r="BT30" s="9">
        <f t="shared" si="8"/>
        <v>-104710.1</v>
      </c>
      <c r="BV30" s="9">
        <f t="shared" si="16"/>
        <v>0</v>
      </c>
      <c r="BW30" s="9">
        <f t="shared" si="17"/>
        <v>-104710.1</v>
      </c>
      <c r="BZ30" s="9">
        <f t="shared" si="9"/>
        <v>0</v>
      </c>
      <c r="CA30" s="9">
        <f t="shared" si="10"/>
        <v>0</v>
      </c>
      <c r="CB30" s="9">
        <f t="shared" si="11"/>
        <v>0</v>
      </c>
      <c r="CC30" s="7">
        <f t="shared" si="18"/>
        <v>0</v>
      </c>
      <c r="CD30" s="7">
        <f t="shared" si="19"/>
        <v>0</v>
      </c>
      <c r="CE30" s="9">
        <f t="shared" si="20"/>
        <v>0</v>
      </c>
      <c r="CF30" s="9">
        <f t="shared" si="20"/>
        <v>0</v>
      </c>
      <c r="CG30" s="32">
        <f t="shared" si="21"/>
        <v>0</v>
      </c>
      <c r="CH30" s="32">
        <f t="shared" si="32"/>
        <v>0</v>
      </c>
      <c r="CI30" s="32">
        <f t="shared" si="31"/>
        <v>0</v>
      </c>
      <c r="CJ30" s="22"/>
      <c r="CK30" s="9">
        <f t="shared" si="22"/>
        <v>0</v>
      </c>
      <c r="CL30" s="9">
        <f t="shared" si="23"/>
        <v>0</v>
      </c>
      <c r="CM30" s="9">
        <f t="shared" si="13"/>
        <v>108180.37000000002</v>
      </c>
      <c r="CN30" s="7">
        <f t="shared" si="24"/>
        <v>108180.37000000002</v>
      </c>
      <c r="CO30" s="7">
        <f t="shared" si="25"/>
        <v>0</v>
      </c>
      <c r="CP30" s="32">
        <f t="shared" si="26"/>
        <v>0</v>
      </c>
      <c r="CQ30" s="32">
        <f t="shared" si="27"/>
        <v>0</v>
      </c>
      <c r="CR30" s="21"/>
      <c r="CS30" s="9">
        <f t="shared" si="28"/>
        <v>108180.37000000002</v>
      </c>
      <c r="CT30" s="9">
        <f t="shared" si="14"/>
        <v>-3335.2700000000004</v>
      </c>
      <c r="CU30" s="9">
        <f t="shared" si="29"/>
        <v>104845.10000000002</v>
      </c>
      <c r="CV30" s="9">
        <f t="shared" si="30"/>
        <v>104710.1</v>
      </c>
    </row>
    <row r="31" spans="1:130">
      <c r="A31" s="10" t="s">
        <v>327</v>
      </c>
      <c r="B31" s="9">
        <v>0</v>
      </c>
      <c r="C31" s="9">
        <v>0</v>
      </c>
      <c r="D31" s="9">
        <v>0</v>
      </c>
      <c r="E31" s="9">
        <v>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7">
        <v>0</v>
      </c>
      <c r="BD31" s="9">
        <v>0</v>
      </c>
      <c r="BE31" s="9">
        <v>0</v>
      </c>
      <c r="BF31" s="9">
        <v>0</v>
      </c>
      <c r="BG31" s="9">
        <v>0</v>
      </c>
      <c r="BH31" s="9">
        <v>0</v>
      </c>
      <c r="BI31" s="9">
        <v>0</v>
      </c>
      <c r="BJ31" s="9">
        <v>0</v>
      </c>
      <c r="BK31" s="9">
        <v>0</v>
      </c>
      <c r="BL31" s="9">
        <v>0</v>
      </c>
      <c r="BM31" s="9">
        <v>-343548.72</v>
      </c>
      <c r="BN31" s="9">
        <v>0</v>
      </c>
      <c r="BO31" s="9">
        <v>0</v>
      </c>
      <c r="BP31" s="9">
        <v>-557.01</v>
      </c>
      <c r="BQ31" s="9">
        <v>0</v>
      </c>
      <c r="BR31" s="9"/>
      <c r="BS31" s="9"/>
      <c r="BT31" s="9">
        <f t="shared" si="8"/>
        <v>-344105.73</v>
      </c>
      <c r="BV31" s="9">
        <f t="shared" si="16"/>
        <v>0</v>
      </c>
      <c r="BW31" s="9">
        <f t="shared" si="17"/>
        <v>-344105.73</v>
      </c>
      <c r="BZ31" s="9">
        <f t="shared" si="9"/>
        <v>0</v>
      </c>
      <c r="CA31" s="9">
        <f t="shared" si="10"/>
        <v>0</v>
      </c>
      <c r="CB31" s="9">
        <f t="shared" si="11"/>
        <v>0</v>
      </c>
      <c r="CC31" s="7">
        <f t="shared" si="18"/>
        <v>0</v>
      </c>
      <c r="CD31" s="7">
        <f t="shared" si="19"/>
        <v>0</v>
      </c>
      <c r="CE31" s="9">
        <f t="shared" si="20"/>
        <v>0</v>
      </c>
      <c r="CF31" s="9">
        <f t="shared" si="20"/>
        <v>0</v>
      </c>
      <c r="CG31" s="32">
        <f t="shared" si="21"/>
        <v>0</v>
      </c>
      <c r="CH31" s="32">
        <f t="shared" si="32"/>
        <v>0</v>
      </c>
      <c r="CI31" s="32">
        <f t="shared" si="31"/>
        <v>0</v>
      </c>
      <c r="CJ31" s="22"/>
      <c r="CK31" s="9">
        <f t="shared" si="22"/>
        <v>0</v>
      </c>
      <c r="CL31" s="9">
        <f t="shared" si="23"/>
        <v>0</v>
      </c>
      <c r="CM31" s="9">
        <f t="shared" si="13"/>
        <v>248078.17999999996</v>
      </c>
      <c r="CN31" s="7">
        <f t="shared" si="24"/>
        <v>248078.17999999996</v>
      </c>
      <c r="CO31" s="7">
        <f t="shared" si="25"/>
        <v>0</v>
      </c>
      <c r="CP31" s="32">
        <f t="shared" si="26"/>
        <v>0</v>
      </c>
      <c r="CQ31" s="32">
        <f t="shared" si="27"/>
        <v>0</v>
      </c>
      <c r="CR31" s="21"/>
      <c r="CS31" s="9">
        <f t="shared" si="28"/>
        <v>248078.17999999996</v>
      </c>
      <c r="CT31" s="9">
        <f t="shared" si="14"/>
        <v>96589.37000000001</v>
      </c>
      <c r="CU31" s="9">
        <f t="shared" si="29"/>
        <v>344667.55</v>
      </c>
      <c r="CV31" s="9">
        <f t="shared" si="30"/>
        <v>344105.73</v>
      </c>
    </row>
    <row r="32" spans="1:130" s="5" customFormat="1">
      <c r="A32" s="10" t="s">
        <v>333</v>
      </c>
      <c r="B32" s="9">
        <v>0</v>
      </c>
      <c r="C32" s="9">
        <v>0</v>
      </c>
      <c r="D32" s="9">
        <v>0</v>
      </c>
      <c r="E32" s="9">
        <v>0</v>
      </c>
      <c r="F32" s="9">
        <v>0</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v>0</v>
      </c>
      <c r="AI32" s="9">
        <v>0</v>
      </c>
      <c r="AJ32" s="9">
        <v>0</v>
      </c>
      <c r="AK32" s="9">
        <v>0</v>
      </c>
      <c r="AL32" s="9">
        <v>0</v>
      </c>
      <c r="AM32" s="9">
        <v>0</v>
      </c>
      <c r="AN32" s="9">
        <v>0</v>
      </c>
      <c r="AO32" s="9">
        <v>0</v>
      </c>
      <c r="AP32" s="9">
        <v>0</v>
      </c>
      <c r="AQ32" s="9">
        <v>0</v>
      </c>
      <c r="AR32" s="9">
        <v>0</v>
      </c>
      <c r="AS32" s="9">
        <v>0</v>
      </c>
      <c r="AT32" s="9">
        <v>0</v>
      </c>
      <c r="AU32" s="9">
        <v>0</v>
      </c>
      <c r="AV32" s="9">
        <v>0</v>
      </c>
      <c r="AW32" s="9">
        <v>0</v>
      </c>
      <c r="AX32" s="9">
        <v>0</v>
      </c>
      <c r="AY32" s="9">
        <v>0</v>
      </c>
      <c r="AZ32" s="9">
        <v>0</v>
      </c>
      <c r="BA32" s="9">
        <v>0</v>
      </c>
      <c r="BB32" s="9">
        <v>0</v>
      </c>
      <c r="BC32" s="7">
        <v>0</v>
      </c>
      <c r="BD32" s="9">
        <v>0</v>
      </c>
      <c r="BE32" s="9">
        <v>0</v>
      </c>
      <c r="BF32" s="9">
        <v>0</v>
      </c>
      <c r="BG32" s="9">
        <v>-156898.01</v>
      </c>
      <c r="BH32" s="9">
        <v>0</v>
      </c>
      <c r="BI32" s="9">
        <v>0</v>
      </c>
      <c r="BJ32" s="9">
        <v>4424.96</v>
      </c>
      <c r="BK32" s="9">
        <v>732.59</v>
      </c>
      <c r="BL32" s="9">
        <v>0</v>
      </c>
      <c r="BM32" s="9">
        <v>0</v>
      </c>
      <c r="BN32" s="9">
        <v>0</v>
      </c>
      <c r="BO32" s="9">
        <v>0</v>
      </c>
      <c r="BP32" s="9">
        <v>0</v>
      </c>
      <c r="BQ32" s="9">
        <v>0</v>
      </c>
      <c r="BR32" s="9"/>
      <c r="BS32" s="9"/>
      <c r="BT32" s="9">
        <f t="shared" si="8"/>
        <v>-151740.46000000002</v>
      </c>
      <c r="BV32" s="9">
        <f>SUM(B32:AI32)</f>
        <v>0</v>
      </c>
      <c r="BW32" s="7">
        <f t="shared" si="17"/>
        <v>-151740.46000000002</v>
      </c>
      <c r="BX32" s="7"/>
      <c r="BY32" s="7"/>
      <c r="BZ32" s="9">
        <f t="shared" si="9"/>
        <v>0</v>
      </c>
      <c r="CA32" s="9">
        <f t="shared" si="10"/>
        <v>0</v>
      </c>
      <c r="CB32" s="9">
        <f t="shared" si="11"/>
        <v>0</v>
      </c>
      <c r="CC32" s="7">
        <f t="shared" si="18"/>
        <v>0</v>
      </c>
      <c r="CD32" s="7">
        <f t="shared" si="19"/>
        <v>0</v>
      </c>
      <c r="CE32" s="9">
        <f t="shared" si="20"/>
        <v>0</v>
      </c>
      <c r="CF32" s="9">
        <f t="shared" si="20"/>
        <v>0</v>
      </c>
      <c r="CG32" s="32">
        <f t="shared" si="21"/>
        <v>0</v>
      </c>
      <c r="CH32" s="32">
        <f t="shared" si="32"/>
        <v>0</v>
      </c>
      <c r="CI32" s="32">
        <f t="shared" si="31"/>
        <v>0</v>
      </c>
      <c r="CJ32" s="22"/>
      <c r="CK32" s="9">
        <f t="shared" si="22"/>
        <v>0</v>
      </c>
      <c r="CL32" s="9">
        <f t="shared" si="23"/>
        <v>0</v>
      </c>
      <c r="CM32" s="9">
        <f t="shared" si="13"/>
        <v>171787.16</v>
      </c>
      <c r="CN32" s="7">
        <f t="shared" si="24"/>
        <v>171787.16</v>
      </c>
      <c r="CO32" s="7">
        <f t="shared" si="25"/>
        <v>-156898.01</v>
      </c>
      <c r="CP32" s="32">
        <f t="shared" si="26"/>
        <v>0</v>
      </c>
      <c r="CQ32" s="32">
        <f t="shared" si="27"/>
        <v>156898.01</v>
      </c>
      <c r="CR32" s="21"/>
      <c r="CS32" s="9">
        <f t="shared" si="28"/>
        <v>14889.149999999994</v>
      </c>
      <c r="CT32" s="9">
        <f t="shared" si="14"/>
        <v>-5592.08</v>
      </c>
      <c r="CU32" s="9">
        <f>SUM(CS32:CT32)</f>
        <v>9297.0699999999943</v>
      </c>
      <c r="CV32" s="9">
        <f>-SUM(BH32:BS32)</f>
        <v>-5157.55</v>
      </c>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row>
    <row r="33" spans="1:100">
      <c r="A33" s="254" t="s">
        <v>372</v>
      </c>
      <c r="B33" s="9">
        <v>0</v>
      </c>
      <c r="C33" s="9">
        <v>0</v>
      </c>
      <c r="D33" s="9">
        <v>0</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c r="AQ33" s="9">
        <v>0</v>
      </c>
      <c r="AR33" s="9">
        <v>0</v>
      </c>
      <c r="AS33" s="9">
        <v>0</v>
      </c>
      <c r="AT33" s="9">
        <v>0</v>
      </c>
      <c r="AU33" s="9">
        <v>0</v>
      </c>
      <c r="AV33" s="9">
        <v>0</v>
      </c>
      <c r="AW33" s="9">
        <v>0</v>
      </c>
      <c r="AX33" s="9">
        <v>0</v>
      </c>
      <c r="AY33" s="9">
        <v>0</v>
      </c>
      <c r="AZ33" s="9">
        <v>0</v>
      </c>
      <c r="BA33" s="9">
        <v>0</v>
      </c>
      <c r="BB33" s="9">
        <v>0</v>
      </c>
      <c r="BC33" s="7">
        <v>0</v>
      </c>
      <c r="BD33" s="9">
        <v>0</v>
      </c>
      <c r="BE33" s="9">
        <v>0</v>
      </c>
      <c r="BF33" s="9">
        <v>0</v>
      </c>
      <c r="BG33" s="9">
        <v>0</v>
      </c>
      <c r="BH33" s="9">
        <v>0</v>
      </c>
      <c r="BI33" s="9">
        <v>0</v>
      </c>
      <c r="BJ33" s="9">
        <v>0</v>
      </c>
      <c r="BK33" s="9">
        <v>0</v>
      </c>
      <c r="BL33" s="9">
        <v>0</v>
      </c>
      <c r="BM33" s="9">
        <v>0</v>
      </c>
      <c r="BN33" s="9">
        <v>0</v>
      </c>
      <c r="BO33" s="9">
        <v>0</v>
      </c>
      <c r="BP33" s="9">
        <v>-27920592.68</v>
      </c>
      <c r="BQ33" s="9">
        <v>-534628.69999999925</v>
      </c>
      <c r="BR33" s="9"/>
      <c r="BS33" s="9"/>
      <c r="BT33" s="9">
        <f t="shared" si="8"/>
        <v>-28455221.379999999</v>
      </c>
      <c r="BV33" s="9">
        <f t="shared" si="16"/>
        <v>0</v>
      </c>
      <c r="BW33" s="9">
        <f t="shared" si="17"/>
        <v>-28455221.379999999</v>
      </c>
      <c r="BZ33" s="9">
        <f t="shared" si="9"/>
        <v>0</v>
      </c>
      <c r="CA33" s="9">
        <f t="shared" si="10"/>
        <v>0</v>
      </c>
      <c r="CB33" s="9">
        <f t="shared" si="11"/>
        <v>0</v>
      </c>
      <c r="CC33" s="7">
        <f t="shared" si="18"/>
        <v>0</v>
      </c>
      <c r="CD33" s="7">
        <f t="shared" si="19"/>
        <v>0</v>
      </c>
      <c r="CE33" s="9">
        <f t="shared" si="20"/>
        <v>0</v>
      </c>
      <c r="CF33" s="9">
        <f t="shared" si="20"/>
        <v>0</v>
      </c>
      <c r="CG33" s="32">
        <f t="shared" si="21"/>
        <v>0</v>
      </c>
      <c r="CH33" s="32">
        <f t="shared" si="32"/>
        <v>0</v>
      </c>
      <c r="CI33" s="32">
        <f t="shared" si="31"/>
        <v>0</v>
      </c>
      <c r="CJ33" s="22"/>
      <c r="CK33" s="9">
        <f t="shared" si="22"/>
        <v>0</v>
      </c>
      <c r="CL33" s="9">
        <f t="shared" si="23"/>
        <v>0</v>
      </c>
      <c r="CM33" s="9">
        <f t="shared" si="13"/>
        <v>3490885.6800000006</v>
      </c>
      <c r="CN33" s="7">
        <f t="shared" si="24"/>
        <v>3490885.6800000006</v>
      </c>
      <c r="CO33" s="7">
        <f t="shared" si="25"/>
        <v>0</v>
      </c>
      <c r="CP33" s="32">
        <f t="shared" si="26"/>
        <v>0</v>
      </c>
      <c r="CQ33" s="32">
        <f t="shared" si="27"/>
        <v>0</v>
      </c>
      <c r="CR33" s="21"/>
      <c r="CS33" s="9">
        <f t="shared" si="28"/>
        <v>3490885.6800000006</v>
      </c>
      <c r="CT33" s="9">
        <f t="shared" si="14"/>
        <v>25379963.500000004</v>
      </c>
      <c r="CU33" s="9">
        <f t="shared" si="29"/>
        <v>28870849.180000003</v>
      </c>
      <c r="CV33" s="9">
        <f t="shared" si="30"/>
        <v>28455221.379999999</v>
      </c>
    </row>
    <row r="34" spans="1:100">
      <c r="A34" s="70" t="s">
        <v>334</v>
      </c>
      <c r="B34" s="9">
        <v>0</v>
      </c>
      <c r="C34" s="9">
        <v>0</v>
      </c>
      <c r="D34" s="9">
        <v>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v>
      </c>
      <c r="AR34" s="9">
        <v>0</v>
      </c>
      <c r="AS34" s="9">
        <v>0</v>
      </c>
      <c r="AT34" s="9">
        <v>0</v>
      </c>
      <c r="AU34" s="9">
        <v>0</v>
      </c>
      <c r="AV34" s="9">
        <v>0</v>
      </c>
      <c r="AW34" s="9">
        <v>0</v>
      </c>
      <c r="AX34" s="9">
        <v>0</v>
      </c>
      <c r="AY34" s="9">
        <v>0</v>
      </c>
      <c r="AZ34" s="9">
        <v>0</v>
      </c>
      <c r="BA34" s="9">
        <v>0</v>
      </c>
      <c r="BB34" s="9">
        <v>0</v>
      </c>
      <c r="BC34" s="7">
        <v>0</v>
      </c>
      <c r="BD34" s="9">
        <v>0</v>
      </c>
      <c r="BE34" s="9">
        <v>0</v>
      </c>
      <c r="BF34" s="9">
        <v>0</v>
      </c>
      <c r="BG34" s="9">
        <v>0</v>
      </c>
      <c r="BH34" s="9">
        <v>0</v>
      </c>
      <c r="BI34" s="9">
        <v>0</v>
      </c>
      <c r="BJ34" s="9">
        <v>0</v>
      </c>
      <c r="BK34" s="9">
        <v>-61964.24</v>
      </c>
      <c r="BL34" s="9">
        <v>-116.45</v>
      </c>
      <c r="BM34" s="9">
        <v>0</v>
      </c>
      <c r="BN34" s="9">
        <v>0</v>
      </c>
      <c r="BO34" s="9">
        <v>0</v>
      </c>
      <c r="BP34" s="9">
        <v>0</v>
      </c>
      <c r="BQ34" s="9">
        <v>0</v>
      </c>
      <c r="BR34" s="9"/>
      <c r="BS34" s="9"/>
      <c r="BT34" s="9">
        <f t="shared" si="8"/>
        <v>-62080.689999999995</v>
      </c>
      <c r="BV34" s="9">
        <f t="shared" si="16"/>
        <v>0</v>
      </c>
      <c r="BW34" s="9">
        <f t="shared" si="17"/>
        <v>-62080.689999999995</v>
      </c>
      <c r="BZ34" s="9">
        <f t="shared" si="9"/>
        <v>0</v>
      </c>
      <c r="CA34" s="9">
        <f t="shared" si="10"/>
        <v>0</v>
      </c>
      <c r="CB34" s="9">
        <f t="shared" si="11"/>
        <v>0</v>
      </c>
      <c r="CC34" s="7">
        <f t="shared" si="18"/>
        <v>0</v>
      </c>
      <c r="CD34" s="7">
        <f t="shared" si="19"/>
        <v>0</v>
      </c>
      <c r="CE34" s="9">
        <f t="shared" si="20"/>
        <v>0</v>
      </c>
      <c r="CF34" s="9">
        <f t="shared" si="20"/>
        <v>0</v>
      </c>
      <c r="CG34" s="32">
        <f t="shared" si="21"/>
        <v>0</v>
      </c>
      <c r="CH34" s="32">
        <f t="shared" si="32"/>
        <v>0</v>
      </c>
      <c r="CI34" s="32">
        <f t="shared" si="31"/>
        <v>0</v>
      </c>
      <c r="CJ34" s="22"/>
      <c r="CK34" s="9">
        <f t="shared" si="22"/>
        <v>0</v>
      </c>
      <c r="CL34" s="9">
        <f t="shared" si="23"/>
        <v>0</v>
      </c>
      <c r="CM34" s="9">
        <f t="shared" si="13"/>
        <v>112286.80000000002</v>
      </c>
      <c r="CN34" s="7">
        <f t="shared" si="24"/>
        <v>112286.80000000002</v>
      </c>
      <c r="CO34" s="7">
        <f t="shared" si="25"/>
        <v>0</v>
      </c>
      <c r="CP34" s="32">
        <f t="shared" si="26"/>
        <v>0</v>
      </c>
      <c r="CQ34" s="32">
        <f t="shared" si="27"/>
        <v>0</v>
      </c>
      <c r="CR34" s="21"/>
      <c r="CS34" s="9">
        <f t="shared" si="28"/>
        <v>112286.80000000002</v>
      </c>
      <c r="CT34" s="9">
        <f t="shared" si="14"/>
        <v>5715.9400000000005</v>
      </c>
      <c r="CU34" s="9">
        <f t="shared" si="29"/>
        <v>118002.74000000002</v>
      </c>
      <c r="CV34" s="9">
        <f t="shared" si="30"/>
        <v>62080.689999999995</v>
      </c>
    </row>
    <row r="35" spans="1:100">
      <c r="A35" s="70" t="s">
        <v>360</v>
      </c>
      <c r="B35" s="9">
        <v>0</v>
      </c>
      <c r="C35" s="9">
        <v>0</v>
      </c>
      <c r="D35" s="9">
        <v>0</v>
      </c>
      <c r="E35" s="9">
        <v>0</v>
      </c>
      <c r="F35" s="9">
        <v>0</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c r="AQ35" s="9">
        <v>0</v>
      </c>
      <c r="AR35" s="9">
        <v>0</v>
      </c>
      <c r="AS35" s="9">
        <v>0</v>
      </c>
      <c r="AT35" s="9">
        <v>0</v>
      </c>
      <c r="AU35" s="9">
        <v>0</v>
      </c>
      <c r="AV35" s="9">
        <v>0</v>
      </c>
      <c r="AW35" s="9">
        <v>0</v>
      </c>
      <c r="AX35" s="9">
        <v>0</v>
      </c>
      <c r="AY35" s="9">
        <v>0</v>
      </c>
      <c r="AZ35" s="9">
        <v>0</v>
      </c>
      <c r="BA35" s="9">
        <v>0</v>
      </c>
      <c r="BB35" s="9">
        <v>0</v>
      </c>
      <c r="BC35" s="7">
        <v>0</v>
      </c>
      <c r="BD35" s="9">
        <v>0</v>
      </c>
      <c r="BE35" s="9">
        <v>0</v>
      </c>
      <c r="BF35" s="9">
        <v>0</v>
      </c>
      <c r="BG35" s="9">
        <v>0</v>
      </c>
      <c r="BH35" s="9">
        <v>0</v>
      </c>
      <c r="BI35" s="9">
        <v>0</v>
      </c>
      <c r="BJ35" s="9">
        <v>0</v>
      </c>
      <c r="BK35" s="9">
        <v>0</v>
      </c>
      <c r="BL35" s="9">
        <v>0</v>
      </c>
      <c r="BM35" s="9">
        <v>-139078.37</v>
      </c>
      <c r="BN35" s="9">
        <v>0</v>
      </c>
      <c r="BO35" s="9">
        <v>0</v>
      </c>
      <c r="BP35" s="9">
        <v>0</v>
      </c>
      <c r="BQ35" s="9">
        <v>0</v>
      </c>
      <c r="BR35" s="7"/>
      <c r="BS35" s="7"/>
      <c r="BT35" s="7">
        <f t="shared" si="8"/>
        <v>-139078.37</v>
      </c>
      <c r="BV35" s="9">
        <f t="shared" si="16"/>
        <v>0</v>
      </c>
      <c r="BW35" s="9">
        <f t="shared" si="17"/>
        <v>-139078.37</v>
      </c>
      <c r="BZ35" s="9">
        <f t="shared" si="9"/>
        <v>0</v>
      </c>
      <c r="CA35" s="9">
        <f t="shared" si="10"/>
        <v>0</v>
      </c>
      <c r="CB35" s="9">
        <f t="shared" si="11"/>
        <v>0</v>
      </c>
      <c r="CC35" s="7">
        <f t="shared" si="18"/>
        <v>0</v>
      </c>
      <c r="CD35" s="7">
        <f t="shared" si="19"/>
        <v>0</v>
      </c>
      <c r="CE35" s="9">
        <f t="shared" si="20"/>
        <v>0</v>
      </c>
      <c r="CF35" s="9">
        <f t="shared" si="20"/>
        <v>0</v>
      </c>
      <c r="CG35" s="32">
        <f t="shared" si="21"/>
        <v>0</v>
      </c>
      <c r="CH35" s="32">
        <f t="shared" si="32"/>
        <v>0</v>
      </c>
      <c r="CI35" s="32">
        <f t="shared" si="31"/>
        <v>0</v>
      </c>
      <c r="CJ35" s="22"/>
      <c r="CK35" s="9">
        <f t="shared" si="22"/>
        <v>0</v>
      </c>
      <c r="CL35" s="9">
        <f t="shared" si="23"/>
        <v>0</v>
      </c>
      <c r="CM35" s="9">
        <f t="shared" si="13"/>
        <v>125321.15</v>
      </c>
      <c r="CN35" s="7">
        <f t="shared" si="24"/>
        <v>125321.15</v>
      </c>
      <c r="CO35" s="7">
        <f t="shared" si="25"/>
        <v>0</v>
      </c>
      <c r="CP35" s="32">
        <f t="shared" si="26"/>
        <v>0</v>
      </c>
      <c r="CQ35" s="32">
        <f t="shared" si="27"/>
        <v>0</v>
      </c>
      <c r="CR35" s="21"/>
      <c r="CS35" s="9">
        <f t="shared" si="28"/>
        <v>125321.15</v>
      </c>
      <c r="CT35" s="9">
        <f t="shared" si="14"/>
        <v>13757.220000000001</v>
      </c>
      <c r="CU35" s="9">
        <f t="shared" si="29"/>
        <v>139078.37</v>
      </c>
      <c r="CV35" s="9">
        <f t="shared" si="30"/>
        <v>139078.37</v>
      </c>
    </row>
    <row r="36" spans="1:100">
      <c r="A36" s="10" t="s">
        <v>335</v>
      </c>
      <c r="B36" s="9">
        <v>0</v>
      </c>
      <c r="C36" s="9">
        <v>0</v>
      </c>
      <c r="D36" s="9">
        <v>0</v>
      </c>
      <c r="E36" s="9">
        <v>0</v>
      </c>
      <c r="F36" s="9">
        <v>0</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9">
        <v>0</v>
      </c>
      <c r="AS36" s="9">
        <v>0</v>
      </c>
      <c r="AT36" s="9">
        <v>0</v>
      </c>
      <c r="AU36" s="9">
        <v>0</v>
      </c>
      <c r="AV36" s="9">
        <v>0</v>
      </c>
      <c r="AW36" s="9">
        <v>0</v>
      </c>
      <c r="AX36" s="9">
        <v>0</v>
      </c>
      <c r="AY36" s="9">
        <v>0</v>
      </c>
      <c r="AZ36" s="9">
        <v>0</v>
      </c>
      <c r="BA36" s="9">
        <v>0</v>
      </c>
      <c r="BB36" s="9">
        <v>0</v>
      </c>
      <c r="BC36" s="7">
        <v>0</v>
      </c>
      <c r="BD36" s="9">
        <v>0</v>
      </c>
      <c r="BE36" s="9">
        <v>0</v>
      </c>
      <c r="BF36" s="9">
        <v>0</v>
      </c>
      <c r="BG36" s="9">
        <v>-32805.660000000003</v>
      </c>
      <c r="BH36" s="9">
        <v>0</v>
      </c>
      <c r="BI36" s="9">
        <v>0</v>
      </c>
      <c r="BJ36" s="9">
        <v>0</v>
      </c>
      <c r="BK36" s="9">
        <v>0</v>
      </c>
      <c r="BL36" s="9">
        <v>0</v>
      </c>
      <c r="BM36" s="9">
        <v>0</v>
      </c>
      <c r="BN36" s="9">
        <v>0</v>
      </c>
      <c r="BO36" s="9">
        <v>0</v>
      </c>
      <c r="BP36" s="9">
        <v>0</v>
      </c>
      <c r="BQ36" s="9">
        <v>0</v>
      </c>
      <c r="BR36" s="9"/>
      <c r="BS36" s="9"/>
      <c r="BT36" s="9">
        <f t="shared" si="8"/>
        <v>-32805.660000000003</v>
      </c>
      <c r="BV36" s="9">
        <f t="shared" si="16"/>
        <v>0</v>
      </c>
      <c r="BW36" s="9">
        <f t="shared" si="17"/>
        <v>-32805.660000000003</v>
      </c>
      <c r="BZ36" s="9">
        <f t="shared" si="9"/>
        <v>0</v>
      </c>
      <c r="CA36" s="9">
        <f t="shared" si="10"/>
        <v>0</v>
      </c>
      <c r="CB36" s="9">
        <f t="shared" si="11"/>
        <v>0</v>
      </c>
      <c r="CC36" s="7">
        <f t="shared" si="18"/>
        <v>0</v>
      </c>
      <c r="CD36" s="7">
        <f t="shared" si="19"/>
        <v>0</v>
      </c>
      <c r="CE36" s="9">
        <f t="shared" si="20"/>
        <v>0</v>
      </c>
      <c r="CF36" s="9">
        <f t="shared" si="20"/>
        <v>0</v>
      </c>
      <c r="CG36" s="32">
        <f t="shared" si="21"/>
        <v>0</v>
      </c>
      <c r="CH36" s="32">
        <f t="shared" si="32"/>
        <v>0</v>
      </c>
      <c r="CI36" s="32">
        <f t="shared" si="31"/>
        <v>0</v>
      </c>
      <c r="CJ36" s="22"/>
      <c r="CK36" s="9">
        <f t="shared" si="22"/>
        <v>0</v>
      </c>
      <c r="CL36" s="9">
        <f t="shared" si="23"/>
        <v>0</v>
      </c>
      <c r="CM36" s="9">
        <f t="shared" si="13"/>
        <v>32805.659999999996</v>
      </c>
      <c r="CN36" s="7">
        <f t="shared" si="24"/>
        <v>32805.659999999996</v>
      </c>
      <c r="CO36" s="7">
        <f t="shared" si="25"/>
        <v>-32805.660000000003</v>
      </c>
      <c r="CP36" s="32">
        <f t="shared" si="26"/>
        <v>0</v>
      </c>
      <c r="CQ36" s="32">
        <f t="shared" si="27"/>
        <v>32805.660000000003</v>
      </c>
      <c r="CR36" s="21"/>
      <c r="CS36" s="9">
        <f t="shared" si="28"/>
        <v>0</v>
      </c>
      <c r="CT36" s="9">
        <f t="shared" si="14"/>
        <v>0</v>
      </c>
      <c r="CU36" s="9">
        <f t="shared" si="29"/>
        <v>0</v>
      </c>
      <c r="CV36" s="9">
        <f t="shared" si="30"/>
        <v>0</v>
      </c>
    </row>
    <row r="37" spans="1:100">
      <c r="A37" s="254" t="s">
        <v>374</v>
      </c>
      <c r="B37" s="9">
        <v>0</v>
      </c>
      <c r="C37" s="9">
        <v>0</v>
      </c>
      <c r="D37" s="9">
        <v>0</v>
      </c>
      <c r="E37" s="9">
        <v>0</v>
      </c>
      <c r="F37" s="9">
        <v>0</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9">
        <v>0</v>
      </c>
      <c r="AS37" s="9">
        <v>0</v>
      </c>
      <c r="AT37" s="9">
        <v>0</v>
      </c>
      <c r="AU37" s="9">
        <v>0</v>
      </c>
      <c r="AV37" s="9">
        <v>0</v>
      </c>
      <c r="AW37" s="9">
        <v>0</v>
      </c>
      <c r="AX37" s="9">
        <v>0</v>
      </c>
      <c r="AY37" s="9">
        <v>0</v>
      </c>
      <c r="AZ37" s="9">
        <v>0</v>
      </c>
      <c r="BA37" s="9">
        <v>0</v>
      </c>
      <c r="BB37" s="9">
        <v>0</v>
      </c>
      <c r="BC37" s="7">
        <v>0</v>
      </c>
      <c r="BD37" s="9">
        <v>0</v>
      </c>
      <c r="BE37" s="9">
        <v>0</v>
      </c>
      <c r="BF37" s="9">
        <v>0</v>
      </c>
      <c r="BG37" s="9">
        <v>0</v>
      </c>
      <c r="BH37" s="9">
        <v>0</v>
      </c>
      <c r="BI37" s="9">
        <v>0</v>
      </c>
      <c r="BJ37" s="9">
        <v>0</v>
      </c>
      <c r="BK37" s="9">
        <v>0</v>
      </c>
      <c r="BL37" s="9">
        <v>0</v>
      </c>
      <c r="BM37" s="9">
        <v>0</v>
      </c>
      <c r="BN37" s="9">
        <v>0</v>
      </c>
      <c r="BO37" s="9">
        <v>-29670.560000000001</v>
      </c>
      <c r="BP37" s="9">
        <v>-607.62</v>
      </c>
      <c r="BQ37" s="9">
        <v>0</v>
      </c>
      <c r="BR37" s="9"/>
      <c r="BS37" s="9"/>
      <c r="BT37" s="9">
        <f t="shared" si="8"/>
        <v>-30278.18</v>
      </c>
      <c r="BV37" s="9">
        <f t="shared" si="16"/>
        <v>0</v>
      </c>
      <c r="BW37" s="9">
        <f t="shared" si="17"/>
        <v>-30278.18</v>
      </c>
      <c r="BZ37" s="9">
        <f t="shared" si="9"/>
        <v>0</v>
      </c>
      <c r="CA37" s="9">
        <f t="shared" si="10"/>
        <v>0</v>
      </c>
      <c r="CB37" s="9">
        <f t="shared" si="11"/>
        <v>0</v>
      </c>
      <c r="CC37" s="7">
        <f t="shared" si="18"/>
        <v>0</v>
      </c>
      <c r="CD37" s="7">
        <f t="shared" si="19"/>
        <v>0</v>
      </c>
      <c r="CE37" s="9">
        <f t="shared" si="20"/>
        <v>0</v>
      </c>
      <c r="CF37" s="9">
        <f t="shared" si="20"/>
        <v>0</v>
      </c>
      <c r="CG37" s="32">
        <f t="shared" si="21"/>
        <v>0</v>
      </c>
      <c r="CH37" s="32">
        <f t="shared" si="32"/>
        <v>0</v>
      </c>
      <c r="CI37" s="32">
        <f t="shared" si="31"/>
        <v>0</v>
      </c>
      <c r="CJ37" s="22"/>
      <c r="CK37" s="9">
        <f t="shared" si="22"/>
        <v>0</v>
      </c>
      <c r="CL37" s="9">
        <f t="shared" si="23"/>
        <v>0</v>
      </c>
      <c r="CM37" s="9">
        <f t="shared" si="13"/>
        <v>2544.06</v>
      </c>
      <c r="CN37" s="7">
        <f t="shared" si="24"/>
        <v>2544.06</v>
      </c>
      <c r="CO37" s="7">
        <f t="shared" si="25"/>
        <v>0</v>
      </c>
      <c r="CP37" s="32">
        <f t="shared" si="26"/>
        <v>0</v>
      </c>
      <c r="CQ37" s="32">
        <f t="shared" si="27"/>
        <v>0</v>
      </c>
      <c r="CR37" s="21"/>
      <c r="CS37" s="9">
        <f t="shared" si="28"/>
        <v>2544.06</v>
      </c>
      <c r="CT37" s="9">
        <f t="shared" si="14"/>
        <v>28027.63</v>
      </c>
      <c r="CU37" s="9">
        <f t="shared" si="29"/>
        <v>30571.690000000002</v>
      </c>
      <c r="CV37" s="9">
        <f t="shared" si="30"/>
        <v>30278.18</v>
      </c>
    </row>
    <row r="38" spans="1:100">
      <c r="A38" s="255" t="s">
        <v>336</v>
      </c>
      <c r="B38" s="9">
        <v>0</v>
      </c>
      <c r="C38" s="9">
        <v>0</v>
      </c>
      <c r="D38" s="9">
        <v>0</v>
      </c>
      <c r="E38" s="9">
        <v>0</v>
      </c>
      <c r="F38" s="9">
        <v>0</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0</v>
      </c>
      <c r="AR38" s="9">
        <v>0</v>
      </c>
      <c r="AS38" s="9">
        <v>0</v>
      </c>
      <c r="AT38" s="9">
        <v>0</v>
      </c>
      <c r="AU38" s="9">
        <v>0</v>
      </c>
      <c r="AV38" s="9">
        <v>0</v>
      </c>
      <c r="AW38" s="9">
        <v>0</v>
      </c>
      <c r="AX38" s="9">
        <v>0</v>
      </c>
      <c r="AY38" s="9">
        <v>0</v>
      </c>
      <c r="AZ38" s="9">
        <v>0</v>
      </c>
      <c r="BA38" s="9">
        <v>0</v>
      </c>
      <c r="BB38" s="9">
        <v>0</v>
      </c>
      <c r="BC38" s="7">
        <v>0</v>
      </c>
      <c r="BD38" s="9">
        <v>0</v>
      </c>
      <c r="BE38" s="9">
        <v>0</v>
      </c>
      <c r="BF38" s="9">
        <v>0</v>
      </c>
      <c r="BG38" s="9">
        <v>0</v>
      </c>
      <c r="BH38" s="9">
        <v>0</v>
      </c>
      <c r="BI38" s="9">
        <v>0</v>
      </c>
      <c r="BJ38" s="9">
        <v>0</v>
      </c>
      <c r="BK38" s="9">
        <v>0</v>
      </c>
      <c r="BL38" s="9">
        <v>0</v>
      </c>
      <c r="BM38" s="9">
        <v>-42775.98</v>
      </c>
      <c r="BN38" s="9">
        <v>0</v>
      </c>
      <c r="BO38" s="9">
        <v>0</v>
      </c>
      <c r="BP38" s="9">
        <v>0</v>
      </c>
      <c r="BQ38" s="9">
        <v>0</v>
      </c>
      <c r="BR38" s="9"/>
      <c r="BS38" s="9"/>
      <c r="BT38" s="9">
        <f t="shared" si="8"/>
        <v>-42775.98</v>
      </c>
      <c r="BV38" s="9">
        <v>0</v>
      </c>
      <c r="BW38" s="9">
        <f t="shared" si="17"/>
        <v>-42775.98</v>
      </c>
      <c r="BZ38" s="9">
        <f t="shared" si="9"/>
        <v>0</v>
      </c>
      <c r="CA38" s="9">
        <f t="shared" ref="CA38:CA41" si="33">SUM(AJ79:AR79)</f>
        <v>0</v>
      </c>
      <c r="CB38" s="9">
        <f t="shared" ref="CB38:CB41" si="34">SUM(AS79:AU79)</f>
        <v>0</v>
      </c>
      <c r="CC38" s="7">
        <f t="shared" ref="CC38:CC41" si="35">SUM(BZ38:CB38)</f>
        <v>0</v>
      </c>
      <c r="CD38" s="7">
        <f t="shared" ref="CD38:CD41" si="36">SUM(AJ38:AU38)</f>
        <v>0</v>
      </c>
      <c r="CE38" s="9">
        <f t="shared" si="20"/>
        <v>0</v>
      </c>
      <c r="CF38" s="9">
        <f t="shared" si="20"/>
        <v>0</v>
      </c>
      <c r="CG38" s="32">
        <f t="shared" ref="CG38:CG41" si="37">IF(BZ38&gt;=-CE38,MIN(BZ38,-CE38),IF(SUM(BZ38:CA38)&gt;=-CE38,MIN(SUM(BZ38:CA38),-CE38),0))</f>
        <v>0</v>
      </c>
      <c r="CH38" s="32">
        <f t="shared" ref="CH38:CH41" si="38">IF(CD38=0,0,SUM(BZ38:CA38)-CG38)</f>
        <v>0</v>
      </c>
      <c r="CI38" s="32">
        <f t="shared" ref="CI38:CI41" si="39">-SUM(CG38:CH38)-CD38</f>
        <v>0</v>
      </c>
      <c r="CJ38" s="22"/>
      <c r="CK38" s="9">
        <f t="shared" ref="CK38:CK41" si="40">SUM(BZ38:CA38)-SUM(CG38:CH38)</f>
        <v>0</v>
      </c>
      <c r="CL38" s="9">
        <f t="shared" ref="CL38:CL41" si="41">CB38-CI38</f>
        <v>0</v>
      </c>
      <c r="CM38" s="9">
        <f t="shared" ref="CM38:CM41" si="42">SUM(AV79:BG79)</f>
        <v>50753.510000000009</v>
      </c>
      <c r="CN38" s="7">
        <f t="shared" ref="CN38:CN41" si="43">SUM(CK38:CM38)</f>
        <v>50753.510000000009</v>
      </c>
      <c r="CO38" s="7">
        <f t="shared" ref="CO38:CO41" si="44">SUM(AV38:BG38)</f>
        <v>0</v>
      </c>
      <c r="CP38" s="32">
        <f t="shared" ref="CP38:CP41" si="45">IF(CK38&lt;-CO38,CK38,0)</f>
        <v>0</v>
      </c>
      <c r="CQ38" s="32">
        <f t="shared" ref="CQ38:CQ41" si="46">-CO38-CP38</f>
        <v>0</v>
      </c>
      <c r="CR38" s="21"/>
      <c r="CS38" s="9">
        <f t="shared" ref="CS38:CS41" si="47">SUM(CN38:CO38)</f>
        <v>50753.510000000009</v>
      </c>
      <c r="CT38" s="9">
        <f t="shared" si="14"/>
        <v>1083.4399999999998</v>
      </c>
      <c r="CU38" s="9">
        <f t="shared" ref="CU38:CU41" si="48">SUM(CS38:CT38)</f>
        <v>51836.950000000012</v>
      </c>
      <c r="CV38" s="9">
        <f t="shared" ref="CV38:CV41" si="49">-SUM(BH38:BS38)</f>
        <v>42775.98</v>
      </c>
    </row>
    <row r="39" spans="1:100">
      <c r="A39" s="255" t="s">
        <v>337</v>
      </c>
      <c r="B39" s="9">
        <v>0</v>
      </c>
      <c r="C39" s="9">
        <v>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0</v>
      </c>
      <c r="AR39" s="9">
        <v>0</v>
      </c>
      <c r="AS39" s="9">
        <v>0</v>
      </c>
      <c r="AT39" s="9">
        <v>0</v>
      </c>
      <c r="AU39" s="9">
        <v>0</v>
      </c>
      <c r="AV39" s="9">
        <v>0</v>
      </c>
      <c r="AW39" s="9">
        <v>0</v>
      </c>
      <c r="AX39" s="9">
        <v>0</v>
      </c>
      <c r="AY39" s="9">
        <v>0</v>
      </c>
      <c r="AZ39" s="9">
        <v>0</v>
      </c>
      <c r="BA39" s="9">
        <v>0</v>
      </c>
      <c r="BB39" s="9">
        <v>0</v>
      </c>
      <c r="BC39" s="7">
        <v>0</v>
      </c>
      <c r="BD39" s="9">
        <v>0</v>
      </c>
      <c r="BE39" s="9">
        <v>0</v>
      </c>
      <c r="BF39" s="9">
        <v>0</v>
      </c>
      <c r="BG39" s="9">
        <v>0</v>
      </c>
      <c r="BH39" s="9">
        <v>0</v>
      </c>
      <c r="BI39" s="9">
        <v>0</v>
      </c>
      <c r="BJ39" s="9">
        <v>0</v>
      </c>
      <c r="BK39" s="9">
        <v>0</v>
      </c>
      <c r="BL39" s="9">
        <v>0</v>
      </c>
      <c r="BM39" s="9">
        <v>-22138.33</v>
      </c>
      <c r="BN39" s="9">
        <v>0</v>
      </c>
      <c r="BO39" s="9">
        <v>0</v>
      </c>
      <c r="BP39" s="9">
        <v>0</v>
      </c>
      <c r="BQ39" s="9">
        <v>0</v>
      </c>
      <c r="BR39" s="9"/>
      <c r="BS39" s="9"/>
      <c r="BT39" s="9">
        <f t="shared" si="8"/>
        <v>-22138.33</v>
      </c>
      <c r="BV39" s="9">
        <v>0</v>
      </c>
      <c r="BW39" s="9">
        <f t="shared" si="17"/>
        <v>-22138.33</v>
      </c>
      <c r="BZ39" s="9">
        <f t="shared" si="9"/>
        <v>0</v>
      </c>
      <c r="CA39" s="9">
        <f t="shared" si="33"/>
        <v>0</v>
      </c>
      <c r="CB39" s="9">
        <f t="shared" si="34"/>
        <v>0</v>
      </c>
      <c r="CC39" s="7">
        <f t="shared" si="35"/>
        <v>0</v>
      </c>
      <c r="CD39" s="7">
        <f t="shared" si="36"/>
        <v>0</v>
      </c>
      <c r="CE39" s="9">
        <f t="shared" ref="CE39:CF41" si="50">SUMIFS($B39:$BC39,$B$4:$BC$4,$BZ$2,$B$5:$BC$5,CE$5)</f>
        <v>0</v>
      </c>
      <c r="CF39" s="9">
        <f t="shared" si="50"/>
        <v>0</v>
      </c>
      <c r="CG39" s="32">
        <f t="shared" si="37"/>
        <v>0</v>
      </c>
      <c r="CH39" s="32">
        <f t="shared" si="38"/>
        <v>0</v>
      </c>
      <c r="CI39" s="32">
        <f t="shared" si="39"/>
        <v>0</v>
      </c>
      <c r="CJ39" s="22"/>
      <c r="CK39" s="9">
        <f t="shared" si="40"/>
        <v>0</v>
      </c>
      <c r="CL39" s="9">
        <f t="shared" si="41"/>
        <v>0</v>
      </c>
      <c r="CM39" s="9">
        <f t="shared" si="42"/>
        <v>35453.96</v>
      </c>
      <c r="CN39" s="7">
        <f t="shared" si="43"/>
        <v>35453.96</v>
      </c>
      <c r="CO39" s="7">
        <f t="shared" si="44"/>
        <v>0</v>
      </c>
      <c r="CP39" s="32">
        <f t="shared" si="45"/>
        <v>0</v>
      </c>
      <c r="CQ39" s="32">
        <f t="shared" si="46"/>
        <v>0</v>
      </c>
      <c r="CR39" s="21"/>
      <c r="CS39" s="9">
        <f t="shared" si="47"/>
        <v>35453.96</v>
      </c>
      <c r="CT39" s="9">
        <f t="shared" si="14"/>
        <v>409.48</v>
      </c>
      <c r="CU39" s="9">
        <f t="shared" si="48"/>
        <v>35863.440000000002</v>
      </c>
      <c r="CV39" s="9">
        <f t="shared" si="49"/>
        <v>22138.33</v>
      </c>
    </row>
    <row r="40" spans="1:100">
      <c r="A40" s="255" t="s">
        <v>338</v>
      </c>
      <c r="B40" s="9">
        <v>0</v>
      </c>
      <c r="C40" s="9">
        <v>0</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0</v>
      </c>
      <c r="AS40" s="9">
        <v>0</v>
      </c>
      <c r="AT40" s="9">
        <v>0</v>
      </c>
      <c r="AU40" s="9">
        <v>0</v>
      </c>
      <c r="AV40" s="9">
        <v>0</v>
      </c>
      <c r="AW40" s="9">
        <v>0</v>
      </c>
      <c r="AX40" s="9">
        <v>0</v>
      </c>
      <c r="AY40" s="9">
        <v>0</v>
      </c>
      <c r="AZ40" s="9">
        <v>0</v>
      </c>
      <c r="BA40" s="9">
        <v>0</v>
      </c>
      <c r="BB40" s="9">
        <v>0</v>
      </c>
      <c r="BC40" s="7">
        <v>0</v>
      </c>
      <c r="BD40" s="9">
        <v>0</v>
      </c>
      <c r="BE40" s="9">
        <v>0</v>
      </c>
      <c r="BF40" s="9">
        <v>0</v>
      </c>
      <c r="BG40" s="9">
        <v>-168631.27</v>
      </c>
      <c r="BH40" s="9">
        <v>0</v>
      </c>
      <c r="BI40" s="9">
        <v>16904.900000000001</v>
      </c>
      <c r="BJ40" s="9">
        <v>0</v>
      </c>
      <c r="BK40" s="9">
        <v>0</v>
      </c>
      <c r="BL40" s="9">
        <v>0</v>
      </c>
      <c r="BM40" s="9">
        <v>0</v>
      </c>
      <c r="BN40" s="9">
        <v>0</v>
      </c>
      <c r="BO40" s="9">
        <v>0</v>
      </c>
      <c r="BP40" s="9">
        <v>0</v>
      </c>
      <c r="BQ40" s="9">
        <v>0</v>
      </c>
      <c r="BR40" s="9"/>
      <c r="BS40" s="9"/>
      <c r="BT40" s="9">
        <f t="shared" si="8"/>
        <v>-151726.37</v>
      </c>
      <c r="BV40" s="9">
        <v>0</v>
      </c>
      <c r="BW40" s="9">
        <f t="shared" si="17"/>
        <v>-151726.37</v>
      </c>
      <c r="BZ40" s="9">
        <f t="shared" si="9"/>
        <v>0</v>
      </c>
      <c r="CA40" s="9">
        <f t="shared" si="33"/>
        <v>0</v>
      </c>
      <c r="CB40" s="9">
        <f t="shared" si="34"/>
        <v>0</v>
      </c>
      <c r="CC40" s="7">
        <f t="shared" si="35"/>
        <v>0</v>
      </c>
      <c r="CD40" s="7">
        <f t="shared" si="36"/>
        <v>0</v>
      </c>
      <c r="CE40" s="9">
        <f t="shared" si="50"/>
        <v>0</v>
      </c>
      <c r="CF40" s="9">
        <f t="shared" si="50"/>
        <v>0</v>
      </c>
      <c r="CG40" s="32">
        <f t="shared" si="37"/>
        <v>0</v>
      </c>
      <c r="CH40" s="32">
        <f t="shared" si="38"/>
        <v>0</v>
      </c>
      <c r="CI40" s="32">
        <f t="shared" si="39"/>
        <v>0</v>
      </c>
      <c r="CJ40" s="22"/>
      <c r="CK40" s="9">
        <f t="shared" si="40"/>
        <v>0</v>
      </c>
      <c r="CL40" s="9">
        <f t="shared" si="41"/>
        <v>0</v>
      </c>
      <c r="CM40" s="9">
        <f t="shared" si="42"/>
        <v>169420.09999999998</v>
      </c>
      <c r="CN40" s="7">
        <f t="shared" si="43"/>
        <v>169420.09999999998</v>
      </c>
      <c r="CO40" s="7">
        <f t="shared" si="44"/>
        <v>-168631.27</v>
      </c>
      <c r="CP40" s="32">
        <f t="shared" si="45"/>
        <v>0</v>
      </c>
      <c r="CQ40" s="32">
        <f t="shared" si="46"/>
        <v>168631.27</v>
      </c>
      <c r="CR40" s="21"/>
      <c r="CS40" s="9">
        <f t="shared" si="47"/>
        <v>788.82999999998719</v>
      </c>
      <c r="CT40" s="9">
        <f t="shared" si="14"/>
        <v>-11309.730000000003</v>
      </c>
      <c r="CU40" s="9">
        <f t="shared" si="48"/>
        <v>-10520.900000000016</v>
      </c>
      <c r="CV40" s="9">
        <f t="shared" si="49"/>
        <v>-16904.900000000001</v>
      </c>
    </row>
    <row r="41" spans="1:100">
      <c r="A41" s="10" t="s">
        <v>339</v>
      </c>
      <c r="B41" s="9">
        <v>0</v>
      </c>
      <c r="C41" s="9">
        <v>0</v>
      </c>
      <c r="D41" s="9">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9">
        <v>0</v>
      </c>
      <c r="AS41" s="9">
        <v>0</v>
      </c>
      <c r="AT41" s="9">
        <v>0</v>
      </c>
      <c r="AU41" s="9">
        <v>0</v>
      </c>
      <c r="AV41" s="9">
        <v>0</v>
      </c>
      <c r="AW41" s="9">
        <v>0</v>
      </c>
      <c r="AX41" s="9">
        <v>0</v>
      </c>
      <c r="AY41" s="9">
        <v>0</v>
      </c>
      <c r="AZ41" s="9">
        <v>0</v>
      </c>
      <c r="BA41" s="9">
        <v>0</v>
      </c>
      <c r="BB41" s="9">
        <v>0</v>
      </c>
      <c r="BC41" s="7">
        <v>0</v>
      </c>
      <c r="BD41" s="9">
        <v>0</v>
      </c>
      <c r="BE41" s="9">
        <v>0</v>
      </c>
      <c r="BF41" s="9">
        <v>0</v>
      </c>
      <c r="BG41" s="9">
        <v>-1682784.72</v>
      </c>
      <c r="BH41" s="9">
        <v>-36192.639999999999</v>
      </c>
      <c r="BI41" s="9">
        <v>-2414.58</v>
      </c>
      <c r="BJ41" s="9">
        <v>0</v>
      </c>
      <c r="BK41" s="9">
        <v>0</v>
      </c>
      <c r="BL41" s="9">
        <v>0</v>
      </c>
      <c r="BM41" s="9">
        <v>0</v>
      </c>
      <c r="BN41" s="9">
        <v>0</v>
      </c>
      <c r="BO41" s="9">
        <v>0</v>
      </c>
      <c r="BP41" s="9">
        <v>0</v>
      </c>
      <c r="BQ41" s="9">
        <v>0</v>
      </c>
      <c r="BR41" s="9"/>
      <c r="BS41" s="9"/>
      <c r="BT41" s="9">
        <f t="shared" si="8"/>
        <v>-1721391.94</v>
      </c>
      <c r="BV41" s="9">
        <v>0</v>
      </c>
      <c r="BW41" s="9">
        <f t="shared" si="17"/>
        <v>-1721391.94</v>
      </c>
      <c r="BZ41" s="9">
        <f t="shared" si="9"/>
        <v>0</v>
      </c>
      <c r="CA41" s="9">
        <f t="shared" si="33"/>
        <v>0</v>
      </c>
      <c r="CB41" s="9">
        <f t="shared" si="34"/>
        <v>0</v>
      </c>
      <c r="CC41" s="7">
        <f t="shared" si="35"/>
        <v>0</v>
      </c>
      <c r="CD41" s="7">
        <f t="shared" si="36"/>
        <v>0</v>
      </c>
      <c r="CE41" s="9">
        <f t="shared" si="50"/>
        <v>0</v>
      </c>
      <c r="CF41" s="9">
        <f t="shared" si="50"/>
        <v>0</v>
      </c>
      <c r="CG41" s="32">
        <f t="shared" si="37"/>
        <v>0</v>
      </c>
      <c r="CH41" s="32">
        <f t="shared" si="38"/>
        <v>0</v>
      </c>
      <c r="CI41" s="32">
        <f t="shared" si="39"/>
        <v>0</v>
      </c>
      <c r="CJ41" s="22"/>
      <c r="CK41" s="9">
        <f t="shared" si="40"/>
        <v>0</v>
      </c>
      <c r="CL41" s="9">
        <f t="shared" si="41"/>
        <v>0</v>
      </c>
      <c r="CM41" s="9">
        <f t="shared" si="42"/>
        <v>1682784.72</v>
      </c>
      <c r="CN41" s="7">
        <f t="shared" si="43"/>
        <v>1682784.72</v>
      </c>
      <c r="CO41" s="7">
        <f t="shared" si="44"/>
        <v>-1682784.72</v>
      </c>
      <c r="CP41" s="32">
        <f t="shared" si="45"/>
        <v>0</v>
      </c>
      <c r="CQ41" s="32">
        <f t="shared" si="46"/>
        <v>1682784.72</v>
      </c>
      <c r="CR41" s="21"/>
      <c r="CS41" s="9">
        <f t="shared" si="47"/>
        <v>0</v>
      </c>
      <c r="CT41" s="9">
        <f t="shared" si="14"/>
        <v>40703.199999999997</v>
      </c>
      <c r="CU41" s="9">
        <f t="shared" si="48"/>
        <v>40703.199999999997</v>
      </c>
      <c r="CV41" s="9">
        <f t="shared" si="49"/>
        <v>38607.22</v>
      </c>
    </row>
    <row r="42" spans="1:100" ht="13.5" thickBot="1">
      <c r="A42" t="s">
        <v>63</v>
      </c>
      <c r="B42" s="230">
        <f t="shared" ref="B42:AG42" si="51">SUM(B8:B41)</f>
        <v>0</v>
      </c>
      <c r="C42" s="230">
        <f t="shared" si="51"/>
        <v>0</v>
      </c>
      <c r="D42" s="230">
        <f t="shared" si="51"/>
        <v>0</v>
      </c>
      <c r="E42" s="230">
        <f t="shared" si="51"/>
        <v>0</v>
      </c>
      <c r="F42" s="230">
        <f t="shared" si="51"/>
        <v>0</v>
      </c>
      <c r="G42" s="230">
        <f t="shared" si="51"/>
        <v>0</v>
      </c>
      <c r="H42" s="230">
        <f t="shared" si="51"/>
        <v>0</v>
      </c>
      <c r="I42" s="230">
        <f t="shared" si="51"/>
        <v>0</v>
      </c>
      <c r="J42" s="230">
        <f t="shared" si="51"/>
        <v>0</v>
      </c>
      <c r="K42" s="230">
        <f t="shared" si="51"/>
        <v>0</v>
      </c>
      <c r="L42" s="230">
        <f t="shared" si="51"/>
        <v>0</v>
      </c>
      <c r="M42" s="230">
        <f t="shared" si="51"/>
        <v>0</v>
      </c>
      <c r="N42" s="230">
        <f t="shared" si="51"/>
        <v>0</v>
      </c>
      <c r="O42" s="230">
        <f t="shared" si="51"/>
        <v>0</v>
      </c>
      <c r="P42" s="230">
        <f t="shared" si="51"/>
        <v>0</v>
      </c>
      <c r="Q42" s="230">
        <f t="shared" si="51"/>
        <v>-13747922</v>
      </c>
      <c r="R42" s="230">
        <f t="shared" si="51"/>
        <v>0</v>
      </c>
      <c r="S42" s="230">
        <f t="shared" si="51"/>
        <v>0</v>
      </c>
      <c r="T42" s="230">
        <f t="shared" si="51"/>
        <v>0</v>
      </c>
      <c r="U42" s="230">
        <f t="shared" si="51"/>
        <v>-13999833.920000002</v>
      </c>
      <c r="V42" s="230">
        <f t="shared" si="51"/>
        <v>-17401210.809999999</v>
      </c>
      <c r="W42" s="230">
        <f t="shared" si="51"/>
        <v>-2662751.2800000003</v>
      </c>
      <c r="X42" s="230">
        <f t="shared" si="51"/>
        <v>-2097687.4900000002</v>
      </c>
      <c r="Y42" s="230">
        <f t="shared" si="51"/>
        <v>-51569.85</v>
      </c>
      <c r="Z42" s="230">
        <f t="shared" si="51"/>
        <v>219546.78000000003</v>
      </c>
      <c r="AA42" s="230">
        <f t="shared" si="51"/>
        <v>-356614.88</v>
      </c>
      <c r="AB42" s="230">
        <f t="shared" si="51"/>
        <v>0</v>
      </c>
      <c r="AC42" s="230">
        <f t="shared" si="51"/>
        <v>-142152.87</v>
      </c>
      <c r="AD42" s="230">
        <f t="shared" si="51"/>
        <v>-64936.04</v>
      </c>
      <c r="AE42" s="230">
        <f t="shared" si="51"/>
        <v>-5817529.0499999998</v>
      </c>
      <c r="AF42" s="230">
        <f t="shared" si="51"/>
        <v>-154089.76</v>
      </c>
      <c r="AG42" s="230">
        <f t="shared" si="51"/>
        <v>-246508.34</v>
      </c>
      <c r="AH42" s="230">
        <f t="shared" ref="AH42:BM42" si="52">SUM(AH8:AH41)</f>
        <v>-31553.17</v>
      </c>
      <c r="AI42" s="230">
        <f t="shared" si="52"/>
        <v>-5620.35</v>
      </c>
      <c r="AJ42" s="230">
        <f t="shared" si="52"/>
        <v>-4128.67</v>
      </c>
      <c r="AK42" s="230">
        <f t="shared" si="52"/>
        <v>-208.45</v>
      </c>
      <c r="AL42" s="230">
        <f t="shared" si="52"/>
        <v>0</v>
      </c>
      <c r="AM42" s="230">
        <f t="shared" si="52"/>
        <v>-31520.5</v>
      </c>
      <c r="AN42" s="230">
        <f t="shared" si="52"/>
        <v>-2206.83</v>
      </c>
      <c r="AO42" s="230">
        <f t="shared" si="52"/>
        <v>-4074.87</v>
      </c>
      <c r="AP42" s="230">
        <f t="shared" si="52"/>
        <v>-10761486.710000001</v>
      </c>
      <c r="AQ42" s="230">
        <f t="shared" si="52"/>
        <v>0</v>
      </c>
      <c r="AR42" s="230">
        <f t="shared" si="52"/>
        <v>-330037.25</v>
      </c>
      <c r="AS42" s="230">
        <f t="shared" si="52"/>
        <v>-4579607.57</v>
      </c>
      <c r="AT42" s="230">
        <f t="shared" si="52"/>
        <v>-20371763.529999997</v>
      </c>
      <c r="AU42" s="230">
        <f t="shared" si="52"/>
        <v>-54606.11</v>
      </c>
      <c r="AV42" s="230">
        <f t="shared" si="52"/>
        <v>49598.2</v>
      </c>
      <c r="AW42" s="230">
        <f t="shared" si="52"/>
        <v>0</v>
      </c>
      <c r="AX42" s="230">
        <f t="shared" si="52"/>
        <v>-167105.60000000001</v>
      </c>
      <c r="AY42" s="230">
        <f t="shared" si="52"/>
        <v>-1256.4500000000003</v>
      </c>
      <c r="AZ42" s="230">
        <f t="shared" si="52"/>
        <v>-909649.35</v>
      </c>
      <c r="BA42" s="230">
        <f t="shared" si="52"/>
        <v>85401.47</v>
      </c>
      <c r="BB42" s="230">
        <f t="shared" si="52"/>
        <v>-2464964.9200000004</v>
      </c>
      <c r="BC42" s="251">
        <f t="shared" si="52"/>
        <v>-30893265.870000001</v>
      </c>
      <c r="BD42" s="230">
        <f t="shared" si="52"/>
        <v>-928339.97</v>
      </c>
      <c r="BE42" s="230">
        <f t="shared" si="52"/>
        <v>90949.73</v>
      </c>
      <c r="BF42" s="230">
        <f t="shared" si="52"/>
        <v>-1561224.3499999999</v>
      </c>
      <c r="BG42" s="230">
        <f t="shared" si="52"/>
        <v>-23138022.299999997</v>
      </c>
      <c r="BH42" s="230">
        <f t="shared" si="52"/>
        <v>-54085.869999999995</v>
      </c>
      <c r="BI42" s="230">
        <f t="shared" si="52"/>
        <v>-64508.26</v>
      </c>
      <c r="BJ42" s="230">
        <f t="shared" si="52"/>
        <v>-195458.72999999998</v>
      </c>
      <c r="BK42" s="230">
        <f t="shared" si="52"/>
        <v>3347.989999999998</v>
      </c>
      <c r="BL42" s="230">
        <f t="shared" si="52"/>
        <v>-23787.43</v>
      </c>
      <c r="BM42" s="230">
        <f t="shared" si="52"/>
        <v>-232931.84999999992</v>
      </c>
      <c r="BN42" s="230">
        <f>SUM(BN8:BN41)</f>
        <v>-14690944.92</v>
      </c>
      <c r="BO42" s="230">
        <f t="shared" ref="BO42:BS42" si="53">SUM(BO8:BO41)</f>
        <v>-581154.96000000008</v>
      </c>
      <c r="BP42" s="230">
        <f t="shared" si="53"/>
        <v>-28672145.890000001</v>
      </c>
      <c r="BQ42" s="230">
        <f t="shared" si="53"/>
        <v>-12621131.359999999</v>
      </c>
      <c r="BR42" s="230">
        <f t="shared" si="53"/>
        <v>0</v>
      </c>
      <c r="BS42" s="230">
        <f t="shared" si="53"/>
        <v>0</v>
      </c>
      <c r="BT42" s="230">
        <f>SUM(BT8:BT41)</f>
        <v>-209670754.20999995</v>
      </c>
      <c r="BV42" s="8">
        <f>SUM(BV8:BV41)</f>
        <v>-56560433.030000001</v>
      </c>
      <c r="BW42" s="8">
        <f>SUM(BW8:BW41)</f>
        <v>-153110321.18000001</v>
      </c>
      <c r="BZ42" s="8">
        <f t="shared" ref="BZ42:CI42" si="54">SUM(BZ8:BZ41)</f>
        <v>10280419.399999985</v>
      </c>
      <c r="CA42" s="8">
        <f t="shared" si="54"/>
        <v>24896187.300000001</v>
      </c>
      <c r="CB42" s="8">
        <f t="shared" si="54"/>
        <v>15018403.220000001</v>
      </c>
      <c r="CC42" s="51">
        <f t="shared" si="54"/>
        <v>50195009.919999979</v>
      </c>
      <c r="CD42" s="51">
        <f t="shared" si="54"/>
        <v>-36139640.490000002</v>
      </c>
      <c r="CE42" s="8">
        <f t="shared" si="54"/>
        <v>-11133663.280000001</v>
      </c>
      <c r="CF42" s="8">
        <f t="shared" si="54"/>
        <v>-25005977.209999997</v>
      </c>
      <c r="CG42" s="33">
        <f t="shared" si="54"/>
        <v>11133663.280000001</v>
      </c>
      <c r="CH42" s="34">
        <f t="shared" si="54"/>
        <v>21266527.929999985</v>
      </c>
      <c r="CI42" s="35">
        <f t="shared" si="54"/>
        <v>3739449.2800000156</v>
      </c>
      <c r="CJ42" s="22"/>
      <c r="CK42" s="8">
        <f t="shared" ref="CK42:CQ42" si="55">SUM(CK8:CK41)</f>
        <v>2776415.4899999984</v>
      </c>
      <c r="CL42" s="8">
        <f t="shared" si="55"/>
        <v>11278953.939999985</v>
      </c>
      <c r="CM42" s="8">
        <f t="shared" si="55"/>
        <v>57540336.499999993</v>
      </c>
      <c r="CN42" s="8">
        <f t="shared" si="55"/>
        <v>71595705.929999977</v>
      </c>
      <c r="CO42" s="8">
        <f t="shared" si="55"/>
        <v>-59837879.410000004</v>
      </c>
      <c r="CP42" s="35">
        <f t="shared" si="55"/>
        <v>2769507.2699999982</v>
      </c>
      <c r="CQ42" s="35">
        <f t="shared" si="55"/>
        <v>57068372.139999993</v>
      </c>
      <c r="CR42" s="21"/>
      <c r="CS42" s="51">
        <f>SUM(CS8:CS41)</f>
        <v>11757826.519999983</v>
      </c>
      <c r="CT42" s="51">
        <f>SUM(CT8:CT41)</f>
        <v>45614399.060000002</v>
      </c>
      <c r="CU42" s="51">
        <f>SUM(CU8:CU41)</f>
        <v>57372225.579999983</v>
      </c>
      <c r="CV42" s="51">
        <f>SUM(CV8:CV41)</f>
        <v>57132801.279999986</v>
      </c>
    </row>
    <row r="43" spans="1:100" ht="13.5" thickTop="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7"/>
      <c r="BD43" s="9"/>
      <c r="BE43" s="9"/>
      <c r="BF43" s="9"/>
      <c r="BG43" s="9"/>
      <c r="BH43" s="9"/>
      <c r="BI43" s="9"/>
      <c r="BJ43" s="9"/>
      <c r="BK43" s="9"/>
      <c r="BL43" s="9"/>
      <c r="BM43" s="9"/>
      <c r="BN43" s="9"/>
      <c r="BO43" s="9"/>
      <c r="BP43" s="9"/>
      <c r="BQ43" s="9"/>
      <c r="BR43" s="9"/>
      <c r="BS43" s="9"/>
      <c r="BT43" s="9"/>
      <c r="CF43" s="27" t="s">
        <v>99</v>
      </c>
      <c r="CG43" s="36">
        <v>-10100000</v>
      </c>
      <c r="CH43" s="31"/>
      <c r="CI43" s="31"/>
      <c r="CJ43" s="21"/>
      <c r="CK43" s="2" t="s">
        <v>86</v>
      </c>
      <c r="CR43" s="21"/>
      <c r="CS43" s="9" t="s">
        <v>324</v>
      </c>
    </row>
    <row r="44" spans="1:100">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7"/>
      <c r="BD44" s="9"/>
      <c r="BE44" s="9"/>
      <c r="BF44" s="9"/>
      <c r="BG44" s="9"/>
      <c r="BH44" s="9"/>
      <c r="BI44" s="9"/>
      <c r="BJ44" s="9"/>
      <c r="BK44" s="9"/>
      <c r="BL44" s="9"/>
      <c r="BM44" s="9"/>
      <c r="BN44" s="9"/>
      <c r="BO44" s="9"/>
      <c r="BP44" s="9"/>
      <c r="BQ44" s="9"/>
      <c r="BR44" s="9"/>
      <c r="BS44" s="9"/>
      <c r="BT44" s="9"/>
      <c r="CF44" s="27" t="s">
        <v>100</v>
      </c>
      <c r="CG44" s="35">
        <f>SUM(CG42:CG43)</f>
        <v>1033663.2800000012</v>
      </c>
      <c r="CH44" s="31"/>
      <c r="CI44" s="31"/>
      <c r="CJ44" s="21"/>
      <c r="CK44" s="20">
        <f>SUM(CK42:CL42)</f>
        <v>14055369.429999983</v>
      </c>
      <c r="CR44" s="21"/>
      <c r="CS44" s="9">
        <f>SUM(B42:BG42,B83:BG83)</f>
        <v>11757826.519999959</v>
      </c>
    </row>
    <row r="45" spans="1:100">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7"/>
      <c r="BD45" s="9"/>
      <c r="BE45" s="9"/>
      <c r="BF45" s="9"/>
      <c r="BG45" s="9"/>
      <c r="BH45" s="9"/>
      <c r="BI45" s="9"/>
      <c r="BJ45" s="9"/>
      <c r="BK45" s="9"/>
      <c r="BL45" s="9"/>
      <c r="BM45" s="9"/>
      <c r="BN45" s="9"/>
      <c r="BO45" s="9"/>
      <c r="BP45" s="9"/>
      <c r="BQ45" s="9"/>
      <c r="BR45" s="9"/>
      <c r="BS45" s="9"/>
      <c r="BT45" s="9"/>
      <c r="CJ45" s="21"/>
      <c r="CK45" s="20">
        <f>SUM(B42:AU42,B83:AU83)</f>
        <v>14055369.429999968</v>
      </c>
      <c r="CR45" s="21"/>
      <c r="CS45" s="9">
        <f>CS42-CS44</f>
        <v>2.4214386940002441E-8</v>
      </c>
    </row>
    <row r="46" spans="1:100">
      <c r="CJ46" s="21"/>
      <c r="CK46" s="9">
        <f>CK44-CK45</f>
        <v>1.4901161193847656E-8</v>
      </c>
      <c r="CR46" s="21"/>
    </row>
    <row r="47" spans="1:100">
      <c r="A47" s="3" t="s">
        <v>66</v>
      </c>
      <c r="CJ47" s="21"/>
      <c r="CR47" s="21"/>
    </row>
    <row r="48" spans="1:100">
      <c r="A48" t="s">
        <v>0</v>
      </c>
      <c r="B48" t="s">
        <v>62</v>
      </c>
      <c r="C48" t="s">
        <v>21</v>
      </c>
      <c r="D48" t="s">
        <v>2</v>
      </c>
      <c r="E48" t="s">
        <v>1</v>
      </c>
      <c r="F48" t="s">
        <v>3</v>
      </c>
      <c r="G48" t="s">
        <v>35</v>
      </c>
      <c r="H48" t="s">
        <v>22</v>
      </c>
      <c r="I48" t="s">
        <v>4</v>
      </c>
      <c r="J48" t="s">
        <v>6</v>
      </c>
      <c r="K48" t="s">
        <v>5</v>
      </c>
      <c r="L48" t="s">
        <v>7</v>
      </c>
      <c r="M48" t="s">
        <v>8</v>
      </c>
      <c r="N48" t="s">
        <v>9</v>
      </c>
      <c r="O48" t="s">
        <v>23</v>
      </c>
      <c r="P48" t="s">
        <v>24</v>
      </c>
      <c r="Q48" t="s">
        <v>13</v>
      </c>
      <c r="R48" t="s">
        <v>11</v>
      </c>
      <c r="S48" t="s">
        <v>14</v>
      </c>
      <c r="T48" t="s">
        <v>28</v>
      </c>
      <c r="U48" t="s">
        <v>27</v>
      </c>
      <c r="V48" t="s">
        <v>16</v>
      </c>
      <c r="W48" t="s">
        <v>15</v>
      </c>
      <c r="X48" t="s">
        <v>32</v>
      </c>
      <c r="Y48" t="s">
        <v>25</v>
      </c>
      <c r="Z48" t="s">
        <v>20</v>
      </c>
      <c r="AA48" t="s">
        <v>34</v>
      </c>
      <c r="AB48" t="s">
        <v>19</v>
      </c>
      <c r="AC48" t="s">
        <v>52</v>
      </c>
      <c r="AD48" t="s">
        <v>29</v>
      </c>
      <c r="AE48" t="s">
        <v>43</v>
      </c>
      <c r="AF48" t="s">
        <v>17</v>
      </c>
      <c r="AG48" t="s">
        <v>18</v>
      </c>
      <c r="AH48" t="s">
        <v>26</v>
      </c>
      <c r="AI48" t="s">
        <v>33</v>
      </c>
      <c r="AJ48" t="s">
        <v>45</v>
      </c>
      <c r="AK48" t="s">
        <v>44</v>
      </c>
      <c r="AL48" t="s">
        <v>54</v>
      </c>
      <c r="AM48" t="s">
        <v>55</v>
      </c>
      <c r="AN48" t="s">
        <v>38</v>
      </c>
      <c r="AO48" t="s">
        <v>10</v>
      </c>
      <c r="AP48" t="s">
        <v>37</v>
      </c>
      <c r="AQ48" t="s">
        <v>39</v>
      </c>
      <c r="AR48" t="s">
        <v>53</v>
      </c>
      <c r="AS48" t="s">
        <v>42</v>
      </c>
      <c r="AT48" t="s">
        <v>40</v>
      </c>
      <c r="AU48" t="s">
        <v>41</v>
      </c>
      <c r="AV48" t="s">
        <v>56</v>
      </c>
      <c r="AW48" t="s">
        <v>30</v>
      </c>
      <c r="AX48" t="s">
        <v>46</v>
      </c>
      <c r="AY48" t="s">
        <v>47</v>
      </c>
      <c r="AZ48" t="s">
        <v>51</v>
      </c>
      <c r="BA48" t="s">
        <v>50</v>
      </c>
      <c r="BB48" t="s">
        <v>48</v>
      </c>
      <c r="BC48" s="5" t="s">
        <v>49</v>
      </c>
      <c r="BD48" t="s">
        <v>300</v>
      </c>
      <c r="BE48" t="s">
        <v>301</v>
      </c>
      <c r="BF48" t="s">
        <v>302</v>
      </c>
      <c r="BG48" t="s">
        <v>303</v>
      </c>
      <c r="BH48" s="224">
        <v>40939</v>
      </c>
      <c r="BI48" s="224">
        <v>40967</v>
      </c>
      <c r="BJ48" s="224">
        <v>40999</v>
      </c>
      <c r="BK48" s="224">
        <v>41029</v>
      </c>
      <c r="BL48" s="224">
        <v>41060</v>
      </c>
      <c r="BM48" s="224">
        <v>41090</v>
      </c>
      <c r="BN48" s="224">
        <v>41121</v>
      </c>
      <c r="BO48" s="224">
        <v>41152</v>
      </c>
      <c r="BP48" s="224">
        <v>41182</v>
      </c>
      <c r="BQ48" s="224">
        <v>41213</v>
      </c>
      <c r="BR48" s="224">
        <v>41243</v>
      </c>
      <c r="BS48" s="224">
        <v>41274</v>
      </c>
      <c r="BT48" t="s">
        <v>63</v>
      </c>
      <c r="BX48" s="11" t="s">
        <v>75</v>
      </c>
      <c r="CJ48" s="21"/>
      <c r="CR48" s="21"/>
    </row>
    <row r="49" spans="1:96">
      <c r="A49" t="s">
        <v>12</v>
      </c>
      <c r="B49" s="9">
        <v>2298.21</v>
      </c>
      <c r="C49" s="9">
        <v>2559.17</v>
      </c>
      <c r="D49" s="9">
        <v>2513.61</v>
      </c>
      <c r="E49" s="9">
        <v>10519.46</v>
      </c>
      <c r="F49" s="9">
        <v>11174.07</v>
      </c>
      <c r="G49" s="9">
        <v>2557.67</v>
      </c>
      <c r="H49" s="9">
        <v>2461243.37</v>
      </c>
      <c r="I49" s="9">
        <v>-1530354.62</v>
      </c>
      <c r="J49" s="9">
        <v>207163.88</v>
      </c>
      <c r="K49" s="9">
        <v>2552217.5699999998</v>
      </c>
      <c r="L49" s="9">
        <v>-1101576.4500000002</v>
      </c>
      <c r="M49" s="9">
        <v>449617.68999999989</v>
      </c>
      <c r="N49" s="9">
        <v>2224025.2499999986</v>
      </c>
      <c r="O49" s="9">
        <v>1264961.9499999995</v>
      </c>
      <c r="P49" s="9">
        <v>2934387.6299999994</v>
      </c>
      <c r="Q49" s="9">
        <v>3200351.96</v>
      </c>
      <c r="R49" s="9">
        <v>2287072.6599999997</v>
      </c>
      <c r="S49" s="9">
        <v>1734456.0199999993</v>
      </c>
      <c r="T49" s="9">
        <v>1575680.7300000002</v>
      </c>
      <c r="U49" s="9">
        <v>918567.69999999925</v>
      </c>
      <c r="V49" s="9">
        <v>50626.69</v>
      </c>
      <c r="W49" s="9">
        <v>393758.40999999986</v>
      </c>
      <c r="X49" s="9">
        <v>-13189.869999999999</v>
      </c>
      <c r="Y49" s="9">
        <v>-110750.59</v>
      </c>
      <c r="Z49" s="9">
        <v>-2777.6999999999989</v>
      </c>
      <c r="AA49" s="9">
        <v>34.4</v>
      </c>
      <c r="AB49" s="9">
        <v>232774.78999999995</v>
      </c>
      <c r="AC49" s="9">
        <v>59923.64</v>
      </c>
      <c r="AD49" s="9">
        <v>-4283.8900000000012</v>
      </c>
      <c r="AE49" s="9">
        <v>15293.99</v>
      </c>
      <c r="AF49" s="9">
        <v>7832</v>
      </c>
      <c r="AG49" s="9">
        <v>-24836.79</v>
      </c>
      <c r="AH49" s="9">
        <v>-1491.51</v>
      </c>
      <c r="AI49" s="9">
        <v>-109.3</v>
      </c>
      <c r="AJ49" s="9"/>
      <c r="AK49" s="9"/>
      <c r="AL49" s="9">
        <v>2989.35</v>
      </c>
      <c r="AM49" s="9">
        <v>321.49</v>
      </c>
      <c r="AN49" s="9">
        <v>1630.3</v>
      </c>
      <c r="AO49" s="9">
        <v>-23410.160000000003</v>
      </c>
      <c r="AP49" s="9">
        <v>654326.39999999991</v>
      </c>
      <c r="AQ49" s="9">
        <v>39344.269999999997</v>
      </c>
      <c r="AR49" s="9">
        <v>238.25</v>
      </c>
      <c r="AS49" s="9">
        <v>11.91</v>
      </c>
      <c r="AT49" s="9"/>
      <c r="AU49" s="9">
        <v>780</v>
      </c>
      <c r="AV49" s="9">
        <v>21967</v>
      </c>
      <c r="AW49" s="9">
        <v>-3681.6</v>
      </c>
      <c r="AX49" s="9">
        <v>-238.9</v>
      </c>
      <c r="AY49" s="9"/>
      <c r="AZ49" s="9"/>
      <c r="BA49" s="9"/>
      <c r="BB49" s="9"/>
      <c r="BC49" s="7"/>
      <c r="BD49" s="9"/>
      <c r="BE49" s="9"/>
      <c r="BF49" s="9"/>
      <c r="BG49" s="9"/>
      <c r="BH49" s="9"/>
      <c r="BI49" s="9"/>
      <c r="BJ49" s="9"/>
      <c r="BK49" s="9"/>
      <c r="BL49" s="9"/>
      <c r="BM49" s="9"/>
      <c r="BN49" s="9"/>
      <c r="BO49" s="9"/>
      <c r="BP49" s="9"/>
      <c r="BQ49" s="9"/>
      <c r="BR49" s="9"/>
      <c r="BS49" s="9"/>
      <c r="BT49" s="9">
        <f>SUM(B49:BS49)</f>
        <v>20506520.109999992</v>
      </c>
      <c r="BU49" s="240">
        <f t="shared" ref="BU49:BU82" si="56">BT49+BT8</f>
        <v>0</v>
      </c>
      <c r="BW49" s="9">
        <f t="shared" ref="BW49:BW83" si="57">BT49+BV8</f>
        <v>688865.41999999061</v>
      </c>
      <c r="BX49" s="9">
        <f>SUM(B49:AI49)</f>
        <v>19812241.799999993</v>
      </c>
      <c r="CJ49" s="21"/>
      <c r="CR49" s="21"/>
    </row>
    <row r="50" spans="1:96">
      <c r="A50" t="s">
        <v>31</v>
      </c>
      <c r="B50" s="9"/>
      <c r="C50" s="9"/>
      <c r="D50" s="9">
        <v>553.62</v>
      </c>
      <c r="E50" s="9">
        <v>7692.81</v>
      </c>
      <c r="F50" s="9">
        <v>10213.869999999999</v>
      </c>
      <c r="G50" s="9">
        <v>5278.17</v>
      </c>
      <c r="H50" s="9">
        <v>4636.7999999999529</v>
      </c>
      <c r="I50" s="9">
        <v>35770.19000000001</v>
      </c>
      <c r="J50" s="9">
        <v>138382.19000000003</v>
      </c>
      <c r="K50" s="9">
        <v>516188.36999999994</v>
      </c>
      <c r="L50" s="9">
        <v>259038.2699999999</v>
      </c>
      <c r="M50" s="9">
        <v>1523848.6299999992</v>
      </c>
      <c r="N50" s="9">
        <v>5471934.9399999958</v>
      </c>
      <c r="O50" s="9">
        <v>894901.6800000004</v>
      </c>
      <c r="P50" s="9">
        <v>1620526.6400000001</v>
      </c>
      <c r="Q50" s="9">
        <v>3850957.3899999997</v>
      </c>
      <c r="R50" s="9">
        <v>1519733.6000000003</v>
      </c>
      <c r="S50" s="9">
        <v>3965582.5200000009</v>
      </c>
      <c r="T50" s="9">
        <v>3763673.200000002</v>
      </c>
      <c r="U50" s="9">
        <v>2535421.2999999984</v>
      </c>
      <c r="V50" s="9">
        <v>2668871.8000000007</v>
      </c>
      <c r="W50" s="9">
        <v>1799573.2699999993</v>
      </c>
      <c r="X50" s="9">
        <v>44880.890000000007</v>
      </c>
      <c r="Y50" s="9">
        <v>-118388.43</v>
      </c>
      <c r="Z50" s="9">
        <v>15809.679999999998</v>
      </c>
      <c r="AA50" s="9">
        <v>37963.579999999994</v>
      </c>
      <c r="AB50" s="9">
        <v>-177571.18999999997</v>
      </c>
      <c r="AC50" s="9">
        <v>59810.009999999987</v>
      </c>
      <c r="AD50" s="9">
        <v>38929.229999999989</v>
      </c>
      <c r="AE50" s="9">
        <v>147354.4</v>
      </c>
      <c r="AF50" s="9">
        <v>246508.34000000003</v>
      </c>
      <c r="AG50" s="9">
        <v>31553.170000000002</v>
      </c>
      <c r="AH50" s="9">
        <v>5620.3499999999995</v>
      </c>
      <c r="AI50" s="9">
        <v>4128.67</v>
      </c>
      <c r="AJ50" s="9">
        <v>208.45</v>
      </c>
      <c r="AK50" s="9">
        <v>-5.6</v>
      </c>
      <c r="AL50" s="9">
        <v>31526.1</v>
      </c>
      <c r="AM50" s="9">
        <v>2206.83</v>
      </c>
      <c r="AN50" s="9">
        <v>4074.8700000000003</v>
      </c>
      <c r="AO50" s="9">
        <v>-12304.27</v>
      </c>
      <c r="AP50" s="9">
        <v>23508.68</v>
      </c>
      <c r="AQ50" s="9">
        <v>330037.25</v>
      </c>
      <c r="AR50" s="9">
        <v>52900.19</v>
      </c>
      <c r="AS50" s="9">
        <v>1659.27</v>
      </c>
      <c r="AT50" s="9"/>
      <c r="AU50" s="9">
        <v>3348.64</v>
      </c>
      <c r="AV50" s="9">
        <v>186.93</v>
      </c>
      <c r="AW50" s="9">
        <v>-3273.95</v>
      </c>
      <c r="AX50" s="9">
        <v>-163.75</v>
      </c>
      <c r="AY50" s="9"/>
      <c r="AZ50" s="9"/>
      <c r="BA50" s="9"/>
      <c r="BB50" s="9"/>
      <c r="BC50" s="7"/>
      <c r="BD50" s="9"/>
      <c r="BE50" s="9"/>
      <c r="BF50" s="9"/>
      <c r="BG50" s="9"/>
      <c r="BH50" s="9"/>
      <c r="BI50" s="9"/>
      <c r="BJ50" s="9"/>
      <c r="BK50" s="9"/>
      <c r="BL50" s="9">
        <v>-5125.34</v>
      </c>
      <c r="BM50" s="9"/>
      <c r="BN50" s="9"/>
      <c r="BO50" s="9"/>
      <c r="BP50" s="9"/>
      <c r="BQ50" s="9"/>
      <c r="BR50" s="9"/>
      <c r="BS50" s="9"/>
      <c r="BT50" s="9">
        <f t="shared" ref="BT50:BT81" si="58">SUM(B50:BS50)</f>
        <v>31358162.260000002</v>
      </c>
      <c r="BU50" s="240">
        <f t="shared" si="56"/>
        <v>0</v>
      </c>
      <c r="BW50" s="9">
        <f t="shared" si="57"/>
        <v>432912.96999999508</v>
      </c>
      <c r="BX50" s="9">
        <f t="shared" ref="BX50:BX82" si="59">SUM(B50:AI50)</f>
        <v>30929377.960000001</v>
      </c>
      <c r="CJ50" s="21"/>
      <c r="CR50" s="21"/>
    </row>
    <row r="51" spans="1:96">
      <c r="A51" t="s">
        <v>36</v>
      </c>
      <c r="B51" s="9"/>
      <c r="C51" s="9"/>
      <c r="D51" s="9"/>
      <c r="E51" s="9"/>
      <c r="F51" s="9"/>
      <c r="G51" s="9"/>
      <c r="H51" s="9"/>
      <c r="I51" s="9"/>
      <c r="J51" s="9"/>
      <c r="K51" s="9"/>
      <c r="L51" s="9">
        <v>2617.31</v>
      </c>
      <c r="M51" s="9">
        <v>81435.150000000009</v>
      </c>
      <c r="N51" s="9">
        <v>3228147.4399999995</v>
      </c>
      <c r="O51" s="9">
        <v>-3223356.85</v>
      </c>
      <c r="P51" s="9">
        <v>53818.219999999994</v>
      </c>
      <c r="Q51" s="9">
        <v>225282.2</v>
      </c>
      <c r="R51" s="9">
        <v>94444.710000000036</v>
      </c>
      <c r="S51" s="9">
        <v>148982.54000000007</v>
      </c>
      <c r="T51" s="9">
        <v>89418.959999999992</v>
      </c>
      <c r="U51" s="9">
        <v>454885.54000000021</v>
      </c>
      <c r="V51" s="9">
        <v>1001012.6399999999</v>
      </c>
      <c r="W51" s="9">
        <v>1132952.6600000004</v>
      </c>
      <c r="X51" s="9">
        <v>-930703.62999999977</v>
      </c>
      <c r="Y51" s="9">
        <v>246845.67</v>
      </c>
      <c r="Z51" s="9">
        <v>315933.20999999996</v>
      </c>
      <c r="AA51" s="9">
        <v>390715.15</v>
      </c>
      <c r="AB51" s="9">
        <v>776714.84000000008</v>
      </c>
      <c r="AC51" s="9">
        <v>1239972.3100000005</v>
      </c>
      <c r="AD51" s="9">
        <v>514095.37999999989</v>
      </c>
      <c r="AE51" s="9">
        <v>1408995.9899999995</v>
      </c>
      <c r="AF51" s="9">
        <v>1861018.0000000012</v>
      </c>
      <c r="AG51" s="9">
        <v>234282.26</v>
      </c>
      <c r="AH51" s="9">
        <v>1223078.1700000009</v>
      </c>
      <c r="AI51" s="9">
        <v>5493363.3599999975</v>
      </c>
      <c r="AJ51" s="9">
        <v>142066.49000000002</v>
      </c>
      <c r="AK51" s="9">
        <v>2262938.9599999995</v>
      </c>
      <c r="AL51" s="9">
        <v>2509305.2400000012</v>
      </c>
      <c r="AM51" s="9">
        <v>1571794.3199999996</v>
      </c>
      <c r="AN51" s="9">
        <v>1803438.4499999997</v>
      </c>
      <c r="AO51" s="9">
        <v>6836289.0700000003</v>
      </c>
      <c r="AP51" s="9">
        <v>-405062.66000000044</v>
      </c>
      <c r="AQ51" s="9">
        <v>2050667.91</v>
      </c>
      <c r="AR51" s="9">
        <v>4276023.0699999994</v>
      </c>
      <c r="AS51" s="9">
        <v>964215.64</v>
      </c>
      <c r="AT51" s="9">
        <v>3144046.0799999982</v>
      </c>
      <c r="AU51" s="9">
        <v>780420.62000000023</v>
      </c>
      <c r="AV51" s="9">
        <v>-224533.0100000001</v>
      </c>
      <c r="AW51" s="9">
        <v>-124713.73000000005</v>
      </c>
      <c r="AX51" s="9">
        <v>193591.83999999994</v>
      </c>
      <c r="AY51" s="9">
        <v>-170365.36000000004</v>
      </c>
      <c r="AZ51" s="9">
        <v>39759.530000000006</v>
      </c>
      <c r="BA51" s="9">
        <v>261935.67999999993</v>
      </c>
      <c r="BB51" s="9">
        <v>-155259.50999999995</v>
      </c>
      <c r="BC51" s="7">
        <v>167495.94999999998</v>
      </c>
      <c r="BD51" s="9">
        <v>18651.13</v>
      </c>
      <c r="BE51" s="9">
        <v>7051.55</v>
      </c>
      <c r="BF51" s="9">
        <v>5438.0400000000009</v>
      </c>
      <c r="BG51" s="9">
        <v>33577.30000000001</v>
      </c>
      <c r="BH51" s="9">
        <v>1191.0399999999986</v>
      </c>
      <c r="BI51" s="9">
        <v>30567.800000000003</v>
      </c>
      <c r="BJ51" s="7">
        <v>1306.67</v>
      </c>
      <c r="BK51" s="7">
        <v>-501.57999999999993</v>
      </c>
      <c r="BL51" s="9">
        <v>-68304.92</v>
      </c>
      <c r="BM51" s="9">
        <v>1106.93</v>
      </c>
      <c r="BN51" s="242">
        <v>44728.939999999995</v>
      </c>
      <c r="BO51" s="242">
        <v>1528.03</v>
      </c>
      <c r="BP51" s="242">
        <v>-10.38</v>
      </c>
      <c r="BQ51" s="9"/>
      <c r="BR51" s="9"/>
      <c r="BS51" s="9"/>
      <c r="BT51" s="9">
        <f t="shared" si="58"/>
        <v>42064336.359999999</v>
      </c>
      <c r="BU51" s="240">
        <f t="shared" si="56"/>
        <v>8109.4600000157952</v>
      </c>
      <c r="BW51" s="9">
        <f t="shared" si="57"/>
        <v>36246807.310000002</v>
      </c>
      <c r="BX51" s="9">
        <f t="shared" si="59"/>
        <v>16063951.229999999</v>
      </c>
      <c r="CJ51" s="21"/>
      <c r="CR51" s="21"/>
    </row>
    <row r="52" spans="1:96">
      <c r="A52" t="s">
        <v>57</v>
      </c>
      <c r="B52" s="9"/>
      <c r="C52" s="9"/>
      <c r="D52" s="9"/>
      <c r="E52" s="9"/>
      <c r="F52" s="9"/>
      <c r="G52" s="9"/>
      <c r="H52" s="9"/>
      <c r="I52" s="9"/>
      <c r="J52" s="9"/>
      <c r="K52" s="9"/>
      <c r="L52" s="9"/>
      <c r="M52" s="9"/>
      <c r="N52" s="9"/>
      <c r="O52" s="9"/>
      <c r="P52" s="9"/>
      <c r="Q52" s="9"/>
      <c r="R52" s="9"/>
      <c r="S52" s="9"/>
      <c r="T52" s="9"/>
      <c r="U52" s="9"/>
      <c r="V52" s="9"/>
      <c r="W52" s="9"/>
      <c r="X52" s="9"/>
      <c r="Y52" s="9"/>
      <c r="Z52" s="9"/>
      <c r="AA52" s="9"/>
      <c r="AB52" s="9">
        <v>13393.82</v>
      </c>
      <c r="AC52" s="9">
        <v>18832.669999999998</v>
      </c>
      <c r="AD52" s="9">
        <v>1271.4100000000001</v>
      </c>
      <c r="AE52" s="9">
        <v>271.64999999999998</v>
      </c>
      <c r="AF52" s="9">
        <v>54.819999999999993</v>
      </c>
      <c r="AG52" s="9">
        <v>2.5099999999999998</v>
      </c>
      <c r="AH52" s="9"/>
      <c r="AI52" s="9">
        <v>1454.56</v>
      </c>
      <c r="AJ52" s="9">
        <v>3521.46</v>
      </c>
      <c r="AK52" s="9">
        <v>87707.060000000027</v>
      </c>
      <c r="AL52" s="9">
        <v>20808.84</v>
      </c>
      <c r="AM52" s="9">
        <v>81264.180000000022</v>
      </c>
      <c r="AN52" s="9">
        <v>15576.010000000004</v>
      </c>
      <c r="AO52" s="9">
        <v>1253405.6799999995</v>
      </c>
      <c r="AP52" s="9">
        <v>-1099833.5099999998</v>
      </c>
      <c r="AQ52" s="9">
        <v>21312.959999999999</v>
      </c>
      <c r="AR52" s="9">
        <v>2168341.6099999989</v>
      </c>
      <c r="AS52" s="9">
        <v>-223235.40000000011</v>
      </c>
      <c r="AT52" s="9">
        <v>619467.92000000004</v>
      </c>
      <c r="AU52" s="9">
        <v>928450.00999999966</v>
      </c>
      <c r="AV52" s="9">
        <v>-187202.88999999993</v>
      </c>
      <c r="AW52" s="9">
        <v>10571.739999999998</v>
      </c>
      <c r="AX52" s="9">
        <v>63359.459999999992</v>
      </c>
      <c r="AY52" s="9">
        <v>114679.72999999998</v>
      </c>
      <c r="AZ52" s="9">
        <v>389325.96000000014</v>
      </c>
      <c r="BA52" s="9">
        <v>581310.91</v>
      </c>
      <c r="BB52" s="9">
        <v>404272.05999999988</v>
      </c>
      <c r="BC52" s="7">
        <v>943661.40000000037</v>
      </c>
      <c r="BD52" s="9">
        <v>232989.35999999996</v>
      </c>
      <c r="BE52" s="9">
        <v>41961.599999999991</v>
      </c>
      <c r="BF52" s="9">
        <v>-3338.2299999999987</v>
      </c>
      <c r="BG52" s="9">
        <v>15972.649999999998</v>
      </c>
      <c r="BH52" s="9">
        <v>4100.7899999999991</v>
      </c>
      <c r="BI52" s="9">
        <v>1384.86</v>
      </c>
      <c r="BJ52" s="7">
        <v>330.44</v>
      </c>
      <c r="BK52" s="7">
        <v>0</v>
      </c>
      <c r="BL52" s="9">
        <v>-36899.22</v>
      </c>
      <c r="BM52" s="9">
        <v>14.4</v>
      </c>
      <c r="BN52" s="242"/>
      <c r="BO52" s="242"/>
      <c r="BP52" s="242"/>
      <c r="BQ52" s="9"/>
      <c r="BR52" s="9"/>
      <c r="BS52" s="9"/>
      <c r="BT52" s="9">
        <f t="shared" si="58"/>
        <v>6488563.2800000003</v>
      </c>
      <c r="BU52" s="240">
        <f t="shared" si="56"/>
        <v>0</v>
      </c>
      <c r="BW52" s="9">
        <f t="shared" si="57"/>
        <v>6488563.2800000003</v>
      </c>
      <c r="BX52" s="9">
        <f t="shared" si="59"/>
        <v>35281.440000000002</v>
      </c>
      <c r="CJ52" s="21"/>
      <c r="CR52" s="21"/>
    </row>
    <row r="53" spans="1:96">
      <c r="A53" s="10" t="s">
        <v>328</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v>951.53</v>
      </c>
      <c r="AK53" s="9">
        <v>737.31</v>
      </c>
      <c r="AL53" s="9">
        <v>1820.0600000000002</v>
      </c>
      <c r="AM53" s="9">
        <v>464.97</v>
      </c>
      <c r="AN53" s="9">
        <v>31.02</v>
      </c>
      <c r="AO53" s="9">
        <v>3.71</v>
      </c>
      <c r="AP53" s="9">
        <v>598.74</v>
      </c>
      <c r="AQ53" s="9">
        <v>1001.1399999999999</v>
      </c>
      <c r="AR53" s="9">
        <v>12545.96</v>
      </c>
      <c r="AS53" s="9">
        <v>866.47000000000014</v>
      </c>
      <c r="AT53" s="9">
        <v>3052.96</v>
      </c>
      <c r="AU53" s="9">
        <v>47.94</v>
      </c>
      <c r="AV53" s="9">
        <v>255.94</v>
      </c>
      <c r="AW53" s="9">
        <v>92.5</v>
      </c>
      <c r="AX53" s="9">
        <v>13.78</v>
      </c>
      <c r="AY53" s="9">
        <v>120.53</v>
      </c>
      <c r="AZ53" s="9">
        <v>72.83</v>
      </c>
      <c r="BA53" s="9">
        <v>13.2</v>
      </c>
      <c r="BB53" s="9">
        <v>6700.35</v>
      </c>
      <c r="BC53" s="7">
        <v>11850.250000000004</v>
      </c>
      <c r="BD53" s="9">
        <v>34762.07</v>
      </c>
      <c r="BE53" s="9">
        <v>85910.200000000026</v>
      </c>
      <c r="BF53" s="9">
        <v>6377.69</v>
      </c>
      <c r="BG53" s="9">
        <v>6105.1900000000014</v>
      </c>
      <c r="BH53" s="9">
        <v>365.74</v>
      </c>
      <c r="BI53" s="9">
        <v>152.26</v>
      </c>
      <c r="BJ53" s="7">
        <v>9.14</v>
      </c>
      <c r="BK53" s="7">
        <v>-9.14</v>
      </c>
      <c r="BL53" s="9"/>
      <c r="BM53" s="9"/>
      <c r="BN53" s="242"/>
      <c r="BO53" s="242"/>
      <c r="BP53" s="242"/>
      <c r="BQ53" s="9"/>
      <c r="BR53" s="9"/>
      <c r="BS53" s="9"/>
      <c r="BT53" s="9">
        <f t="shared" si="58"/>
        <v>174914.34000000003</v>
      </c>
      <c r="BU53" s="240">
        <f t="shared" si="56"/>
        <v>902.04000000003725</v>
      </c>
      <c r="BW53" s="9">
        <f t="shared" si="57"/>
        <v>174914.34000000003</v>
      </c>
      <c r="BX53" s="9">
        <f t="shared" si="59"/>
        <v>0</v>
      </c>
      <c r="CJ53" s="21"/>
      <c r="CR53" s="21"/>
    </row>
    <row r="54" spans="1:96">
      <c r="A54" s="10" t="s">
        <v>330</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v>106.49000000000001</v>
      </c>
      <c r="AL54" s="9">
        <v>568.51999999999987</v>
      </c>
      <c r="AM54" s="9">
        <v>153.12</v>
      </c>
      <c r="AN54" s="9">
        <v>16.45</v>
      </c>
      <c r="AO54" s="9">
        <v>1.27</v>
      </c>
      <c r="AP54" s="9">
        <v>0.73</v>
      </c>
      <c r="AQ54" s="9">
        <v>245.42</v>
      </c>
      <c r="AR54" s="9">
        <v>15.51</v>
      </c>
      <c r="AS54" s="9">
        <v>422.91</v>
      </c>
      <c r="AT54" s="9">
        <v>1843.5900000000001</v>
      </c>
      <c r="AU54" s="9">
        <v>285.89</v>
      </c>
      <c r="AV54" s="9">
        <v>14.899999999999999</v>
      </c>
      <c r="AW54" s="9">
        <v>676.68</v>
      </c>
      <c r="AX54" s="9">
        <v>4678.9399999999996</v>
      </c>
      <c r="AY54" s="9">
        <v>656.43</v>
      </c>
      <c r="AZ54" s="9">
        <v>776.43000000000006</v>
      </c>
      <c r="BA54" s="9">
        <v>9665.7900000000027</v>
      </c>
      <c r="BB54" s="9">
        <v>16277.390000000003</v>
      </c>
      <c r="BC54" s="7">
        <v>97397.85</v>
      </c>
      <c r="BD54" s="9">
        <v>8306.98</v>
      </c>
      <c r="BE54" s="9">
        <v>231.06999999999996</v>
      </c>
      <c r="BF54" s="9">
        <v>-3886.0000000000005</v>
      </c>
      <c r="BG54" s="9">
        <v>-972.65000000000009</v>
      </c>
      <c r="BH54" s="9">
        <v>139.07</v>
      </c>
      <c r="BI54" s="9">
        <v>11.57</v>
      </c>
      <c r="BJ54" s="7">
        <v>124.13</v>
      </c>
      <c r="BK54" s="7">
        <v>3.5300000000000002</v>
      </c>
      <c r="BL54" s="9"/>
      <c r="BM54" s="9"/>
      <c r="BN54" s="242"/>
      <c r="BO54" s="242"/>
      <c r="BP54" s="242"/>
      <c r="BQ54" s="9"/>
      <c r="BR54" s="9"/>
      <c r="BS54" s="9"/>
      <c r="BT54" s="9">
        <f t="shared" si="58"/>
        <v>137762.01000000004</v>
      </c>
      <c r="BU54" s="240">
        <f t="shared" si="56"/>
        <v>664.6600000000617</v>
      </c>
      <c r="BW54" s="9">
        <f t="shared" si="57"/>
        <v>137762.01000000004</v>
      </c>
      <c r="BX54" s="9">
        <f t="shared" si="59"/>
        <v>0</v>
      </c>
      <c r="CJ54" s="21"/>
      <c r="CR54" s="21"/>
    </row>
    <row r="55" spans="1:96">
      <c r="A55" s="4" t="s">
        <v>373</v>
      </c>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242">
        <v>210.98000000000002</v>
      </c>
      <c r="AL55" s="242">
        <v>3560.04</v>
      </c>
      <c r="AM55" s="242">
        <v>1071.49</v>
      </c>
      <c r="AN55" s="242">
        <v>881.8900000000001</v>
      </c>
      <c r="AO55" s="242">
        <v>258.69</v>
      </c>
      <c r="AP55" s="242">
        <v>625.91</v>
      </c>
      <c r="AQ55" s="242">
        <v>43.65</v>
      </c>
      <c r="AR55" s="242">
        <v>255.57000000000002</v>
      </c>
      <c r="AS55" s="242">
        <v>268.8</v>
      </c>
      <c r="AT55" s="242">
        <v>359.59999999999997</v>
      </c>
      <c r="AU55" s="242">
        <v>5007.74</v>
      </c>
      <c r="AV55" s="242">
        <v>-4893.79</v>
      </c>
      <c r="AW55" s="242">
        <v>7564.3300000000008</v>
      </c>
      <c r="AX55" s="242">
        <v>485.35999999999996</v>
      </c>
      <c r="AY55" s="242">
        <v>355.53000000000003</v>
      </c>
      <c r="AZ55" s="242">
        <v>23.13</v>
      </c>
      <c r="BA55" s="242">
        <v>325.45</v>
      </c>
      <c r="BB55" s="242">
        <v>730.95</v>
      </c>
      <c r="BC55" s="250">
        <v>714.94999999999993</v>
      </c>
      <c r="BD55" s="242">
        <v>17320.659999999996</v>
      </c>
      <c r="BE55" s="242">
        <v>48157.760000000002</v>
      </c>
      <c r="BF55" s="242">
        <v>5585.16</v>
      </c>
      <c r="BG55" s="242">
        <v>4031.77</v>
      </c>
      <c r="BH55" s="242">
        <v>275.3</v>
      </c>
      <c r="BI55" s="242">
        <v>289.24</v>
      </c>
      <c r="BJ55" s="250">
        <v>643</v>
      </c>
      <c r="BK55" s="250">
        <v>20150.139999999996</v>
      </c>
      <c r="BL55" s="242">
        <v>21425.649999999998</v>
      </c>
      <c r="BM55" s="242">
        <v>135446.43999999997</v>
      </c>
      <c r="BN55" s="242">
        <v>8495.9399999999987</v>
      </c>
      <c r="BO55" s="242">
        <v>-44020.099999999991</v>
      </c>
      <c r="BP55" s="242">
        <v>-2260.8599999999997</v>
      </c>
      <c r="BQ55" s="9"/>
      <c r="BR55" s="9"/>
      <c r="BS55" s="9"/>
      <c r="BT55" s="9">
        <f t="shared" si="58"/>
        <v>233390.37000000005</v>
      </c>
      <c r="BU55" s="240">
        <f t="shared" si="56"/>
        <v>15128.040000000066</v>
      </c>
      <c r="BW55" s="9">
        <f t="shared" si="57"/>
        <v>233390.37000000005</v>
      </c>
      <c r="BX55" s="9">
        <f t="shared" si="59"/>
        <v>0</v>
      </c>
      <c r="CJ55" s="21"/>
      <c r="CR55" s="21"/>
    </row>
    <row r="56" spans="1:96">
      <c r="A56" s="10" t="s">
        <v>304</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v>1747.4099999999999</v>
      </c>
      <c r="AN56" s="9">
        <v>1458.37</v>
      </c>
      <c r="AO56" s="9">
        <v>1052.6299999999999</v>
      </c>
      <c r="AP56" s="9">
        <v>7720.8</v>
      </c>
      <c r="AQ56" s="9">
        <v>30408.980000000003</v>
      </c>
      <c r="AR56" s="9">
        <v>5497.46</v>
      </c>
      <c r="AS56" s="9">
        <v>38179.989999999991</v>
      </c>
      <c r="AT56" s="9">
        <v>14624.73</v>
      </c>
      <c r="AU56" s="9">
        <v>139413.02999999997</v>
      </c>
      <c r="AV56" s="9">
        <v>7361.81</v>
      </c>
      <c r="AW56" s="9">
        <v>151.19</v>
      </c>
      <c r="AX56" s="9">
        <v>114.86000000000001</v>
      </c>
      <c r="AY56" s="9">
        <v>116.38999999999999</v>
      </c>
      <c r="AZ56" s="9">
        <v>680.49</v>
      </c>
      <c r="BA56" s="9">
        <v>142.18</v>
      </c>
      <c r="BB56" s="9">
        <v>573.19000000000005</v>
      </c>
      <c r="BC56" s="7">
        <v>141.65</v>
      </c>
      <c r="BD56" s="9">
        <v>114.21000000000001</v>
      </c>
      <c r="BE56" s="9"/>
      <c r="BF56" s="9"/>
      <c r="BG56" s="9"/>
      <c r="BH56" s="9"/>
      <c r="BI56" s="9">
        <v>-2280</v>
      </c>
      <c r="BJ56" s="7">
        <v>-136.80000000000001</v>
      </c>
      <c r="BK56" s="7">
        <v>136.80000000000001</v>
      </c>
      <c r="BL56" s="9"/>
      <c r="BM56" s="9"/>
      <c r="BN56" s="242"/>
      <c r="BO56" s="242"/>
      <c r="BP56" s="242"/>
      <c r="BQ56" s="9"/>
      <c r="BR56" s="9"/>
      <c r="BS56" s="9"/>
      <c r="BT56" s="9">
        <f t="shared" si="58"/>
        <v>247219.36999999994</v>
      </c>
      <c r="BU56" s="240">
        <f t="shared" si="56"/>
        <v>0</v>
      </c>
      <c r="BW56" s="9">
        <f t="shared" si="57"/>
        <v>247219.36999999994</v>
      </c>
      <c r="BX56" s="9">
        <f t="shared" si="59"/>
        <v>0</v>
      </c>
      <c r="CJ56" s="21"/>
      <c r="CR56" s="21"/>
    </row>
    <row r="57" spans="1:96">
      <c r="A57" t="s">
        <v>58</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v>2811.0499999999997</v>
      </c>
      <c r="AN57" s="9">
        <v>5506</v>
      </c>
      <c r="AO57" s="9">
        <v>10880.319999999998</v>
      </c>
      <c r="AP57" s="9">
        <v>4968.7400000000007</v>
      </c>
      <c r="AQ57" s="9">
        <v>6352.06</v>
      </c>
      <c r="AR57" s="9">
        <v>23006.44</v>
      </c>
      <c r="AS57" s="9">
        <v>302148.81000000006</v>
      </c>
      <c r="AT57" s="9">
        <v>1211504.1600000006</v>
      </c>
      <c r="AU57" s="9">
        <v>3695665.4699999997</v>
      </c>
      <c r="AV57" s="9">
        <v>-925880.5899999995</v>
      </c>
      <c r="AW57" s="9">
        <v>1926609.6199999994</v>
      </c>
      <c r="AX57" s="9">
        <v>2912373.08</v>
      </c>
      <c r="AY57" s="9">
        <v>1215644.4100000004</v>
      </c>
      <c r="AZ57" s="9">
        <v>2166333.2300000004</v>
      </c>
      <c r="BA57" s="9">
        <v>3770790.9999999981</v>
      </c>
      <c r="BB57" s="9">
        <v>798988.5500000004</v>
      </c>
      <c r="BC57" s="7">
        <v>1887450.7000000016</v>
      </c>
      <c r="BD57" s="9">
        <v>625471.01000000024</v>
      </c>
      <c r="BE57" s="9">
        <v>88308.680000000008</v>
      </c>
      <c r="BF57" s="9">
        <v>9945.24</v>
      </c>
      <c r="BG57" s="9">
        <v>22304.81</v>
      </c>
      <c r="BH57" s="9">
        <v>-3756.2499999999995</v>
      </c>
      <c r="BI57" s="9">
        <v>608.22</v>
      </c>
      <c r="BJ57" s="7">
        <v>3668.49</v>
      </c>
      <c r="BK57" s="7">
        <v>2154.4</v>
      </c>
      <c r="BL57" s="9">
        <v>-203204.23</v>
      </c>
      <c r="BM57" s="9"/>
      <c r="BN57" s="242"/>
      <c r="BO57" s="242"/>
      <c r="BP57" s="242"/>
      <c r="BQ57" s="9"/>
      <c r="BR57" s="9"/>
      <c r="BS57" s="9"/>
      <c r="BT57" s="9">
        <f t="shared" si="58"/>
        <v>19560653.419999994</v>
      </c>
      <c r="BU57" s="240">
        <f t="shared" si="56"/>
        <v>0</v>
      </c>
      <c r="BW57" s="9">
        <f t="shared" si="57"/>
        <v>19560653.419999994</v>
      </c>
      <c r="BX57" s="9">
        <f t="shared" si="59"/>
        <v>0</v>
      </c>
      <c r="CJ57" s="21"/>
      <c r="CR57" s="21"/>
    </row>
    <row r="58" spans="1:96">
      <c r="A58" t="s">
        <v>59</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v>47.27</v>
      </c>
      <c r="AN58" s="9">
        <v>3.31</v>
      </c>
      <c r="AO58" s="9">
        <v>1516.23</v>
      </c>
      <c r="AP58" s="9">
        <v>2342.6999999999998</v>
      </c>
      <c r="AQ58" s="9">
        <v>3720.26</v>
      </c>
      <c r="AR58" s="9">
        <v>26935.33</v>
      </c>
      <c r="AS58" s="9">
        <v>6761.06</v>
      </c>
      <c r="AT58" s="9">
        <v>30756.450000000004</v>
      </c>
      <c r="AU58" s="9">
        <v>42713.719999999994</v>
      </c>
      <c r="AV58" s="9">
        <v>12232.97</v>
      </c>
      <c r="AW58" s="9">
        <v>-2132.9100000000008</v>
      </c>
      <c r="AX58" s="9">
        <v>31632.04</v>
      </c>
      <c r="AY58" s="9">
        <v>134866.05000000002</v>
      </c>
      <c r="AZ58" s="9">
        <v>1412348.84</v>
      </c>
      <c r="BA58" s="9">
        <v>1973887.2600000005</v>
      </c>
      <c r="BB58" s="9">
        <v>793441.26000000013</v>
      </c>
      <c r="BC58" s="7">
        <v>988567.13999999978</v>
      </c>
      <c r="BD58" s="9">
        <v>351304.24999999983</v>
      </c>
      <c r="BE58" s="9">
        <v>56897.700000000004</v>
      </c>
      <c r="BF58" s="9">
        <v>74842.010000000009</v>
      </c>
      <c r="BG58" s="9">
        <v>16216.879999999997</v>
      </c>
      <c r="BH58" s="9">
        <v>2451.16</v>
      </c>
      <c r="BI58" s="9">
        <v>32590.34</v>
      </c>
      <c r="BJ58" s="7">
        <v>967.34000000000049</v>
      </c>
      <c r="BK58" s="7">
        <v>-58.949999999999996</v>
      </c>
      <c r="BL58" s="9">
        <v>-65319.179999999993</v>
      </c>
      <c r="BM58" s="9">
        <v>719.1</v>
      </c>
      <c r="BN58" s="242"/>
      <c r="BO58" s="242"/>
      <c r="BP58" s="242"/>
      <c r="BQ58" s="9"/>
      <c r="BR58" s="9"/>
      <c r="BS58" s="9"/>
      <c r="BT58" s="9">
        <f t="shared" si="58"/>
        <v>5930249.6299999999</v>
      </c>
      <c r="BU58" s="240">
        <f t="shared" si="56"/>
        <v>14552.419999999925</v>
      </c>
      <c r="BW58" s="9">
        <f t="shared" si="57"/>
        <v>5930249.6299999999</v>
      </c>
      <c r="BX58" s="9">
        <f t="shared" si="59"/>
        <v>0</v>
      </c>
      <c r="CJ58" s="21"/>
      <c r="CR58" s="21"/>
    </row>
    <row r="59" spans="1:96">
      <c r="A59" s="10" t="s">
        <v>305</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v>62.1</v>
      </c>
      <c r="AO59" s="9">
        <v>118.91999999999999</v>
      </c>
      <c r="AP59" s="9">
        <v>1262.8899999999999</v>
      </c>
      <c r="AQ59" s="9">
        <v>5624.7500000000009</v>
      </c>
      <c r="AR59" s="9">
        <v>12545.870000000003</v>
      </c>
      <c r="AS59" s="9">
        <v>32518.939999999995</v>
      </c>
      <c r="AT59" s="9">
        <v>33465.83</v>
      </c>
      <c r="AU59" s="9">
        <v>79049.050000000017</v>
      </c>
      <c r="AV59" s="9">
        <v>6716.7400000000016</v>
      </c>
      <c r="AW59" s="9">
        <v>246.01</v>
      </c>
      <c r="AX59" s="9">
        <v>1.72</v>
      </c>
      <c r="AY59" s="9"/>
      <c r="AZ59" s="9">
        <v>-85401.47</v>
      </c>
      <c r="BA59" s="9">
        <v>85401.47</v>
      </c>
      <c r="BB59" s="9"/>
      <c r="BC59" s="7"/>
      <c r="BD59" s="9"/>
      <c r="BE59" s="9"/>
      <c r="BF59" s="9"/>
      <c r="BG59" s="9"/>
      <c r="BH59" s="9"/>
      <c r="BI59" s="9"/>
      <c r="BJ59" s="7">
        <v>-6460.5</v>
      </c>
      <c r="BK59" s="7"/>
      <c r="BL59" s="9">
        <v>211.44</v>
      </c>
      <c r="BM59" s="9">
        <v>12.69</v>
      </c>
      <c r="BN59" s="242"/>
      <c r="BO59" s="242"/>
      <c r="BP59" s="242"/>
      <c r="BQ59" s="9"/>
      <c r="BR59" s="9"/>
      <c r="BS59" s="9"/>
      <c r="BT59" s="9">
        <f t="shared" si="58"/>
        <v>165376.45000000004</v>
      </c>
      <c r="BU59" s="240">
        <f t="shared" si="56"/>
        <v>0</v>
      </c>
      <c r="BW59" s="9">
        <f t="shared" si="57"/>
        <v>165376.45000000004</v>
      </c>
      <c r="BX59" s="9">
        <f t="shared" si="59"/>
        <v>0</v>
      </c>
      <c r="CJ59" s="21"/>
      <c r="CR59" s="21"/>
    </row>
    <row r="60" spans="1:96">
      <c r="A60" s="10" t="s">
        <v>359</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v>161.68</v>
      </c>
      <c r="AQ60" s="9">
        <v>939.93999999999994</v>
      </c>
      <c r="AR60" s="9">
        <v>1138.04</v>
      </c>
      <c r="AS60" s="9">
        <v>4697.17</v>
      </c>
      <c r="AT60" s="9">
        <v>981.23</v>
      </c>
      <c r="AU60" s="9">
        <v>222.56</v>
      </c>
      <c r="AV60" s="9">
        <v>505.59999999999997</v>
      </c>
      <c r="AW60" s="9">
        <v>28.439999999999998</v>
      </c>
      <c r="AX60" s="9">
        <v>846.29</v>
      </c>
      <c r="AY60" s="9">
        <v>-1453.3299999999997</v>
      </c>
      <c r="AZ60" s="9">
        <v>899.47</v>
      </c>
      <c r="BA60" s="9">
        <v>3016.5299999999997</v>
      </c>
      <c r="BB60" s="9">
        <v>7490.35</v>
      </c>
      <c r="BC60" s="7">
        <v>69423.51999999999</v>
      </c>
      <c r="BD60" s="9">
        <v>4746.87</v>
      </c>
      <c r="BE60" s="9">
        <v>143.4</v>
      </c>
      <c r="BF60" s="9">
        <v>16.03</v>
      </c>
      <c r="BG60" s="9">
        <v>4.34</v>
      </c>
      <c r="BH60" s="9">
        <v>0.25</v>
      </c>
      <c r="BI60" s="9">
        <v>223.53</v>
      </c>
      <c r="BJ60" s="7">
        <v>279.71000000000004</v>
      </c>
      <c r="BK60" s="7">
        <v>15.98</v>
      </c>
      <c r="BL60" s="9"/>
      <c r="BM60" s="9"/>
      <c r="BN60" s="242"/>
      <c r="BO60" s="242"/>
      <c r="BP60" s="242">
        <v>1894.72</v>
      </c>
      <c r="BQ60" s="9"/>
      <c r="BR60" s="9"/>
      <c r="BS60" s="9"/>
      <c r="BT60" s="9">
        <f t="shared" si="58"/>
        <v>96222.319999999978</v>
      </c>
      <c r="BU60" s="240">
        <f t="shared" si="56"/>
        <v>3269.6299999999756</v>
      </c>
      <c r="BW60" s="9">
        <f t="shared" si="57"/>
        <v>96222.319999999978</v>
      </c>
      <c r="BX60" s="9">
        <f t="shared" si="59"/>
        <v>0</v>
      </c>
      <c r="CJ60" s="21"/>
      <c r="CR60" s="21"/>
    </row>
    <row r="61" spans="1:96">
      <c r="A61" t="s">
        <v>60</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v>1850.02</v>
      </c>
      <c r="AW61" s="9">
        <v>947.30000000000007</v>
      </c>
      <c r="AX61" s="9">
        <v>8995.2999999999993</v>
      </c>
      <c r="AY61" s="9">
        <v>10847.36</v>
      </c>
      <c r="AZ61" s="9">
        <v>24775.7</v>
      </c>
      <c r="BA61" s="9">
        <v>1347.19</v>
      </c>
      <c r="BB61" s="9">
        <v>3032.05</v>
      </c>
      <c r="BC61" s="7">
        <v>69067.56</v>
      </c>
      <c r="BD61" s="9">
        <v>5268.4699999999993</v>
      </c>
      <c r="BE61" s="9">
        <v>5269.41</v>
      </c>
      <c r="BF61" s="9">
        <v>366.76</v>
      </c>
      <c r="BG61" s="9"/>
      <c r="BH61" s="9"/>
      <c r="BI61" s="9">
        <v>51.03</v>
      </c>
      <c r="BJ61" s="7">
        <v>153.38</v>
      </c>
      <c r="BK61" s="7">
        <v>9.0399999999967982</v>
      </c>
      <c r="BL61" s="9"/>
      <c r="BM61" s="9"/>
      <c r="BN61" s="242">
        <v>-0.02</v>
      </c>
      <c r="BO61" s="242"/>
      <c r="BP61" s="242"/>
      <c r="BQ61" s="9"/>
      <c r="BR61" s="9"/>
      <c r="BS61" s="9"/>
      <c r="BT61" s="9">
        <f t="shared" si="58"/>
        <v>131980.55000000005</v>
      </c>
      <c r="BU61" s="240">
        <f t="shared" si="56"/>
        <v>0</v>
      </c>
      <c r="BW61" s="9">
        <f t="shared" si="57"/>
        <v>131980.55000000005</v>
      </c>
      <c r="BX61" s="9">
        <f t="shared" si="59"/>
        <v>0</v>
      </c>
      <c r="CJ61" s="21"/>
      <c r="CR61" s="21"/>
    </row>
    <row r="62" spans="1:96">
      <c r="A62" t="s">
        <v>61</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v>1651.6200000000001</v>
      </c>
      <c r="AQ62" s="9">
        <v>372.62</v>
      </c>
      <c r="AR62" s="9">
        <v>3005.8</v>
      </c>
      <c r="AS62" s="9">
        <v>3377.69</v>
      </c>
      <c r="AT62" s="9">
        <v>27703.26</v>
      </c>
      <c r="AU62" s="9">
        <v>399269.60000000009</v>
      </c>
      <c r="AV62" s="9">
        <v>144561.22</v>
      </c>
      <c r="AW62" s="9">
        <v>647557.49</v>
      </c>
      <c r="AX62" s="9">
        <v>819188.62</v>
      </c>
      <c r="AY62" s="9">
        <v>239871.96000000008</v>
      </c>
      <c r="AZ62" s="9">
        <v>-2365.7799999999979</v>
      </c>
      <c r="BA62" s="9">
        <v>67525.78</v>
      </c>
      <c r="BB62" s="9">
        <v>68404.019999999917</v>
      </c>
      <c r="BC62" s="7">
        <v>82178.039999999994</v>
      </c>
      <c r="BD62" s="9">
        <v>17572.910000000003</v>
      </c>
      <c r="BE62" s="9">
        <v>-3536.63</v>
      </c>
      <c r="BF62" s="9">
        <v>368.9200000000003</v>
      </c>
      <c r="BG62" s="9">
        <v>6246.22</v>
      </c>
      <c r="BH62" s="9">
        <v>1476.5800000000002</v>
      </c>
      <c r="BI62" s="9">
        <v>7076.27</v>
      </c>
      <c r="BJ62" s="7">
        <v>335.91</v>
      </c>
      <c r="BK62" s="7">
        <v>-4.41</v>
      </c>
      <c r="BL62" s="9">
        <v>-28117.05</v>
      </c>
      <c r="BM62" s="9">
        <v>-17.29</v>
      </c>
      <c r="BN62" s="242">
        <v>-2230.44</v>
      </c>
      <c r="BO62" s="242">
        <v>-89.22</v>
      </c>
      <c r="BP62" s="242"/>
      <c r="BQ62" s="9"/>
      <c r="BR62" s="9"/>
      <c r="BS62" s="9"/>
      <c r="BT62" s="9">
        <f t="shared" si="58"/>
        <v>2501383.7100000004</v>
      </c>
      <c r="BU62" s="240">
        <f t="shared" si="56"/>
        <v>0</v>
      </c>
      <c r="BW62" s="9">
        <f t="shared" si="57"/>
        <v>2501383.7100000004</v>
      </c>
      <c r="BX62" s="9">
        <f t="shared" si="59"/>
        <v>0</v>
      </c>
      <c r="CJ62" s="21"/>
      <c r="CR62" s="21"/>
    </row>
    <row r="63" spans="1:96">
      <c r="A63" s="10" t="s">
        <v>307</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v>3239.78</v>
      </c>
      <c r="AV63" s="9">
        <v>162.74</v>
      </c>
      <c r="AW63" s="9">
        <v>36108.289999999994</v>
      </c>
      <c r="AX63" s="9">
        <v>2145.66</v>
      </c>
      <c r="AY63" s="9">
        <v>2398.3899999999994</v>
      </c>
      <c r="AZ63" s="9">
        <v>11330.53</v>
      </c>
      <c r="BA63" s="9">
        <v>3162.4500000000003</v>
      </c>
      <c r="BB63" s="9">
        <v>14678.43</v>
      </c>
      <c r="BC63" s="7">
        <v>14968.77</v>
      </c>
      <c r="BD63" s="9">
        <v>7236.2200000000012</v>
      </c>
      <c r="BE63" s="9">
        <v>57997.770000000004</v>
      </c>
      <c r="BF63" s="9">
        <v>2860.58</v>
      </c>
      <c r="BG63" s="9">
        <v>8.83</v>
      </c>
      <c r="BH63" s="9">
        <v>1.93</v>
      </c>
      <c r="BI63" s="9"/>
      <c r="BJ63" s="7">
        <v>-32.99</v>
      </c>
      <c r="BK63" s="7"/>
      <c r="BL63" s="9"/>
      <c r="BM63" s="9"/>
      <c r="BN63" s="242"/>
      <c r="BO63" s="242"/>
      <c r="BP63" s="242"/>
      <c r="BQ63" s="9"/>
      <c r="BR63" s="9"/>
      <c r="BS63" s="9"/>
      <c r="BT63" s="9">
        <f t="shared" si="58"/>
        <v>156267.37999999998</v>
      </c>
      <c r="BU63" s="240">
        <f t="shared" si="56"/>
        <v>0</v>
      </c>
      <c r="BW63" s="9">
        <f t="shared" si="57"/>
        <v>156267.37999999998</v>
      </c>
      <c r="BX63" s="9">
        <f t="shared" si="59"/>
        <v>0</v>
      </c>
      <c r="CJ63" s="21"/>
      <c r="CR63" s="21"/>
    </row>
    <row r="64" spans="1:96">
      <c r="A64" s="10" t="s">
        <v>310</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v>1734.6399999999999</v>
      </c>
      <c r="AU64" s="9">
        <v>2709903.83</v>
      </c>
      <c r="AV64" s="9">
        <v>-2097238.669999999</v>
      </c>
      <c r="AW64" s="9">
        <v>420803.73999999982</v>
      </c>
      <c r="AX64" s="9">
        <v>3184091.8800000008</v>
      </c>
      <c r="AY64" s="9">
        <v>-1268982.4799999997</v>
      </c>
      <c r="AZ64" s="9">
        <v>603056.71999999962</v>
      </c>
      <c r="BA64" s="9">
        <v>2338087.8000000003</v>
      </c>
      <c r="BB64" s="9">
        <v>-776915.42000000027</v>
      </c>
      <c r="BC64" s="7">
        <v>2283080.4299999997</v>
      </c>
      <c r="BD64" s="9">
        <v>5365211.5599999987</v>
      </c>
      <c r="BE64" s="9">
        <v>3131300.0900000022</v>
      </c>
      <c r="BF64" s="9">
        <v>4892757.6100000022</v>
      </c>
      <c r="BG64" s="9">
        <v>5843809.9399999958</v>
      </c>
      <c r="BH64" s="9">
        <v>801436.49000000022</v>
      </c>
      <c r="BI64" s="9">
        <v>1187762.6299999997</v>
      </c>
      <c r="BJ64" s="7">
        <v>1832597.4699999995</v>
      </c>
      <c r="BK64" s="7">
        <v>60811.610000000073</v>
      </c>
      <c r="BL64" s="9">
        <v>137871.73999999996</v>
      </c>
      <c r="BM64" s="9">
        <v>1288026.5900000001</v>
      </c>
      <c r="BN64" s="242">
        <v>442220.19999999995</v>
      </c>
      <c r="BO64" s="242">
        <v>196148.66999999995</v>
      </c>
      <c r="BP64" s="242">
        <v>760643.49999999977</v>
      </c>
      <c r="BQ64" s="9"/>
      <c r="BR64" s="9"/>
      <c r="BS64" s="9"/>
      <c r="BT64" s="9">
        <f t="shared" si="58"/>
        <v>33338220.57</v>
      </c>
      <c r="BU64" s="240">
        <f t="shared" si="56"/>
        <v>199142.33999999985</v>
      </c>
      <c r="BW64" s="9">
        <f t="shared" si="57"/>
        <v>33338220.57</v>
      </c>
      <c r="BX64" s="9">
        <f t="shared" si="59"/>
        <v>0</v>
      </c>
      <c r="CJ64" s="21"/>
      <c r="CR64" s="21"/>
    </row>
    <row r="65" spans="1:96">
      <c r="A65" s="10" t="s">
        <v>306</v>
      </c>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v>1714.4299999999998</v>
      </c>
      <c r="AU65" s="9">
        <v>7437.2000000000007</v>
      </c>
      <c r="AV65" s="9">
        <v>14424.23</v>
      </c>
      <c r="AW65" s="9">
        <v>1149.4400000000003</v>
      </c>
      <c r="AX65" s="9">
        <v>660.77</v>
      </c>
      <c r="AY65" s="9">
        <v>28209.960000000003</v>
      </c>
      <c r="AZ65" s="9">
        <v>4358.7299999999996</v>
      </c>
      <c r="BA65" s="9">
        <v>48980.61</v>
      </c>
      <c r="BB65" s="9">
        <v>10108.129999999999</v>
      </c>
      <c r="BC65" s="7">
        <v>17379.169999999998</v>
      </c>
      <c r="BD65" s="9">
        <v>10193.630000000003</v>
      </c>
      <c r="BE65" s="9">
        <v>63549.75</v>
      </c>
      <c r="BF65" s="9">
        <v>4412.46</v>
      </c>
      <c r="BG65" s="9">
        <v>21.78</v>
      </c>
      <c r="BH65" s="9">
        <v>40.33</v>
      </c>
      <c r="BI65" s="9">
        <v>215.5</v>
      </c>
      <c r="BJ65" s="7">
        <v>12.79</v>
      </c>
      <c r="BK65" s="7">
        <v>-12.79</v>
      </c>
      <c r="BL65" s="9"/>
      <c r="BM65" s="9"/>
      <c r="BN65" s="242"/>
      <c r="BO65" s="242"/>
      <c r="BP65" s="242"/>
      <c r="BQ65" s="9"/>
      <c r="BR65" s="9"/>
      <c r="BS65" s="9"/>
      <c r="BT65" s="9">
        <f t="shared" si="58"/>
        <v>212856.11999999997</v>
      </c>
      <c r="BU65" s="240">
        <f t="shared" si="56"/>
        <v>531.60999999995693</v>
      </c>
      <c r="BW65" s="9">
        <f t="shared" si="57"/>
        <v>212856.11999999997</v>
      </c>
      <c r="BX65" s="9">
        <f t="shared" si="59"/>
        <v>0</v>
      </c>
      <c r="CJ65" s="21"/>
      <c r="CR65" s="21"/>
    </row>
    <row r="66" spans="1:96">
      <c r="A66" s="10" t="s">
        <v>331</v>
      </c>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v>1985.3100000000002</v>
      </c>
      <c r="AW66" s="9">
        <v>424.42</v>
      </c>
      <c r="AX66" s="9">
        <v>1055.6599999999999</v>
      </c>
      <c r="AY66" s="9">
        <v>27191.08</v>
      </c>
      <c r="AZ66" s="9">
        <v>18426.68</v>
      </c>
      <c r="BA66" s="9">
        <v>11518.29</v>
      </c>
      <c r="BB66" s="9">
        <v>8553.7900000000009</v>
      </c>
      <c r="BC66" s="7">
        <v>11245.370000000003</v>
      </c>
      <c r="BD66" s="9">
        <v>36281.24</v>
      </c>
      <c r="BE66" s="9">
        <v>6137.8100000000013</v>
      </c>
      <c r="BF66" s="9">
        <v>66296.87</v>
      </c>
      <c r="BG66" s="9">
        <v>2626.0699999999997</v>
      </c>
      <c r="BH66" s="9">
        <v>78.37</v>
      </c>
      <c r="BI66" s="9"/>
      <c r="BJ66" s="7">
        <v>173.66000000000003</v>
      </c>
      <c r="BK66" s="7">
        <v>10.42</v>
      </c>
      <c r="BL66" s="9"/>
      <c r="BM66" s="9"/>
      <c r="BN66" s="242"/>
      <c r="BO66" s="242"/>
      <c r="BP66" s="242"/>
      <c r="BQ66" s="9"/>
      <c r="BR66" s="9"/>
      <c r="BS66" s="9"/>
      <c r="BT66" s="9">
        <f t="shared" si="58"/>
        <v>192005.04</v>
      </c>
      <c r="BU66" s="240">
        <f t="shared" si="56"/>
        <v>18039.25</v>
      </c>
      <c r="BW66" s="9">
        <f t="shared" si="57"/>
        <v>192005.04</v>
      </c>
      <c r="BX66" s="9">
        <f t="shared" si="59"/>
        <v>0</v>
      </c>
      <c r="CJ66" s="21"/>
      <c r="CR66" s="21"/>
    </row>
    <row r="67" spans="1:96">
      <c r="A67" s="10" t="s">
        <v>332</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v>561.20000000000005</v>
      </c>
      <c r="AW67" s="9">
        <v>91.38</v>
      </c>
      <c r="AX67" s="9">
        <v>5323.4800000000005</v>
      </c>
      <c r="AY67" s="9">
        <v>870.56</v>
      </c>
      <c r="AZ67" s="9">
        <v>308.17</v>
      </c>
      <c r="BA67" s="9">
        <v>38550.050000000003</v>
      </c>
      <c r="BB67" s="9">
        <v>3216.25</v>
      </c>
      <c r="BC67" s="7">
        <v>1689.4099999999999</v>
      </c>
      <c r="BD67" s="9">
        <v>135.68</v>
      </c>
      <c r="BE67" s="9">
        <v>117.05000000000001</v>
      </c>
      <c r="BF67" s="9">
        <v>7.43</v>
      </c>
      <c r="BG67" s="9">
        <v>3.9399999999999995</v>
      </c>
      <c r="BH67" s="9">
        <v>38.709999999999994</v>
      </c>
      <c r="BI67" s="9">
        <v>2.31</v>
      </c>
      <c r="BJ67" s="7">
        <v>-44.94</v>
      </c>
      <c r="BK67" s="7"/>
      <c r="BL67" s="9"/>
      <c r="BM67" s="9"/>
      <c r="BN67" s="242"/>
      <c r="BO67" s="242"/>
      <c r="BP67" s="242"/>
      <c r="BQ67" s="9"/>
      <c r="BR67" s="9"/>
      <c r="BS67" s="9"/>
      <c r="BT67" s="9">
        <f t="shared" si="58"/>
        <v>50870.68</v>
      </c>
      <c r="BU67" s="240">
        <f t="shared" si="56"/>
        <v>425.25</v>
      </c>
      <c r="BW67" s="9">
        <f t="shared" si="57"/>
        <v>50870.68</v>
      </c>
      <c r="BX67" s="9">
        <f t="shared" si="59"/>
        <v>0</v>
      </c>
      <c r="CJ67" s="21"/>
      <c r="CR67" s="21"/>
    </row>
    <row r="68" spans="1:96">
      <c r="A68" s="241" t="s">
        <v>375</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v>642.04</v>
      </c>
      <c r="AX68" s="9">
        <v>5616.6600000000008</v>
      </c>
      <c r="AY68" s="9">
        <v>25906.649999999994</v>
      </c>
      <c r="AZ68" s="9">
        <v>6980.36</v>
      </c>
      <c r="BA68" s="9">
        <v>11364.48</v>
      </c>
      <c r="BB68" s="9">
        <v>3047.93</v>
      </c>
      <c r="BC68" s="7">
        <v>5259.4900000000007</v>
      </c>
      <c r="BD68" s="9">
        <v>8028.19</v>
      </c>
      <c r="BE68" s="9">
        <v>16120.07</v>
      </c>
      <c r="BF68" s="9">
        <v>25255.370000000003</v>
      </c>
      <c r="BG68" s="9">
        <v>78767.379999999976</v>
      </c>
      <c r="BH68" s="9">
        <v>284609.92999999988</v>
      </c>
      <c r="BI68" s="9">
        <v>69570.63</v>
      </c>
      <c r="BJ68" s="7">
        <v>877972.05999999994</v>
      </c>
      <c r="BK68" s="7">
        <v>-594999.64000000013</v>
      </c>
      <c r="BL68" s="9">
        <v>456092.06000000006</v>
      </c>
      <c r="BM68" s="9">
        <v>2024142.19</v>
      </c>
      <c r="BN68" s="242">
        <v>32222.060000000318</v>
      </c>
      <c r="BO68" s="242">
        <v>3818386.5200000009</v>
      </c>
      <c r="BP68" s="242">
        <v>4382000.0599999968</v>
      </c>
      <c r="BQ68" s="9"/>
      <c r="BR68" s="9"/>
      <c r="BS68" s="9"/>
      <c r="BT68" s="9">
        <f t="shared" si="58"/>
        <v>11536984.489999998</v>
      </c>
      <c r="BU68" s="240">
        <f t="shared" si="56"/>
        <v>-549518.17000000179</v>
      </c>
      <c r="BW68" s="9">
        <f t="shared" si="57"/>
        <v>11536984.489999998</v>
      </c>
      <c r="BX68" s="9">
        <f t="shared" si="59"/>
        <v>0</v>
      </c>
      <c r="CJ68" s="21"/>
      <c r="CR68" s="21"/>
    </row>
    <row r="69" spans="1:96">
      <c r="A69" s="10" t="s">
        <v>329</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v>115.66</v>
      </c>
      <c r="AX69" s="9">
        <v>1632.6299999999999</v>
      </c>
      <c r="AY69" s="9">
        <v>2485.1400000000003</v>
      </c>
      <c r="AZ69" s="9">
        <v>7695.71</v>
      </c>
      <c r="BA69" s="9">
        <v>21071.4</v>
      </c>
      <c r="BB69" s="9">
        <v>30421.85</v>
      </c>
      <c r="BC69" s="7">
        <v>136711.76999999996</v>
      </c>
      <c r="BD69" s="9">
        <v>227203.86000000002</v>
      </c>
      <c r="BE69" s="9">
        <v>55403.51</v>
      </c>
      <c r="BF69" s="9">
        <v>196341.88</v>
      </c>
      <c r="BG69" s="9">
        <v>200126.29</v>
      </c>
      <c r="BH69" s="9">
        <v>-66996.260000000009</v>
      </c>
      <c r="BI69" s="9">
        <v>17400.11</v>
      </c>
      <c r="BJ69" s="7">
        <v>20101.189999999999</v>
      </c>
      <c r="BK69" s="7">
        <v>82911.050000000017</v>
      </c>
      <c r="BL69" s="9">
        <v>522697.06999999995</v>
      </c>
      <c r="BM69" s="9">
        <v>592585.94000000018</v>
      </c>
      <c r="BN69" s="242">
        <v>151430.37000000005</v>
      </c>
      <c r="BO69" s="242">
        <v>218705.62000000002</v>
      </c>
      <c r="BP69" s="242">
        <v>22501.430000000004</v>
      </c>
      <c r="BQ69" s="9"/>
      <c r="BR69" s="9"/>
      <c r="BS69" s="9"/>
      <c r="BT69" s="9">
        <f t="shared" si="58"/>
        <v>2440546.2200000002</v>
      </c>
      <c r="BU69" s="240">
        <f t="shared" si="56"/>
        <v>8642.0000000004657</v>
      </c>
      <c r="BW69" s="9">
        <f t="shared" si="57"/>
        <v>2440546.2200000002</v>
      </c>
      <c r="BX69" s="9">
        <f t="shared" si="59"/>
        <v>0</v>
      </c>
      <c r="CJ69" s="21"/>
      <c r="CR69" s="21"/>
    </row>
    <row r="70" spans="1:96">
      <c r="A70" s="10" t="s">
        <v>326</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7">
        <v>3079.84</v>
      </c>
      <c r="BD70" s="9">
        <v>674.58</v>
      </c>
      <c r="BE70" s="9">
        <v>33.659999999999997</v>
      </c>
      <c r="BF70" s="9">
        <v>1.74</v>
      </c>
      <c r="BG70" s="9">
        <v>16559.740000000002</v>
      </c>
      <c r="BH70" s="9">
        <v>52728.99</v>
      </c>
      <c r="BI70" s="9">
        <v>277704.13</v>
      </c>
      <c r="BJ70" s="7">
        <v>66471.650000000009</v>
      </c>
      <c r="BK70" s="7">
        <v>63267.64</v>
      </c>
      <c r="BL70" s="9">
        <v>3761.0499999999997</v>
      </c>
      <c r="BM70" s="9">
        <v>25101.830000000005</v>
      </c>
      <c r="BN70" s="242">
        <v>27182.67</v>
      </c>
      <c r="BO70" s="242">
        <v>60412.200000000004</v>
      </c>
      <c r="BP70" s="242">
        <v>12400.060000000001</v>
      </c>
      <c r="BQ70" s="9"/>
      <c r="BR70" s="9"/>
      <c r="BS70" s="9"/>
      <c r="BT70" s="9">
        <f t="shared" si="58"/>
        <v>609379.78</v>
      </c>
      <c r="BU70" s="240">
        <f t="shared" si="56"/>
        <v>1274.9100000000326</v>
      </c>
      <c r="BW70" s="9">
        <f t="shared" si="57"/>
        <v>609379.78</v>
      </c>
      <c r="BX70" s="9">
        <f t="shared" si="59"/>
        <v>0</v>
      </c>
      <c r="CJ70" s="21"/>
      <c r="CR70" s="21"/>
    </row>
    <row r="71" spans="1:96">
      <c r="A71" s="10" t="s">
        <v>325</v>
      </c>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v>249.89999999999998</v>
      </c>
      <c r="AY71" s="9">
        <v>12.56</v>
      </c>
      <c r="AZ71" s="9">
        <v>-262.34000000000003</v>
      </c>
      <c r="BA71" s="9">
        <v>194.04</v>
      </c>
      <c r="BB71" s="9"/>
      <c r="BC71" s="7"/>
      <c r="BD71" s="9">
        <v>40369.860000000008</v>
      </c>
      <c r="BE71" s="9">
        <v>16142.490000000002</v>
      </c>
      <c r="BF71" s="9">
        <v>7141.9100000000017</v>
      </c>
      <c r="BG71" s="9">
        <v>44331.950000000004</v>
      </c>
      <c r="BH71" s="9">
        <v>-3750.7000000000003</v>
      </c>
      <c r="BI71" s="9">
        <v>378.71000000000004</v>
      </c>
      <c r="BJ71" s="7">
        <v>-157.78</v>
      </c>
      <c r="BK71" s="7">
        <v>23.970000000000002</v>
      </c>
      <c r="BL71" s="9">
        <v>35.53</v>
      </c>
      <c r="BM71" s="9"/>
      <c r="BN71" s="242"/>
      <c r="BO71" s="242"/>
      <c r="BP71" s="242">
        <v>135</v>
      </c>
      <c r="BQ71" s="9"/>
      <c r="BR71" s="9"/>
      <c r="BS71" s="9"/>
      <c r="BT71" s="9">
        <f t="shared" si="58"/>
        <v>104845.10000000003</v>
      </c>
      <c r="BU71" s="240">
        <f t="shared" si="56"/>
        <v>135.0000000000291</v>
      </c>
      <c r="BW71" s="9">
        <f t="shared" si="57"/>
        <v>104845.10000000003</v>
      </c>
      <c r="BX71" s="9">
        <f t="shared" si="59"/>
        <v>0</v>
      </c>
      <c r="CJ71" s="21"/>
      <c r="CR71" s="21"/>
    </row>
    <row r="72" spans="1:96">
      <c r="A72" s="10" t="s">
        <v>327</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v>1563.9300000000003</v>
      </c>
      <c r="AZ72" s="9">
        <v>83157.209999999992</v>
      </c>
      <c r="BA72" s="9">
        <v>7809.9300000000012</v>
      </c>
      <c r="BB72" s="9">
        <v>258.92999999999995</v>
      </c>
      <c r="BC72" s="7">
        <v>2830.11</v>
      </c>
      <c r="BD72" s="9">
        <v>8369.8700000000008</v>
      </c>
      <c r="BE72" s="9">
        <v>34544.180000000008</v>
      </c>
      <c r="BF72" s="9">
        <v>34599.46</v>
      </c>
      <c r="BG72" s="9">
        <v>74944.56</v>
      </c>
      <c r="BH72" s="9">
        <v>4980.2</v>
      </c>
      <c r="BI72" s="9">
        <v>99.639999999999986</v>
      </c>
      <c r="BJ72" s="7">
        <v>82.649999999999991</v>
      </c>
      <c r="BK72" s="7">
        <v>85106.46</v>
      </c>
      <c r="BL72" s="9">
        <v>5201.5899999999992</v>
      </c>
      <c r="BM72" s="9"/>
      <c r="BN72" s="242"/>
      <c r="BO72" s="242">
        <v>535.59</v>
      </c>
      <c r="BP72" s="242">
        <v>583.24</v>
      </c>
      <c r="BQ72" s="9"/>
      <c r="BR72" s="9"/>
      <c r="BS72" s="9"/>
      <c r="BT72" s="9">
        <f t="shared" si="58"/>
        <v>344667.55000000005</v>
      </c>
      <c r="BU72" s="240">
        <f t="shared" si="56"/>
        <v>561.82000000006519</v>
      </c>
      <c r="BW72" s="9">
        <f t="shared" si="57"/>
        <v>344667.55000000005</v>
      </c>
      <c r="BX72" s="9">
        <f t="shared" si="59"/>
        <v>0</v>
      </c>
      <c r="CJ72" s="21"/>
      <c r="CR72" s="21"/>
    </row>
    <row r="73" spans="1:96">
      <c r="A73" s="10" t="s">
        <v>333</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v>104.03000000000002</v>
      </c>
      <c r="AY73" s="9">
        <v>33532.039999999994</v>
      </c>
      <c r="AZ73" s="9">
        <v>5272.1900000000005</v>
      </c>
      <c r="BA73" s="9">
        <v>8510.41</v>
      </c>
      <c r="BB73" s="9">
        <v>3938.52</v>
      </c>
      <c r="BC73" s="7">
        <v>1563.1699999999998</v>
      </c>
      <c r="BD73" s="9">
        <v>38943.30000000001</v>
      </c>
      <c r="BE73" s="9">
        <v>28705.610000000008</v>
      </c>
      <c r="BF73" s="9">
        <v>-1570.5400000000011</v>
      </c>
      <c r="BG73" s="9">
        <v>52788.43</v>
      </c>
      <c r="BH73" s="9">
        <v>-4534.2499999999991</v>
      </c>
      <c r="BI73" s="9">
        <v>-462.38</v>
      </c>
      <c r="BJ73" s="7">
        <v>-691.12</v>
      </c>
      <c r="BK73" s="7">
        <v>-41.47</v>
      </c>
      <c r="BL73" s="9">
        <v>-13.77</v>
      </c>
      <c r="BM73" s="9">
        <v>150.91</v>
      </c>
      <c r="BN73" s="242"/>
      <c r="BO73" s="242"/>
      <c r="BP73" s="242"/>
      <c r="BQ73" s="9"/>
      <c r="BR73" s="9"/>
      <c r="BS73" s="9"/>
      <c r="BT73" s="9">
        <f t="shared" si="58"/>
        <v>166195.08000000002</v>
      </c>
      <c r="BU73" s="240">
        <f t="shared" si="56"/>
        <v>14454.619999999995</v>
      </c>
      <c r="BW73" s="9">
        <f t="shared" si="57"/>
        <v>166195.08000000002</v>
      </c>
      <c r="BX73" s="9">
        <f t="shared" si="59"/>
        <v>0</v>
      </c>
      <c r="CJ73" s="21"/>
      <c r="CR73" s="21"/>
    </row>
    <row r="74" spans="1:96">
      <c r="A74" s="4" t="s">
        <v>372</v>
      </c>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7">
        <v>2325.4700000000003</v>
      </c>
      <c r="BB74" s="7">
        <v>158.65</v>
      </c>
      <c r="BC74" s="7">
        <v>41248.520000000004</v>
      </c>
      <c r="BD74" s="7">
        <v>60080.91</v>
      </c>
      <c r="BE74" s="7">
        <v>61156.030000000006</v>
      </c>
      <c r="BF74" s="7">
        <v>94361.609999999971</v>
      </c>
      <c r="BG74" s="7">
        <v>3231554.4900000007</v>
      </c>
      <c r="BH74" s="7">
        <v>-1724056.5399999984</v>
      </c>
      <c r="BI74" s="7">
        <v>3546936.0900000003</v>
      </c>
      <c r="BJ74" s="7">
        <v>8491280.1900000013</v>
      </c>
      <c r="BK74" s="7">
        <v>2032400.5600000003</v>
      </c>
      <c r="BL74" s="7">
        <v>4929806.7999999989</v>
      </c>
      <c r="BM74" s="7">
        <v>6049450.3899999987</v>
      </c>
      <c r="BN74" s="250">
        <v>-395786.12999999931</v>
      </c>
      <c r="BO74" s="250">
        <v>1506321.34</v>
      </c>
      <c r="BP74" s="250">
        <v>943610.79999999946</v>
      </c>
      <c r="BQ74" s="9"/>
      <c r="BR74" s="9"/>
      <c r="BS74" s="9"/>
      <c r="BT74" s="9">
        <f t="shared" si="58"/>
        <v>28870849.180000003</v>
      </c>
      <c r="BU74" s="240">
        <f t="shared" si="56"/>
        <v>415627.80000000447</v>
      </c>
      <c r="BW74" s="9">
        <f t="shared" si="57"/>
        <v>28870849.180000003</v>
      </c>
      <c r="BX74" s="9">
        <f t="shared" si="59"/>
        <v>0</v>
      </c>
      <c r="CJ74" s="21"/>
      <c r="CR74" s="21"/>
    </row>
    <row r="75" spans="1:96">
      <c r="A75" s="10" t="s">
        <v>334</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v>28090.210000000003</v>
      </c>
      <c r="BA75" s="9">
        <v>4919.2800000000007</v>
      </c>
      <c r="BB75" s="9">
        <v>14315.11</v>
      </c>
      <c r="BC75" s="7">
        <v>3824.94</v>
      </c>
      <c r="BD75" s="9">
        <v>5619.1299999999992</v>
      </c>
      <c r="BE75" s="9">
        <v>8722.880000000001</v>
      </c>
      <c r="BF75" s="9">
        <v>79980.389999999985</v>
      </c>
      <c r="BG75" s="9">
        <v>-33185.139999999992</v>
      </c>
      <c r="BH75" s="9">
        <v>-1825.2700000000002</v>
      </c>
      <c r="BI75" s="9">
        <v>6596.0300000000007</v>
      </c>
      <c r="BJ75" s="7">
        <v>563.51</v>
      </c>
      <c r="BK75" s="7">
        <v>256.19</v>
      </c>
      <c r="BL75" s="9">
        <v>1.0600000000000005</v>
      </c>
      <c r="BM75" s="9">
        <v>124.42</v>
      </c>
      <c r="BN75" s="242"/>
      <c r="BO75" s="242"/>
      <c r="BP75" s="242"/>
      <c r="BQ75" s="9"/>
      <c r="BR75" s="9"/>
      <c r="BS75" s="9"/>
      <c r="BT75" s="9">
        <f t="shared" si="58"/>
        <v>118002.74</v>
      </c>
      <c r="BU75" s="240">
        <f t="shared" si="56"/>
        <v>55922.05000000001</v>
      </c>
      <c r="BW75" s="9">
        <f t="shared" si="57"/>
        <v>118002.74</v>
      </c>
      <c r="BX75" s="9">
        <f t="shared" si="59"/>
        <v>0</v>
      </c>
      <c r="CJ75" s="21"/>
      <c r="CR75" s="21"/>
    </row>
    <row r="76" spans="1:96">
      <c r="A76" s="10" t="s">
        <v>360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v>5628.52</v>
      </c>
      <c r="BB76" s="9">
        <v>48910.259999999995</v>
      </c>
      <c r="BC76" s="7">
        <v>3595.52</v>
      </c>
      <c r="BD76" s="9">
        <v>40311.26</v>
      </c>
      <c r="BE76" s="9">
        <v>13698.64</v>
      </c>
      <c r="BF76" s="9">
        <v>1310.74</v>
      </c>
      <c r="BG76" s="9">
        <v>11866.21</v>
      </c>
      <c r="BH76" s="9">
        <v>6223.9600000000009</v>
      </c>
      <c r="BI76" s="9">
        <v>-3392.69</v>
      </c>
      <c r="BJ76" s="7">
        <v>1742.1400000000003</v>
      </c>
      <c r="BK76" s="7">
        <v>4985.6399999999994</v>
      </c>
      <c r="BL76" s="9">
        <v>3742.57</v>
      </c>
      <c r="BM76" s="9">
        <v>514.44999999999993</v>
      </c>
      <c r="BN76" s="242">
        <v>10.889999999999999</v>
      </c>
      <c r="BO76" s="242">
        <v>-69.739999999999995</v>
      </c>
      <c r="BP76" s="242"/>
      <c r="BQ76" s="9"/>
      <c r="BR76" s="9"/>
      <c r="BS76" s="9"/>
      <c r="BT76" s="9">
        <f t="shared" si="58"/>
        <v>139078.37000000002</v>
      </c>
      <c r="BU76" s="240">
        <f t="shared" si="56"/>
        <v>0</v>
      </c>
      <c r="BW76" s="9">
        <f t="shared" si="57"/>
        <v>139078.37000000002</v>
      </c>
      <c r="BX76" s="9">
        <f t="shared" si="59"/>
        <v>0</v>
      </c>
      <c r="CJ76" s="21"/>
      <c r="CR76" s="21"/>
    </row>
    <row r="77" spans="1:96">
      <c r="A77" s="10" t="s">
        <v>335</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v>6733.0400000000009</v>
      </c>
      <c r="BB77" s="9">
        <v>8051.7299999999977</v>
      </c>
      <c r="BC77" s="7">
        <v>16871.969999999998</v>
      </c>
      <c r="BD77" s="9">
        <v>1148.92</v>
      </c>
      <c r="BE77" s="9"/>
      <c r="BF77" s="9"/>
      <c r="BG77" s="9"/>
      <c r="BH77" s="9"/>
      <c r="BI77" s="9"/>
      <c r="BJ77" s="7"/>
      <c r="BK77" s="7"/>
      <c r="BL77" s="9"/>
      <c r="BM77" s="9"/>
      <c r="BN77" s="242"/>
      <c r="BO77" s="242"/>
      <c r="BP77" s="242"/>
      <c r="BQ77" s="9"/>
      <c r="BR77" s="9"/>
      <c r="BS77" s="9"/>
      <c r="BT77" s="9">
        <f t="shared" si="58"/>
        <v>32805.659999999996</v>
      </c>
      <c r="BU77" s="240">
        <f t="shared" si="56"/>
        <v>0</v>
      </c>
      <c r="BW77" s="9">
        <f t="shared" si="57"/>
        <v>32805.659999999996</v>
      </c>
      <c r="BX77" s="9">
        <f t="shared" si="59"/>
        <v>0</v>
      </c>
      <c r="CJ77" s="21"/>
      <c r="CR77" s="21"/>
    </row>
    <row r="78" spans="1:96">
      <c r="A78" s="4" t="s">
        <v>374</v>
      </c>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7">
        <v>13.78</v>
      </c>
      <c r="BD78" s="9">
        <v>1357.24</v>
      </c>
      <c r="BE78" s="9">
        <v>845.16</v>
      </c>
      <c r="BF78" s="9">
        <v>306.98</v>
      </c>
      <c r="BG78" s="9">
        <v>20.900000000000002</v>
      </c>
      <c r="BH78" s="9">
        <v>1.74</v>
      </c>
      <c r="BI78" s="9">
        <v>0.86</v>
      </c>
      <c r="BJ78" s="7">
        <v>943.55000000000007</v>
      </c>
      <c r="BK78" s="7">
        <v>-36.549999999999997</v>
      </c>
      <c r="BL78" s="9">
        <v>4027.5800000000004</v>
      </c>
      <c r="BM78" s="9">
        <v>10980.220000000001</v>
      </c>
      <c r="BN78" s="242">
        <v>9910.4500000000007</v>
      </c>
      <c r="BO78" s="242">
        <v>1847.84</v>
      </c>
      <c r="BP78" s="242">
        <v>351.93999999999994</v>
      </c>
      <c r="BQ78" s="9"/>
      <c r="BR78" s="9"/>
      <c r="BS78" s="9"/>
      <c r="BT78" s="9">
        <f t="shared" si="58"/>
        <v>30571.69</v>
      </c>
      <c r="BU78" s="240">
        <f t="shared" si="56"/>
        <v>293.5099999999984</v>
      </c>
      <c r="BW78" s="9">
        <f t="shared" si="57"/>
        <v>30571.69</v>
      </c>
      <c r="BX78" s="9">
        <f t="shared" si="59"/>
        <v>0</v>
      </c>
      <c r="CJ78" s="21"/>
      <c r="CR78" s="21"/>
    </row>
    <row r="79" spans="1:96">
      <c r="A79" s="255" t="s">
        <v>336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7"/>
      <c r="BD79" s="9"/>
      <c r="BE79" s="9">
        <v>23032.929999999997</v>
      </c>
      <c r="BF79" s="9">
        <v>9267.6400000000031</v>
      </c>
      <c r="BG79" s="9">
        <v>18452.940000000006</v>
      </c>
      <c r="BH79" s="9">
        <v>1083.4199999999998</v>
      </c>
      <c r="BI79" s="9">
        <v>0.02</v>
      </c>
      <c r="BJ79" s="7"/>
      <c r="BK79" s="7"/>
      <c r="BL79" s="9"/>
      <c r="BM79" s="9"/>
      <c r="BN79" s="242"/>
      <c r="BO79" s="242"/>
      <c r="BP79" s="242"/>
      <c r="BQ79" s="9"/>
      <c r="BR79" s="9"/>
      <c r="BS79" s="9"/>
      <c r="BT79" s="9">
        <f t="shared" si="58"/>
        <v>51836.950000000004</v>
      </c>
      <c r="BU79" s="240">
        <f t="shared" si="56"/>
        <v>9060.9700000000012</v>
      </c>
      <c r="BW79" s="9">
        <f t="shared" si="57"/>
        <v>51836.950000000004</v>
      </c>
      <c r="BX79" s="9">
        <f t="shared" si="59"/>
        <v>0</v>
      </c>
      <c r="CJ79" s="21"/>
      <c r="CR79" s="21"/>
    </row>
    <row r="80" spans="1:96">
      <c r="A80" s="255" t="s">
        <v>337</v>
      </c>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7"/>
      <c r="BD80" s="9"/>
      <c r="BE80" s="9">
        <v>23388.09</v>
      </c>
      <c r="BF80" s="9">
        <v>5173.5699999999988</v>
      </c>
      <c r="BG80" s="9">
        <v>6892.2999999999993</v>
      </c>
      <c r="BH80" s="9">
        <v>409.47</v>
      </c>
      <c r="BI80" s="9">
        <v>0.01</v>
      </c>
      <c r="BJ80" s="7"/>
      <c r="BK80" s="7"/>
      <c r="BL80" s="9"/>
      <c r="BM80" s="9"/>
      <c r="BN80" s="242"/>
      <c r="BO80" s="242"/>
      <c r="BP80" s="242"/>
      <c r="BQ80" s="9"/>
      <c r="BR80" s="9"/>
      <c r="BS80" s="9"/>
      <c r="BT80" s="9">
        <f t="shared" si="58"/>
        <v>35863.440000000002</v>
      </c>
      <c r="BU80" s="240">
        <f t="shared" si="56"/>
        <v>13725.11</v>
      </c>
      <c r="BW80" s="9">
        <f t="shared" si="57"/>
        <v>35863.440000000002</v>
      </c>
      <c r="BX80" s="9">
        <f t="shared" si="59"/>
        <v>0</v>
      </c>
      <c r="CJ80" s="21"/>
      <c r="CR80" s="21"/>
    </row>
    <row r="81" spans="1:96">
      <c r="A81" s="255" t="s">
        <v>338</v>
      </c>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7"/>
      <c r="BD81" s="9"/>
      <c r="BE81" s="9"/>
      <c r="BF81" s="9"/>
      <c r="BG81" s="9">
        <v>169420.09999999998</v>
      </c>
      <c r="BH81" s="9">
        <v>5238.12</v>
      </c>
      <c r="BI81" s="9">
        <v>-16592.300000000003</v>
      </c>
      <c r="BJ81" s="7">
        <v>2.0999999999999996</v>
      </c>
      <c r="BK81" s="7">
        <v>2.15</v>
      </c>
      <c r="BL81" s="9">
        <v>2.15</v>
      </c>
      <c r="BM81" s="9">
        <v>30.439999999999998</v>
      </c>
      <c r="BN81" s="242">
        <v>3.28</v>
      </c>
      <c r="BO81" s="242">
        <v>2.16</v>
      </c>
      <c r="BP81" s="242">
        <v>2.17</v>
      </c>
      <c r="BQ81" s="9"/>
      <c r="BR81" s="9"/>
      <c r="BS81" s="9"/>
      <c r="BT81" s="9">
        <f t="shared" si="58"/>
        <v>158110.37</v>
      </c>
      <c r="BU81" s="240">
        <f t="shared" si="56"/>
        <v>6384</v>
      </c>
      <c r="BW81" s="9">
        <f t="shared" si="57"/>
        <v>158110.37</v>
      </c>
      <c r="BX81" s="9">
        <f t="shared" si="59"/>
        <v>0</v>
      </c>
      <c r="CJ81" s="21"/>
      <c r="CR81" s="21"/>
    </row>
    <row r="82" spans="1:96">
      <c r="A82" s="10" t="s">
        <v>339</v>
      </c>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7"/>
      <c r="BD82" s="9"/>
      <c r="BE82" s="9"/>
      <c r="BF82" s="9"/>
      <c r="BG82" s="9">
        <v>1682784.72</v>
      </c>
      <c r="BH82" s="9">
        <v>36192.639999999999</v>
      </c>
      <c r="BI82" s="9">
        <v>32386.589999999997</v>
      </c>
      <c r="BJ82" s="7">
        <v>2030.07</v>
      </c>
      <c r="BK82" s="7">
        <v>-29953.690000000002</v>
      </c>
      <c r="BL82" s="9">
        <v>15.39</v>
      </c>
      <c r="BM82" s="9">
        <v>28.98</v>
      </c>
      <c r="BN82" s="242">
        <v>1.8199999999999998</v>
      </c>
      <c r="BO82" s="242">
        <v>0.7</v>
      </c>
      <c r="BP82" s="242">
        <v>0.7</v>
      </c>
      <c r="BQ82" s="9"/>
      <c r="BR82" s="9"/>
      <c r="BS82" s="9"/>
      <c r="BT82" s="9">
        <f>SUM(B82:BS82)</f>
        <v>1723487.92</v>
      </c>
      <c r="BU82" s="240">
        <f t="shared" si="56"/>
        <v>2095.9799999999814</v>
      </c>
      <c r="BW82" s="9">
        <f t="shared" si="57"/>
        <v>1723487.92</v>
      </c>
      <c r="BX82" s="9">
        <f t="shared" si="59"/>
        <v>0</v>
      </c>
      <c r="CJ82" s="21"/>
      <c r="CR82" s="21"/>
    </row>
    <row r="83" spans="1:96" ht="13.5" thickBot="1">
      <c r="A83" t="s">
        <v>63</v>
      </c>
      <c r="B83" s="230">
        <f t="shared" ref="B83:AG83" si="60">SUM(B49:B82)</f>
        <v>2298.21</v>
      </c>
      <c r="C83" s="230">
        <f t="shared" si="60"/>
        <v>2559.17</v>
      </c>
      <c r="D83" s="230">
        <f t="shared" si="60"/>
        <v>3067.23</v>
      </c>
      <c r="E83" s="230">
        <f t="shared" si="60"/>
        <v>18212.27</v>
      </c>
      <c r="F83" s="230">
        <f t="shared" si="60"/>
        <v>21387.94</v>
      </c>
      <c r="G83" s="230">
        <f t="shared" si="60"/>
        <v>7835.84</v>
      </c>
      <c r="H83" s="230">
        <f t="shared" si="60"/>
        <v>2465880.17</v>
      </c>
      <c r="I83" s="230">
        <f t="shared" si="60"/>
        <v>-1494584.4300000002</v>
      </c>
      <c r="J83" s="230">
        <f t="shared" si="60"/>
        <v>345546.07000000007</v>
      </c>
      <c r="K83" s="230">
        <f t="shared" si="60"/>
        <v>3068405.94</v>
      </c>
      <c r="L83" s="230">
        <f t="shared" si="60"/>
        <v>-839920.87000000023</v>
      </c>
      <c r="M83" s="230">
        <f t="shared" si="60"/>
        <v>2054901.469999999</v>
      </c>
      <c r="N83" s="230">
        <f t="shared" si="60"/>
        <v>10924107.629999993</v>
      </c>
      <c r="O83" s="230">
        <f t="shared" si="60"/>
        <v>-1063493.2200000002</v>
      </c>
      <c r="P83" s="230">
        <f t="shared" si="60"/>
        <v>4608732.4899999993</v>
      </c>
      <c r="Q83" s="230">
        <f t="shared" si="60"/>
        <v>7276591.5499999998</v>
      </c>
      <c r="R83" s="230">
        <f t="shared" si="60"/>
        <v>3901250.9699999997</v>
      </c>
      <c r="S83" s="230">
        <f t="shared" si="60"/>
        <v>5849021.0800000001</v>
      </c>
      <c r="T83" s="230">
        <f t="shared" si="60"/>
        <v>5428772.8900000025</v>
      </c>
      <c r="U83" s="230">
        <f t="shared" si="60"/>
        <v>3908874.5399999977</v>
      </c>
      <c r="V83" s="230">
        <f t="shared" si="60"/>
        <v>3720511.1300000008</v>
      </c>
      <c r="W83" s="230">
        <f t="shared" si="60"/>
        <v>3326284.34</v>
      </c>
      <c r="X83" s="230">
        <f t="shared" si="60"/>
        <v>-899012.60999999975</v>
      </c>
      <c r="Y83" s="230">
        <f t="shared" si="60"/>
        <v>17706.650000000023</v>
      </c>
      <c r="Z83" s="230">
        <f t="shared" si="60"/>
        <v>328965.18999999994</v>
      </c>
      <c r="AA83" s="230">
        <f t="shared" si="60"/>
        <v>428713.13</v>
      </c>
      <c r="AB83" s="230">
        <f t="shared" si="60"/>
        <v>845312.26</v>
      </c>
      <c r="AC83" s="230">
        <f t="shared" si="60"/>
        <v>1378538.6300000004</v>
      </c>
      <c r="AD83" s="230">
        <f t="shared" si="60"/>
        <v>550012.12999999989</v>
      </c>
      <c r="AE83" s="230">
        <f t="shared" si="60"/>
        <v>1571916.0299999993</v>
      </c>
      <c r="AF83" s="230">
        <f t="shared" si="60"/>
        <v>2115413.1600000011</v>
      </c>
      <c r="AG83" s="230">
        <f t="shared" si="60"/>
        <v>241001.15000000002</v>
      </c>
      <c r="AH83" s="230">
        <f t="shared" ref="AH83:BM83" si="61">SUM(AH49:AH82)</f>
        <v>1227207.0100000009</v>
      </c>
      <c r="AI83" s="230">
        <f t="shared" si="61"/>
        <v>5498837.2899999972</v>
      </c>
      <c r="AJ83" s="230">
        <f t="shared" si="61"/>
        <v>146747.93000000002</v>
      </c>
      <c r="AK83" s="230">
        <f t="shared" si="61"/>
        <v>2351695.1999999997</v>
      </c>
      <c r="AL83" s="230">
        <f t="shared" si="61"/>
        <v>2570578.1500000013</v>
      </c>
      <c r="AM83" s="230">
        <f t="shared" si="61"/>
        <v>1661882.1299999997</v>
      </c>
      <c r="AN83" s="230">
        <f t="shared" si="61"/>
        <v>1832678.7699999998</v>
      </c>
      <c r="AO83" s="230">
        <f t="shared" si="61"/>
        <v>8067812.0900000008</v>
      </c>
      <c r="AP83" s="230">
        <f t="shared" si="61"/>
        <v>-807727.28000000026</v>
      </c>
      <c r="AQ83" s="230">
        <f t="shared" si="61"/>
        <v>2490071.2099999995</v>
      </c>
      <c r="AR83" s="230">
        <f t="shared" si="61"/>
        <v>6582449.0999999996</v>
      </c>
      <c r="AS83" s="230">
        <f t="shared" si="61"/>
        <v>1131893.2599999998</v>
      </c>
      <c r="AT83" s="230">
        <f t="shared" si="61"/>
        <v>5091254.879999999</v>
      </c>
      <c r="AU83" s="230">
        <f t="shared" si="61"/>
        <v>8795255.0799999982</v>
      </c>
      <c r="AV83" s="230">
        <f t="shared" si="61"/>
        <v>-3226962.339999998</v>
      </c>
      <c r="AW83" s="230">
        <f t="shared" si="61"/>
        <v>2919978.0799999991</v>
      </c>
      <c r="AX83" s="230">
        <f t="shared" si="61"/>
        <v>7235759.3100000024</v>
      </c>
      <c r="AY83" s="230">
        <f t="shared" si="61"/>
        <v>398527.53000000078</v>
      </c>
      <c r="AZ83" s="230">
        <f t="shared" si="61"/>
        <v>4715642.5300000012</v>
      </c>
      <c r="BA83" s="230">
        <f t="shared" si="61"/>
        <v>9264218.2099999972</v>
      </c>
      <c r="BB83" s="230">
        <f t="shared" si="61"/>
        <v>1313394.8200000003</v>
      </c>
      <c r="BC83" s="251">
        <f t="shared" si="61"/>
        <v>6861311.2700000005</v>
      </c>
      <c r="BD83" s="230">
        <f t="shared" si="61"/>
        <v>7167673.3699999992</v>
      </c>
      <c r="BE83" s="230">
        <f t="shared" si="61"/>
        <v>3871290.4600000023</v>
      </c>
      <c r="BF83" s="230">
        <f t="shared" si="61"/>
        <v>5514221.3200000031</v>
      </c>
      <c r="BG83" s="230">
        <f t="shared" si="61"/>
        <v>11505281.939999998</v>
      </c>
      <c r="BH83" s="230">
        <f t="shared" si="61"/>
        <v>-601855.03999999852</v>
      </c>
      <c r="BI83" s="230">
        <f t="shared" si="61"/>
        <v>5189281.01</v>
      </c>
      <c r="BJ83" s="251">
        <f t="shared" si="61"/>
        <v>11294267.110000001</v>
      </c>
      <c r="BK83" s="251">
        <f t="shared" si="61"/>
        <v>1726627.36</v>
      </c>
      <c r="BL83" s="230">
        <f t="shared" si="61"/>
        <v>5677907.9699999988</v>
      </c>
      <c r="BM83" s="230">
        <f t="shared" si="61"/>
        <v>10128418.629999999</v>
      </c>
      <c r="BN83" s="230">
        <f t="shared" ref="BN83:BS83" si="62">SUM(BN49:BN82)</f>
        <v>318190.03000000108</v>
      </c>
      <c r="BO83" s="230">
        <f t="shared" si="62"/>
        <v>5759709.6100000003</v>
      </c>
      <c r="BP83" s="230">
        <f t="shared" si="62"/>
        <v>6121852.3799999962</v>
      </c>
      <c r="BQ83" s="230">
        <f t="shared" si="62"/>
        <v>0</v>
      </c>
      <c r="BR83" s="230">
        <f t="shared" si="62"/>
        <v>0</v>
      </c>
      <c r="BS83" s="230">
        <f t="shared" si="62"/>
        <v>0</v>
      </c>
      <c r="BT83" s="9">
        <f>SUM(B83:BS83)</f>
        <v>209910178.51000002</v>
      </c>
      <c r="BW83" s="9">
        <f t="shared" si="57"/>
        <v>153349745.48000002</v>
      </c>
      <c r="BX83" s="9">
        <f t="shared" ref="BX83" si="63">SUM(B83:AI83)</f>
        <v>66840852.43</v>
      </c>
      <c r="CJ83" s="21"/>
      <c r="CR83" s="21"/>
    </row>
    <row r="84" spans="1:96" ht="13.5" thickTop="1">
      <c r="B84" s="243"/>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63"/>
      <c r="BD84" s="244"/>
      <c r="BE84" s="244"/>
      <c r="BF84" s="244"/>
      <c r="BG84" s="244"/>
      <c r="BH84" s="244"/>
      <c r="BI84" s="244"/>
      <c r="BJ84" s="244"/>
      <c r="BK84" s="244"/>
      <c r="BL84" s="244"/>
      <c r="BM84" s="244"/>
    </row>
    <row r="85" spans="1:96" s="9" customFormat="1" ht="15">
      <c r="BC85" s="7"/>
      <c r="BL85" s="245"/>
    </row>
    <row r="86" spans="1:96">
      <c r="A86" s="3" t="s">
        <v>91</v>
      </c>
      <c r="B86" s="2" t="s">
        <v>103</v>
      </c>
      <c r="C86" s="2" t="s">
        <v>104</v>
      </c>
      <c r="D86" s="2" t="s">
        <v>105</v>
      </c>
      <c r="E86" s="2" t="s">
        <v>106</v>
      </c>
      <c r="F86" s="2" t="s">
        <v>107</v>
      </c>
      <c r="G86" s="2" t="s">
        <v>108</v>
      </c>
      <c r="H86" s="2" t="s">
        <v>109</v>
      </c>
      <c r="I86" s="2" t="s">
        <v>110</v>
      </c>
      <c r="J86" s="2" t="s">
        <v>111</v>
      </c>
      <c r="K86" s="2" t="s">
        <v>112</v>
      </c>
      <c r="L86" s="2" t="s">
        <v>113</v>
      </c>
      <c r="M86" s="2" t="s">
        <v>114</v>
      </c>
      <c r="N86" s="2" t="s">
        <v>115</v>
      </c>
      <c r="O86" s="2" t="s">
        <v>116</v>
      </c>
      <c r="P86" s="2" t="s">
        <v>117</v>
      </c>
      <c r="Q86" s="2" t="s">
        <v>118</v>
      </c>
      <c r="R86" s="2" t="s">
        <v>119</v>
      </c>
      <c r="S86" s="2" t="s">
        <v>120</v>
      </c>
      <c r="T86" s="2" t="s">
        <v>121</v>
      </c>
      <c r="U86" s="2" t="s">
        <v>122</v>
      </c>
      <c r="V86" s="2" t="s">
        <v>123</v>
      </c>
    </row>
    <row r="87" spans="1:96">
      <c r="A87" s="2" t="s">
        <v>93</v>
      </c>
      <c r="B87" s="26">
        <v>0.52500000000000002</v>
      </c>
      <c r="C87" s="26">
        <v>4.7500000000000001E-2</v>
      </c>
      <c r="D87" s="26">
        <v>4.2799999999999998E-2</v>
      </c>
      <c r="E87" s="26">
        <v>3.85E-2</v>
      </c>
      <c r="F87" s="26">
        <v>3.4700000000000002E-2</v>
      </c>
      <c r="G87" s="26">
        <v>3.1199999999999999E-2</v>
      </c>
      <c r="H87" s="26">
        <v>2.9499999999999998E-2</v>
      </c>
      <c r="I87" s="26">
        <v>2.9499999999999998E-2</v>
      </c>
      <c r="J87" s="26">
        <v>2.9600000000000001E-2</v>
      </c>
      <c r="K87" s="26">
        <v>2.9499999999999998E-2</v>
      </c>
      <c r="L87" s="26">
        <v>2.9600000000000001E-2</v>
      </c>
      <c r="M87" s="26">
        <v>2.9499999999999998E-2</v>
      </c>
      <c r="N87" s="26">
        <v>2.9600000000000001E-2</v>
      </c>
      <c r="O87" s="26">
        <v>2.9499999999999998E-2</v>
      </c>
      <c r="P87" s="26">
        <v>2.9600000000000001E-2</v>
      </c>
      <c r="Q87" s="26">
        <v>1.46E-2</v>
      </c>
      <c r="R87" s="26"/>
      <c r="S87" s="26"/>
      <c r="T87" s="26"/>
      <c r="U87" s="26"/>
      <c r="V87" s="26"/>
    </row>
    <row r="88" spans="1:96">
      <c r="A88" s="2" t="s">
        <v>94</v>
      </c>
      <c r="B88" s="26">
        <v>0.51880000000000004</v>
      </c>
      <c r="C88" s="26">
        <v>3.61E-2</v>
      </c>
      <c r="D88" s="26">
        <v>3.3399999999999999E-2</v>
      </c>
      <c r="E88" s="26">
        <v>3.09E-2</v>
      </c>
      <c r="F88" s="26">
        <v>2.86E-2</v>
      </c>
      <c r="G88" s="26">
        <v>2.64E-2</v>
      </c>
      <c r="H88" s="26">
        <v>2.4400000000000002E-2</v>
      </c>
      <c r="I88" s="26">
        <v>2.2599999999999999E-2</v>
      </c>
      <c r="J88" s="26">
        <v>2.231E-2</v>
      </c>
      <c r="K88" s="26">
        <v>2.23E-2</v>
      </c>
      <c r="L88" s="26">
        <v>2.231E-2</v>
      </c>
      <c r="M88" s="26">
        <v>2.23E-2</v>
      </c>
      <c r="N88" s="26">
        <v>2.231E-2</v>
      </c>
      <c r="O88" s="26">
        <v>2.23E-2</v>
      </c>
      <c r="P88" s="26">
        <v>2.231E-2</v>
      </c>
      <c r="Q88" s="26">
        <v>2.23E-2</v>
      </c>
      <c r="R88" s="26">
        <v>2.231E-2</v>
      </c>
      <c r="S88" s="26">
        <v>2.23E-2</v>
      </c>
      <c r="T88" s="26">
        <v>2.231E-2</v>
      </c>
      <c r="U88" s="26">
        <v>2.23E-2</v>
      </c>
      <c r="V88" s="26">
        <v>1.1140000000000001E-2</v>
      </c>
    </row>
    <row r="89" spans="1:96">
      <c r="A89" s="2" t="s">
        <v>92</v>
      </c>
      <c r="B89" s="26">
        <v>1</v>
      </c>
      <c r="C89" s="26">
        <v>0</v>
      </c>
      <c r="D89" s="26">
        <v>0</v>
      </c>
      <c r="E89" s="26">
        <v>0</v>
      </c>
      <c r="F89" s="26">
        <v>0</v>
      </c>
      <c r="G89" s="26">
        <v>0</v>
      </c>
      <c r="H89" s="26">
        <v>0</v>
      </c>
      <c r="I89" s="26">
        <v>0</v>
      </c>
      <c r="J89" s="26">
        <v>0</v>
      </c>
      <c r="K89" s="26">
        <v>0</v>
      </c>
      <c r="L89" s="26">
        <v>0</v>
      </c>
      <c r="M89" s="26">
        <v>0</v>
      </c>
      <c r="N89" s="26">
        <v>0</v>
      </c>
      <c r="O89" s="26">
        <v>0</v>
      </c>
      <c r="P89" s="26">
        <v>0</v>
      </c>
      <c r="Q89" s="26">
        <v>0</v>
      </c>
      <c r="R89" s="26"/>
      <c r="S89" s="26"/>
      <c r="T89" s="26"/>
      <c r="U89" s="26"/>
      <c r="V89" s="26"/>
    </row>
    <row r="92" spans="1:96">
      <c r="A92" s="3" t="s">
        <v>124</v>
      </c>
      <c r="B92" s="42">
        <v>40209</v>
      </c>
      <c r="C92" s="3">
        <f>EOMONTH(B92,1)</f>
        <v>40237</v>
      </c>
      <c r="D92" s="3">
        <f t="shared" ref="D92:AK92" si="64">EOMONTH(C92,1)</f>
        <v>40268</v>
      </c>
      <c r="E92" s="3">
        <f t="shared" si="64"/>
        <v>40298</v>
      </c>
      <c r="F92" s="3">
        <f t="shared" si="64"/>
        <v>40329</v>
      </c>
      <c r="G92" s="3">
        <f t="shared" si="64"/>
        <v>40359</v>
      </c>
      <c r="H92" s="3">
        <f t="shared" si="64"/>
        <v>40390</v>
      </c>
      <c r="I92" s="3">
        <f t="shared" si="64"/>
        <v>40421</v>
      </c>
      <c r="J92" s="3">
        <f t="shared" si="64"/>
        <v>40451</v>
      </c>
      <c r="K92" s="3">
        <f t="shared" si="64"/>
        <v>40482</v>
      </c>
      <c r="L92" s="3">
        <f t="shared" si="64"/>
        <v>40512</v>
      </c>
      <c r="M92" s="3">
        <f t="shared" si="64"/>
        <v>40543</v>
      </c>
      <c r="N92" s="3">
        <f t="shared" si="64"/>
        <v>40574</v>
      </c>
      <c r="O92" s="3">
        <f t="shared" si="64"/>
        <v>40602</v>
      </c>
      <c r="P92" s="3">
        <f t="shared" si="64"/>
        <v>40633</v>
      </c>
      <c r="Q92" s="3">
        <f t="shared" si="64"/>
        <v>40663</v>
      </c>
      <c r="R92" s="3">
        <f t="shared" si="64"/>
        <v>40694</v>
      </c>
      <c r="S92" s="3">
        <f t="shared" si="64"/>
        <v>40724</v>
      </c>
      <c r="T92" s="3">
        <f t="shared" si="64"/>
        <v>40755</v>
      </c>
      <c r="U92" s="3">
        <f t="shared" si="64"/>
        <v>40786</v>
      </c>
      <c r="V92" s="3">
        <f t="shared" si="64"/>
        <v>40816</v>
      </c>
      <c r="W92" s="3">
        <f t="shared" si="64"/>
        <v>40847</v>
      </c>
      <c r="X92" s="3">
        <f t="shared" si="64"/>
        <v>40877</v>
      </c>
      <c r="Y92" s="3">
        <f t="shared" si="64"/>
        <v>40908</v>
      </c>
      <c r="Z92" s="3">
        <f t="shared" si="64"/>
        <v>40939</v>
      </c>
      <c r="AA92" s="3">
        <f t="shared" si="64"/>
        <v>40968</v>
      </c>
      <c r="AB92" s="3">
        <f t="shared" si="64"/>
        <v>40999</v>
      </c>
      <c r="AC92" s="3">
        <f t="shared" si="64"/>
        <v>41029</v>
      </c>
      <c r="AD92" s="3">
        <f t="shared" si="64"/>
        <v>41060</v>
      </c>
      <c r="AE92" s="3">
        <f t="shared" si="64"/>
        <v>41090</v>
      </c>
      <c r="AF92" s="3">
        <f t="shared" si="64"/>
        <v>41121</v>
      </c>
      <c r="AG92" s="3">
        <f t="shared" si="64"/>
        <v>41152</v>
      </c>
      <c r="AH92" s="3">
        <f t="shared" si="64"/>
        <v>41182</v>
      </c>
      <c r="AI92" s="3">
        <f t="shared" si="64"/>
        <v>41213</v>
      </c>
      <c r="AJ92" s="3">
        <f t="shared" si="64"/>
        <v>41243</v>
      </c>
      <c r="AK92" s="3">
        <f t="shared" si="64"/>
        <v>41274</v>
      </c>
      <c r="AL92" s="3">
        <f t="shared" ref="AL92" si="65">EOMONTH(AK92,1)</f>
        <v>41305</v>
      </c>
      <c r="AM92" s="3">
        <f t="shared" ref="AM92" si="66">EOMONTH(AL92,1)</f>
        <v>41333</v>
      </c>
      <c r="AN92" s="3">
        <f t="shared" ref="AN92" si="67">EOMONTH(AM92,1)</f>
        <v>41364</v>
      </c>
      <c r="AO92" s="3">
        <f t="shared" ref="AO92" si="68">EOMONTH(AN92,1)</f>
        <v>41394</v>
      </c>
      <c r="AP92" s="3">
        <f t="shared" ref="AP92" si="69">EOMONTH(AO92,1)</f>
        <v>41425</v>
      </c>
      <c r="AQ92" s="3">
        <f t="shared" ref="AQ92" si="70">EOMONTH(AP92,1)</f>
        <v>41455</v>
      </c>
      <c r="AR92" s="3">
        <f t="shared" ref="AR92" si="71">EOMONTH(AQ92,1)</f>
        <v>41486</v>
      </c>
      <c r="AS92" s="3">
        <f t="shared" ref="AS92" si="72">EOMONTH(AR92,1)</f>
        <v>41517</v>
      </c>
      <c r="AT92" s="3">
        <f t="shared" ref="AT92" si="73">EOMONTH(AS92,1)</f>
        <v>41547</v>
      </c>
      <c r="AU92" s="3">
        <f t="shared" ref="AU92" si="74">EOMONTH(AT92,1)</f>
        <v>41578</v>
      </c>
      <c r="AV92" s="3">
        <f t="shared" ref="AV92" si="75">EOMONTH(AU92,1)</f>
        <v>41608</v>
      </c>
      <c r="AW92" s="3">
        <f t="shared" ref="AW92" si="76">EOMONTH(AV92,1)</f>
        <v>41639</v>
      </c>
    </row>
    <row r="93" spans="1:96">
      <c r="A93" t="s">
        <v>95</v>
      </c>
    </row>
    <row r="94" spans="1:96">
      <c r="A94" s="39" t="s">
        <v>96</v>
      </c>
      <c r="B94" s="9">
        <f t="shared" ref="B94:M94" si="77">($CG$44*$B$87)/12</f>
        <v>45222.768500000057</v>
      </c>
      <c r="C94" s="9">
        <f t="shared" si="77"/>
        <v>45222.768500000057</v>
      </c>
      <c r="D94" s="9">
        <f t="shared" si="77"/>
        <v>45222.768500000057</v>
      </c>
      <c r="E94" s="9">
        <f t="shared" si="77"/>
        <v>45222.768500000057</v>
      </c>
      <c r="F94" s="9">
        <f t="shared" si="77"/>
        <v>45222.768500000057</v>
      </c>
      <c r="G94" s="9">
        <f t="shared" si="77"/>
        <v>45222.768500000057</v>
      </c>
      <c r="H94" s="9">
        <f t="shared" si="77"/>
        <v>45222.768500000057</v>
      </c>
      <c r="I94" s="9">
        <f t="shared" si="77"/>
        <v>45222.768500000057</v>
      </c>
      <c r="J94" s="9">
        <f t="shared" si="77"/>
        <v>45222.768500000057</v>
      </c>
      <c r="K94" s="9">
        <f t="shared" si="77"/>
        <v>45222.768500000057</v>
      </c>
      <c r="L94" s="9">
        <f t="shared" si="77"/>
        <v>45222.768500000057</v>
      </c>
      <c r="M94" s="9">
        <f t="shared" si="77"/>
        <v>45222.768500000057</v>
      </c>
      <c r="N94" s="9">
        <f t="shared" ref="N94:Y94" si="78">($CG$44*$C$87)/12</f>
        <v>4091.5838166666713</v>
      </c>
      <c r="O94" s="9">
        <f t="shared" si="78"/>
        <v>4091.5838166666713</v>
      </c>
      <c r="P94" s="9">
        <f t="shared" si="78"/>
        <v>4091.5838166666713</v>
      </c>
      <c r="Q94" s="9">
        <f t="shared" si="78"/>
        <v>4091.5838166666713</v>
      </c>
      <c r="R94" s="9">
        <f t="shared" si="78"/>
        <v>4091.5838166666713</v>
      </c>
      <c r="S94" s="9">
        <f t="shared" si="78"/>
        <v>4091.5838166666713</v>
      </c>
      <c r="T94" s="9">
        <f t="shared" si="78"/>
        <v>4091.5838166666713</v>
      </c>
      <c r="U94" s="9">
        <f t="shared" si="78"/>
        <v>4091.5838166666713</v>
      </c>
      <c r="V94" s="9">
        <f t="shared" si="78"/>
        <v>4091.5838166666713</v>
      </c>
      <c r="W94" s="9">
        <f t="shared" si="78"/>
        <v>4091.5838166666713</v>
      </c>
      <c r="X94" s="9">
        <f t="shared" si="78"/>
        <v>4091.5838166666713</v>
      </c>
      <c r="Y94" s="9">
        <f t="shared" si="78"/>
        <v>4091.5838166666713</v>
      </c>
      <c r="Z94" s="9">
        <f t="shared" ref="Z94:AK94" si="79">($CG$44*$D$87)/12</f>
        <v>3686.7323653333374</v>
      </c>
      <c r="AA94" s="9">
        <f t="shared" si="79"/>
        <v>3686.7323653333374</v>
      </c>
      <c r="AB94" s="9">
        <f t="shared" si="79"/>
        <v>3686.7323653333374</v>
      </c>
      <c r="AC94" s="9">
        <f t="shared" si="79"/>
        <v>3686.7323653333374</v>
      </c>
      <c r="AD94" s="9">
        <f t="shared" si="79"/>
        <v>3686.7323653333374</v>
      </c>
      <c r="AE94" s="9">
        <f t="shared" si="79"/>
        <v>3686.7323653333374</v>
      </c>
      <c r="AF94" s="9">
        <f t="shared" si="79"/>
        <v>3686.7323653333374</v>
      </c>
      <c r="AG94" s="9">
        <f t="shared" si="79"/>
        <v>3686.7323653333374</v>
      </c>
      <c r="AH94" s="9">
        <f t="shared" si="79"/>
        <v>3686.7323653333374</v>
      </c>
      <c r="AI94" s="9">
        <f t="shared" si="79"/>
        <v>3686.7323653333374</v>
      </c>
      <c r="AJ94" s="9">
        <f t="shared" si="79"/>
        <v>3686.7323653333374</v>
      </c>
      <c r="AK94" s="9">
        <f t="shared" si="79"/>
        <v>3686.7323653333374</v>
      </c>
      <c r="AL94" s="9">
        <f t="shared" ref="AL94:AW94" si="80">($CG$44*$E$87)/12</f>
        <v>3316.3363566666703</v>
      </c>
      <c r="AM94" s="9">
        <f t="shared" si="80"/>
        <v>3316.3363566666703</v>
      </c>
      <c r="AN94" s="9">
        <f t="shared" si="80"/>
        <v>3316.3363566666703</v>
      </c>
      <c r="AO94" s="9">
        <f t="shared" si="80"/>
        <v>3316.3363566666703</v>
      </c>
      <c r="AP94" s="9">
        <f t="shared" si="80"/>
        <v>3316.3363566666703</v>
      </c>
      <c r="AQ94" s="9">
        <f t="shared" si="80"/>
        <v>3316.3363566666703</v>
      </c>
      <c r="AR94" s="9">
        <f t="shared" si="80"/>
        <v>3316.3363566666703</v>
      </c>
      <c r="AS94" s="9">
        <f t="shared" si="80"/>
        <v>3316.3363566666703</v>
      </c>
      <c r="AT94" s="9">
        <f t="shared" si="80"/>
        <v>3316.3363566666703</v>
      </c>
      <c r="AU94" s="9">
        <f t="shared" si="80"/>
        <v>3316.3363566666703</v>
      </c>
      <c r="AV94" s="9">
        <f t="shared" si="80"/>
        <v>3316.3363566666703</v>
      </c>
      <c r="AW94" s="9">
        <f t="shared" si="80"/>
        <v>3316.3363566666703</v>
      </c>
      <c r="AX94" s="9"/>
      <c r="AY94" s="9"/>
      <c r="AZ94" s="9"/>
      <c r="BA94" s="9"/>
      <c r="BB94" s="9"/>
      <c r="BC94" s="7"/>
      <c r="BD94" s="9"/>
      <c r="BE94" s="9"/>
      <c r="BF94" s="9"/>
      <c r="BG94" s="9"/>
      <c r="BH94" s="9"/>
      <c r="BI94" s="9"/>
      <c r="BJ94" s="9"/>
      <c r="BK94" s="9"/>
      <c r="BL94" s="9"/>
      <c r="BM94" s="9"/>
      <c r="BN94" s="9"/>
      <c r="BO94" s="9"/>
      <c r="BP94" s="9"/>
      <c r="BQ94" s="9"/>
      <c r="BR94" s="9"/>
      <c r="BS94" s="9"/>
      <c r="BT94" s="9"/>
      <c r="BU94" s="9"/>
      <c r="CG94" s="9"/>
      <c r="CH94" s="9"/>
      <c r="CI94" s="9"/>
      <c r="CJ94" s="9"/>
      <c r="CK94" s="9"/>
      <c r="CL94" s="9"/>
      <c r="CM94" s="9"/>
      <c r="CN94" s="9"/>
      <c r="CO94" s="9"/>
      <c r="CP94" s="9"/>
      <c r="CQ94" s="9"/>
      <c r="CR94" s="9"/>
    </row>
    <row r="95" spans="1:96">
      <c r="A95" s="39" t="s">
        <v>98</v>
      </c>
      <c r="B95" s="9">
        <f t="shared" ref="B95:M95" si="81">($CH$42*$B$87)/12</f>
        <v>930410.59693749936</v>
      </c>
      <c r="C95" s="9">
        <f t="shared" si="81"/>
        <v>930410.59693749936</v>
      </c>
      <c r="D95" s="9">
        <f t="shared" si="81"/>
        <v>930410.59693749936</v>
      </c>
      <c r="E95" s="9">
        <f t="shared" si="81"/>
        <v>930410.59693749936</v>
      </c>
      <c r="F95" s="9">
        <f t="shared" si="81"/>
        <v>930410.59693749936</v>
      </c>
      <c r="G95" s="9">
        <f t="shared" si="81"/>
        <v>930410.59693749936</v>
      </c>
      <c r="H95" s="9">
        <f t="shared" si="81"/>
        <v>930410.59693749936</v>
      </c>
      <c r="I95" s="9">
        <f t="shared" si="81"/>
        <v>930410.59693749936</v>
      </c>
      <c r="J95" s="9">
        <f t="shared" si="81"/>
        <v>930410.59693749936</v>
      </c>
      <c r="K95" s="9">
        <f t="shared" si="81"/>
        <v>930410.59693749936</v>
      </c>
      <c r="L95" s="9">
        <f t="shared" si="81"/>
        <v>930410.59693749936</v>
      </c>
      <c r="M95" s="9">
        <f t="shared" si="81"/>
        <v>930410.59693749936</v>
      </c>
      <c r="N95" s="9">
        <f t="shared" ref="N95:Y95" si="82">($CH$42*$C$87)/12</f>
        <v>84180.006389583272</v>
      </c>
      <c r="O95" s="9">
        <f t="shared" si="82"/>
        <v>84180.006389583272</v>
      </c>
      <c r="P95" s="9">
        <f t="shared" si="82"/>
        <v>84180.006389583272</v>
      </c>
      <c r="Q95" s="9">
        <f t="shared" si="82"/>
        <v>84180.006389583272</v>
      </c>
      <c r="R95" s="9">
        <f t="shared" si="82"/>
        <v>84180.006389583272</v>
      </c>
      <c r="S95" s="9">
        <f t="shared" si="82"/>
        <v>84180.006389583272</v>
      </c>
      <c r="T95" s="9">
        <f t="shared" si="82"/>
        <v>84180.006389583272</v>
      </c>
      <c r="U95" s="9">
        <f t="shared" si="82"/>
        <v>84180.006389583272</v>
      </c>
      <c r="V95" s="9">
        <f t="shared" si="82"/>
        <v>84180.006389583272</v>
      </c>
      <c r="W95" s="9">
        <f t="shared" si="82"/>
        <v>84180.006389583272</v>
      </c>
      <c r="X95" s="9">
        <f t="shared" si="82"/>
        <v>84180.006389583272</v>
      </c>
      <c r="Y95" s="9">
        <f t="shared" si="82"/>
        <v>84180.006389583272</v>
      </c>
      <c r="Z95" s="9">
        <f t="shared" ref="Z95:AK95" si="83">($CH$42*$D$87)/12</f>
        <v>75850.616283666604</v>
      </c>
      <c r="AA95" s="9">
        <f t="shared" si="83"/>
        <v>75850.616283666604</v>
      </c>
      <c r="AB95" s="9">
        <f t="shared" si="83"/>
        <v>75850.616283666604</v>
      </c>
      <c r="AC95" s="9">
        <f t="shared" si="83"/>
        <v>75850.616283666604</v>
      </c>
      <c r="AD95" s="9">
        <f t="shared" si="83"/>
        <v>75850.616283666604</v>
      </c>
      <c r="AE95" s="9">
        <f t="shared" si="83"/>
        <v>75850.616283666604</v>
      </c>
      <c r="AF95" s="9">
        <f t="shared" si="83"/>
        <v>75850.616283666604</v>
      </c>
      <c r="AG95" s="9">
        <f t="shared" si="83"/>
        <v>75850.616283666604</v>
      </c>
      <c r="AH95" s="9">
        <f t="shared" si="83"/>
        <v>75850.616283666604</v>
      </c>
      <c r="AI95" s="9">
        <f t="shared" si="83"/>
        <v>75850.616283666604</v>
      </c>
      <c r="AJ95" s="9">
        <f t="shared" si="83"/>
        <v>75850.616283666604</v>
      </c>
      <c r="AK95" s="9">
        <f t="shared" si="83"/>
        <v>75850.616283666604</v>
      </c>
      <c r="AL95" s="9">
        <f t="shared" ref="AL95:AW95" si="84">($CH$42*$E$87)/12</f>
        <v>68230.110442083285</v>
      </c>
      <c r="AM95" s="9">
        <f t="shared" si="84"/>
        <v>68230.110442083285</v>
      </c>
      <c r="AN95" s="9">
        <f t="shared" si="84"/>
        <v>68230.110442083285</v>
      </c>
      <c r="AO95" s="9">
        <f t="shared" si="84"/>
        <v>68230.110442083285</v>
      </c>
      <c r="AP95" s="9">
        <f t="shared" si="84"/>
        <v>68230.110442083285</v>
      </c>
      <c r="AQ95" s="9">
        <f t="shared" si="84"/>
        <v>68230.110442083285</v>
      </c>
      <c r="AR95" s="9">
        <f t="shared" si="84"/>
        <v>68230.110442083285</v>
      </c>
      <c r="AS95" s="9">
        <f t="shared" si="84"/>
        <v>68230.110442083285</v>
      </c>
      <c r="AT95" s="9">
        <f t="shared" si="84"/>
        <v>68230.110442083285</v>
      </c>
      <c r="AU95" s="9">
        <f t="shared" si="84"/>
        <v>68230.110442083285</v>
      </c>
      <c r="AV95" s="9">
        <f t="shared" si="84"/>
        <v>68230.110442083285</v>
      </c>
      <c r="AW95" s="9">
        <f t="shared" si="84"/>
        <v>68230.110442083285</v>
      </c>
      <c r="AX95" s="9"/>
      <c r="AY95" s="9"/>
      <c r="AZ95" s="9"/>
      <c r="BA95" s="9"/>
      <c r="BB95" s="9"/>
      <c r="BC95" s="7"/>
      <c r="BD95" s="9"/>
      <c r="BE95" s="9"/>
      <c r="BF95" s="9"/>
      <c r="BG95" s="9"/>
      <c r="BH95" s="9"/>
      <c r="BI95" s="9"/>
      <c r="BJ95" s="9"/>
      <c r="BK95" s="9"/>
      <c r="BL95" s="9"/>
      <c r="BM95" s="9"/>
      <c r="BN95" s="9"/>
      <c r="BO95" s="9"/>
      <c r="BP95" s="9"/>
      <c r="BQ95" s="9"/>
      <c r="BR95" s="9"/>
      <c r="BS95" s="9"/>
      <c r="BT95" s="9"/>
      <c r="BU95" s="9"/>
      <c r="CG95" s="9"/>
      <c r="CH95" s="9"/>
      <c r="CI95" s="9"/>
      <c r="CJ95" s="9"/>
      <c r="CK95" s="9"/>
      <c r="CL95" s="9"/>
      <c r="CM95" s="9"/>
      <c r="CN95" s="9"/>
      <c r="CO95" s="9"/>
      <c r="CP95" s="9"/>
      <c r="CQ95" s="9"/>
      <c r="CR95" s="9"/>
    </row>
    <row r="96" spans="1:96">
      <c r="A96" s="39" t="s">
        <v>97</v>
      </c>
      <c r="B96" s="9">
        <f t="shared" ref="B96:M96" si="85">($CI$42*$B$89)/12</f>
        <v>311620.77333333466</v>
      </c>
      <c r="C96" s="9">
        <f t="shared" si="85"/>
        <v>311620.77333333466</v>
      </c>
      <c r="D96" s="9">
        <f t="shared" si="85"/>
        <v>311620.77333333466</v>
      </c>
      <c r="E96" s="9">
        <f t="shared" si="85"/>
        <v>311620.77333333466</v>
      </c>
      <c r="F96" s="9">
        <f t="shared" si="85"/>
        <v>311620.77333333466</v>
      </c>
      <c r="G96" s="9">
        <f t="shared" si="85"/>
        <v>311620.77333333466</v>
      </c>
      <c r="H96" s="9">
        <f t="shared" si="85"/>
        <v>311620.77333333466</v>
      </c>
      <c r="I96" s="9">
        <f t="shared" si="85"/>
        <v>311620.77333333466</v>
      </c>
      <c r="J96" s="9">
        <f t="shared" si="85"/>
        <v>311620.77333333466</v>
      </c>
      <c r="K96" s="9">
        <f t="shared" si="85"/>
        <v>311620.77333333466</v>
      </c>
      <c r="L96" s="9">
        <f t="shared" si="85"/>
        <v>311620.77333333466</v>
      </c>
      <c r="M96" s="9">
        <f t="shared" si="85"/>
        <v>311620.77333333466</v>
      </c>
      <c r="N96" s="9">
        <f t="shared" ref="N96:Y96" si="86">($CI$42*$C$89)/12</f>
        <v>0</v>
      </c>
      <c r="O96" s="9">
        <f t="shared" si="86"/>
        <v>0</v>
      </c>
      <c r="P96" s="9">
        <f t="shared" si="86"/>
        <v>0</v>
      </c>
      <c r="Q96" s="9">
        <f t="shared" si="86"/>
        <v>0</v>
      </c>
      <c r="R96" s="9">
        <f t="shared" si="86"/>
        <v>0</v>
      </c>
      <c r="S96" s="9">
        <f t="shared" si="86"/>
        <v>0</v>
      </c>
      <c r="T96" s="9">
        <f t="shared" si="86"/>
        <v>0</v>
      </c>
      <c r="U96" s="9">
        <f t="shared" si="86"/>
        <v>0</v>
      </c>
      <c r="V96" s="9">
        <f t="shared" si="86"/>
        <v>0</v>
      </c>
      <c r="W96" s="9">
        <f t="shared" si="86"/>
        <v>0</v>
      </c>
      <c r="X96" s="9">
        <f t="shared" si="86"/>
        <v>0</v>
      </c>
      <c r="Y96" s="9">
        <f t="shared" si="86"/>
        <v>0</v>
      </c>
      <c r="Z96" s="9">
        <f t="shared" ref="Z96:AK96" si="87">($CI$42*$D$89)/12</f>
        <v>0</v>
      </c>
      <c r="AA96" s="9">
        <f t="shared" si="87"/>
        <v>0</v>
      </c>
      <c r="AB96" s="9">
        <f t="shared" si="87"/>
        <v>0</v>
      </c>
      <c r="AC96" s="9">
        <f t="shared" si="87"/>
        <v>0</v>
      </c>
      <c r="AD96" s="9">
        <f t="shared" si="87"/>
        <v>0</v>
      </c>
      <c r="AE96" s="9">
        <f t="shared" si="87"/>
        <v>0</v>
      </c>
      <c r="AF96" s="9">
        <f t="shared" si="87"/>
        <v>0</v>
      </c>
      <c r="AG96" s="9">
        <f t="shared" si="87"/>
        <v>0</v>
      </c>
      <c r="AH96" s="9">
        <f t="shared" si="87"/>
        <v>0</v>
      </c>
      <c r="AI96" s="9">
        <f t="shared" si="87"/>
        <v>0</v>
      </c>
      <c r="AJ96" s="9">
        <f t="shared" si="87"/>
        <v>0</v>
      </c>
      <c r="AK96" s="9">
        <f t="shared" si="87"/>
        <v>0</v>
      </c>
      <c r="AL96" s="9">
        <f t="shared" ref="AL96:AW96" si="88">($CI$42*$E$89)/12</f>
        <v>0</v>
      </c>
      <c r="AM96" s="9">
        <f t="shared" si="88"/>
        <v>0</v>
      </c>
      <c r="AN96" s="9">
        <f t="shared" si="88"/>
        <v>0</v>
      </c>
      <c r="AO96" s="9">
        <f t="shared" si="88"/>
        <v>0</v>
      </c>
      <c r="AP96" s="9">
        <f t="shared" si="88"/>
        <v>0</v>
      </c>
      <c r="AQ96" s="9">
        <f t="shared" si="88"/>
        <v>0</v>
      </c>
      <c r="AR96" s="9">
        <f t="shared" si="88"/>
        <v>0</v>
      </c>
      <c r="AS96" s="9">
        <f t="shared" si="88"/>
        <v>0</v>
      </c>
      <c r="AT96" s="9">
        <f t="shared" si="88"/>
        <v>0</v>
      </c>
      <c r="AU96" s="9">
        <f t="shared" si="88"/>
        <v>0</v>
      </c>
      <c r="AV96" s="9">
        <f t="shared" si="88"/>
        <v>0</v>
      </c>
      <c r="AW96" s="9">
        <f t="shared" si="88"/>
        <v>0</v>
      </c>
      <c r="AX96" s="9"/>
      <c r="AY96" s="9"/>
      <c r="AZ96" s="9"/>
      <c r="BA96" s="9"/>
      <c r="BB96" s="9"/>
      <c r="BC96" s="7"/>
      <c r="BD96" s="9"/>
      <c r="BE96" s="9"/>
      <c r="BF96" s="9"/>
      <c r="BG96" s="9"/>
      <c r="BH96" s="9"/>
      <c r="BI96" s="9"/>
      <c r="BJ96" s="9"/>
      <c r="BK96" s="9"/>
      <c r="BL96" s="9"/>
      <c r="BM96" s="9"/>
      <c r="BN96" s="9"/>
      <c r="BO96" s="9"/>
      <c r="BP96" s="9"/>
      <c r="BQ96" s="9"/>
      <c r="BR96" s="9"/>
      <c r="BS96" s="9"/>
      <c r="BT96" s="9"/>
      <c r="BU96" s="9"/>
      <c r="CG96" s="9"/>
      <c r="CH96" s="9"/>
      <c r="CI96" s="9"/>
      <c r="CJ96" s="9"/>
      <c r="CK96" s="9"/>
      <c r="CL96" s="9"/>
      <c r="CM96" s="9"/>
      <c r="CN96" s="9"/>
      <c r="CO96" s="9"/>
      <c r="CP96" s="9"/>
      <c r="CQ96" s="9"/>
      <c r="CR96" s="9"/>
    </row>
    <row r="97" spans="1:96">
      <c r="A97" s="41" t="s">
        <v>101</v>
      </c>
    </row>
    <row r="98" spans="1:96">
      <c r="A98" s="40" t="s">
        <v>102</v>
      </c>
      <c r="B98" s="9"/>
      <c r="C98" s="9"/>
      <c r="D98" s="9"/>
      <c r="E98" s="9"/>
      <c r="F98" s="9"/>
      <c r="G98" s="9"/>
      <c r="H98" s="9"/>
      <c r="I98" s="9"/>
      <c r="J98" s="9"/>
      <c r="K98" s="9"/>
      <c r="L98" s="9"/>
      <c r="M98" s="9"/>
      <c r="N98" s="9">
        <f t="shared" ref="N98:Y98" si="89">($CP$42*$B$88)/12</f>
        <v>119735.03097299993</v>
      </c>
      <c r="O98" s="9">
        <f t="shared" si="89"/>
        <v>119735.03097299993</v>
      </c>
      <c r="P98" s="9">
        <f t="shared" si="89"/>
        <v>119735.03097299993</v>
      </c>
      <c r="Q98" s="9">
        <f t="shared" si="89"/>
        <v>119735.03097299993</v>
      </c>
      <c r="R98" s="9">
        <f t="shared" si="89"/>
        <v>119735.03097299993</v>
      </c>
      <c r="S98" s="9">
        <f t="shared" si="89"/>
        <v>119735.03097299993</v>
      </c>
      <c r="T98" s="9">
        <f t="shared" si="89"/>
        <v>119735.03097299993</v>
      </c>
      <c r="U98" s="9">
        <f t="shared" si="89"/>
        <v>119735.03097299993</v>
      </c>
      <c r="V98" s="9">
        <f t="shared" si="89"/>
        <v>119735.03097299993</v>
      </c>
      <c r="W98" s="9">
        <f t="shared" si="89"/>
        <v>119735.03097299993</v>
      </c>
      <c r="X98" s="9">
        <f t="shared" si="89"/>
        <v>119735.03097299993</v>
      </c>
      <c r="Y98" s="9">
        <f t="shared" si="89"/>
        <v>119735.03097299993</v>
      </c>
      <c r="Z98" s="9">
        <f t="shared" ref="Z98:AK98" si="90">($CP$42*$C$88)/12</f>
        <v>8331.601037249995</v>
      </c>
      <c r="AA98" s="9">
        <f t="shared" si="90"/>
        <v>8331.601037249995</v>
      </c>
      <c r="AB98" s="9">
        <f t="shared" si="90"/>
        <v>8331.601037249995</v>
      </c>
      <c r="AC98" s="9">
        <f t="shared" si="90"/>
        <v>8331.601037249995</v>
      </c>
      <c r="AD98" s="9">
        <f t="shared" si="90"/>
        <v>8331.601037249995</v>
      </c>
      <c r="AE98" s="9">
        <f t="shared" si="90"/>
        <v>8331.601037249995</v>
      </c>
      <c r="AF98" s="9">
        <f t="shared" si="90"/>
        <v>8331.601037249995</v>
      </c>
      <c r="AG98" s="9">
        <f t="shared" si="90"/>
        <v>8331.601037249995</v>
      </c>
      <c r="AH98" s="9">
        <f t="shared" si="90"/>
        <v>8331.601037249995</v>
      </c>
      <c r="AI98" s="9">
        <f t="shared" si="90"/>
        <v>8331.601037249995</v>
      </c>
      <c r="AJ98" s="9">
        <f t="shared" si="90"/>
        <v>8331.601037249995</v>
      </c>
      <c r="AK98" s="9">
        <f t="shared" si="90"/>
        <v>8331.601037249995</v>
      </c>
      <c r="AL98" s="9">
        <f t="shared" ref="AL98:AW98" si="91">($CP$42*$D$88)/12</f>
        <v>7708.4619014999944</v>
      </c>
      <c r="AM98" s="9">
        <f t="shared" si="91"/>
        <v>7708.4619014999944</v>
      </c>
      <c r="AN98" s="9">
        <f t="shared" si="91"/>
        <v>7708.4619014999944</v>
      </c>
      <c r="AO98" s="9">
        <f t="shared" si="91"/>
        <v>7708.4619014999944</v>
      </c>
      <c r="AP98" s="9">
        <f t="shared" si="91"/>
        <v>7708.4619014999944</v>
      </c>
      <c r="AQ98" s="9">
        <f t="shared" si="91"/>
        <v>7708.4619014999944</v>
      </c>
      <c r="AR98" s="9">
        <f t="shared" si="91"/>
        <v>7708.4619014999944</v>
      </c>
      <c r="AS98" s="9">
        <f t="shared" si="91"/>
        <v>7708.4619014999944</v>
      </c>
      <c r="AT98" s="9">
        <f t="shared" si="91"/>
        <v>7708.4619014999944</v>
      </c>
      <c r="AU98" s="9">
        <f t="shared" si="91"/>
        <v>7708.4619014999944</v>
      </c>
      <c r="AV98" s="9">
        <f t="shared" si="91"/>
        <v>7708.4619014999944</v>
      </c>
      <c r="AW98" s="9">
        <f t="shared" si="91"/>
        <v>7708.4619014999944</v>
      </c>
      <c r="AX98" s="9"/>
      <c r="AY98" s="9"/>
      <c r="AZ98" s="9"/>
      <c r="BA98" s="9"/>
      <c r="BB98" s="9"/>
      <c r="BC98" s="7"/>
      <c r="BD98" s="9"/>
      <c r="BE98" s="9"/>
      <c r="BF98" s="9"/>
      <c r="BG98" s="9"/>
      <c r="BH98" s="9"/>
      <c r="BI98" s="9"/>
      <c r="BJ98" s="9"/>
      <c r="BK98" s="9"/>
      <c r="BL98" s="9"/>
      <c r="BM98" s="9"/>
      <c r="BN98" s="9"/>
      <c r="BO98" s="9"/>
      <c r="BP98" s="9"/>
      <c r="BQ98" s="9"/>
      <c r="BR98" s="9"/>
      <c r="BS98" s="9"/>
      <c r="BT98" s="9"/>
      <c r="BU98" s="9"/>
      <c r="CG98" s="9"/>
      <c r="CH98" s="9"/>
      <c r="CI98" s="9"/>
      <c r="CJ98" s="9"/>
      <c r="CK98" s="9"/>
      <c r="CL98" s="9"/>
      <c r="CM98" s="9"/>
      <c r="CN98" s="9"/>
      <c r="CO98" s="9"/>
      <c r="CP98" s="9"/>
      <c r="CQ98" s="9"/>
      <c r="CR98" s="9"/>
    </row>
    <row r="99" spans="1:96">
      <c r="A99" s="40" t="s">
        <v>97</v>
      </c>
      <c r="B99" s="9"/>
      <c r="C99" s="9"/>
      <c r="D99" s="9"/>
      <c r="E99" s="9"/>
      <c r="F99" s="9"/>
      <c r="G99" s="9"/>
      <c r="H99" s="9"/>
      <c r="I99" s="9"/>
      <c r="J99" s="9"/>
      <c r="K99" s="9"/>
      <c r="L99" s="9"/>
      <c r="M99" s="9"/>
      <c r="N99" s="9">
        <f t="shared" ref="N99:Y99" si="92">($CQ$42*$B$89)/12</f>
        <v>4755697.6783333328</v>
      </c>
      <c r="O99" s="9">
        <f t="shared" si="92"/>
        <v>4755697.6783333328</v>
      </c>
      <c r="P99" s="9">
        <f t="shared" si="92"/>
        <v>4755697.6783333328</v>
      </c>
      <c r="Q99" s="9">
        <f t="shared" si="92"/>
        <v>4755697.6783333328</v>
      </c>
      <c r="R99" s="9">
        <f t="shared" si="92"/>
        <v>4755697.6783333328</v>
      </c>
      <c r="S99" s="9">
        <f t="shared" si="92"/>
        <v>4755697.6783333328</v>
      </c>
      <c r="T99" s="9">
        <f t="shared" si="92"/>
        <v>4755697.6783333328</v>
      </c>
      <c r="U99" s="9">
        <f t="shared" si="92"/>
        <v>4755697.6783333328</v>
      </c>
      <c r="V99" s="9">
        <f t="shared" si="92"/>
        <v>4755697.6783333328</v>
      </c>
      <c r="W99" s="9">
        <f t="shared" si="92"/>
        <v>4755697.6783333328</v>
      </c>
      <c r="X99" s="9">
        <f t="shared" si="92"/>
        <v>4755697.6783333328</v>
      </c>
      <c r="Y99" s="9">
        <f t="shared" si="92"/>
        <v>4755697.6783333328</v>
      </c>
      <c r="Z99" s="9">
        <f t="shared" ref="Z99:AK99" si="93">($CQ$42*$C$89)/12</f>
        <v>0</v>
      </c>
      <c r="AA99" s="9">
        <f t="shared" si="93"/>
        <v>0</v>
      </c>
      <c r="AB99" s="9">
        <f t="shared" si="93"/>
        <v>0</v>
      </c>
      <c r="AC99" s="9">
        <f t="shared" si="93"/>
        <v>0</v>
      </c>
      <c r="AD99" s="9">
        <f t="shared" si="93"/>
        <v>0</v>
      </c>
      <c r="AE99" s="9">
        <f t="shared" si="93"/>
        <v>0</v>
      </c>
      <c r="AF99" s="9">
        <f t="shared" si="93"/>
        <v>0</v>
      </c>
      <c r="AG99" s="9">
        <f t="shared" si="93"/>
        <v>0</v>
      </c>
      <c r="AH99" s="9">
        <f t="shared" si="93"/>
        <v>0</v>
      </c>
      <c r="AI99" s="9">
        <f t="shared" si="93"/>
        <v>0</v>
      </c>
      <c r="AJ99" s="9">
        <f t="shared" si="93"/>
        <v>0</v>
      </c>
      <c r="AK99" s="9">
        <f t="shared" si="93"/>
        <v>0</v>
      </c>
      <c r="AL99" s="9">
        <f t="shared" ref="AL99:AW99" si="94">($CQ$42*$D$89)/12</f>
        <v>0</v>
      </c>
      <c r="AM99" s="9">
        <f t="shared" si="94"/>
        <v>0</v>
      </c>
      <c r="AN99" s="9">
        <f t="shared" si="94"/>
        <v>0</v>
      </c>
      <c r="AO99" s="9">
        <f t="shared" si="94"/>
        <v>0</v>
      </c>
      <c r="AP99" s="9">
        <f t="shared" si="94"/>
        <v>0</v>
      </c>
      <c r="AQ99" s="9">
        <f t="shared" si="94"/>
        <v>0</v>
      </c>
      <c r="AR99" s="9">
        <f t="shared" si="94"/>
        <v>0</v>
      </c>
      <c r="AS99" s="9">
        <f t="shared" si="94"/>
        <v>0</v>
      </c>
      <c r="AT99" s="9">
        <f t="shared" si="94"/>
        <v>0</v>
      </c>
      <c r="AU99" s="9">
        <f t="shared" si="94"/>
        <v>0</v>
      </c>
      <c r="AV99" s="9">
        <f t="shared" si="94"/>
        <v>0</v>
      </c>
      <c r="AW99" s="9">
        <f t="shared" si="94"/>
        <v>0</v>
      </c>
      <c r="AX99" s="9"/>
      <c r="AY99" s="9"/>
      <c r="AZ99" s="9"/>
      <c r="BA99" s="9"/>
      <c r="BB99" s="9"/>
      <c r="BC99" s="7"/>
      <c r="BD99" s="9"/>
      <c r="BE99" s="9"/>
      <c r="BF99" s="9"/>
      <c r="BG99" s="9"/>
      <c r="BH99" s="9"/>
      <c r="BI99" s="9"/>
      <c r="BJ99" s="9"/>
      <c r="BK99" s="9"/>
      <c r="BL99" s="9"/>
      <c r="BM99" s="9"/>
      <c r="BN99" s="9"/>
      <c r="BO99" s="9"/>
      <c r="BP99" s="9"/>
      <c r="BQ99" s="9"/>
      <c r="BR99" s="9"/>
      <c r="BS99" s="9"/>
      <c r="BT99" s="9"/>
      <c r="BU99" s="9"/>
      <c r="CG99" s="9"/>
      <c r="CH99" s="9"/>
      <c r="CI99" s="9"/>
      <c r="CJ99" s="9"/>
      <c r="CK99" s="9"/>
      <c r="CL99" s="9"/>
      <c r="CM99" s="9"/>
      <c r="CN99" s="9"/>
      <c r="CO99" s="9"/>
      <c r="CP99" s="9"/>
      <c r="CQ99" s="9"/>
      <c r="CR99" s="9"/>
    </row>
    <row r="100" spans="1:96">
      <c r="A100" s="226" t="s">
        <v>322</v>
      </c>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7"/>
      <c r="BD100" s="9"/>
      <c r="BE100" s="9"/>
      <c r="BF100" s="9"/>
      <c r="BG100" s="9"/>
      <c r="BH100" s="9"/>
      <c r="BI100" s="9"/>
      <c r="BJ100" s="9"/>
      <c r="BK100" s="9"/>
      <c r="BL100" s="9"/>
      <c r="BM100" s="9"/>
      <c r="BN100" s="9"/>
      <c r="BO100" s="9"/>
      <c r="BP100" s="9"/>
      <c r="BQ100" s="9"/>
      <c r="BR100" s="9"/>
      <c r="BS100" s="9"/>
      <c r="BT100" s="9"/>
      <c r="BU100" s="9"/>
      <c r="CG100" s="9"/>
      <c r="CH100" s="9"/>
      <c r="CI100" s="9"/>
      <c r="CJ100" s="9"/>
      <c r="CK100" s="9"/>
      <c r="CL100" s="9"/>
      <c r="CM100" s="9"/>
      <c r="CN100" s="9"/>
      <c r="CO100" s="9"/>
      <c r="CP100" s="9"/>
      <c r="CQ100" s="9"/>
      <c r="CR100" s="9"/>
    </row>
    <row r="101" spans="1:96">
      <c r="A101" s="225" t="s">
        <v>378</v>
      </c>
      <c r="B101" s="9"/>
      <c r="C101" s="9"/>
      <c r="D101" s="9"/>
      <c r="E101" s="9"/>
      <c r="F101" s="9"/>
      <c r="G101" s="9"/>
      <c r="H101" s="9"/>
      <c r="I101" s="9"/>
      <c r="J101" s="9"/>
      <c r="K101" s="9"/>
      <c r="L101" s="9"/>
      <c r="M101" s="9"/>
      <c r="N101" s="9"/>
      <c r="O101" s="9"/>
      <c r="P101" s="9"/>
      <c r="Q101" s="9"/>
      <c r="R101" s="9"/>
      <c r="S101" s="9"/>
      <c r="T101" s="9"/>
      <c r="U101" s="9"/>
      <c r="V101" s="9"/>
      <c r="W101" s="9"/>
      <c r="X101" s="9"/>
      <c r="Y101" s="9"/>
      <c r="Z101" s="9">
        <f t="shared" ref="Z101:AK101" si="95">($CV$42*$B$88)/12</f>
        <v>2470041.442005333</v>
      </c>
      <c r="AA101" s="9">
        <f t="shared" si="95"/>
        <v>2470041.442005333</v>
      </c>
      <c r="AB101" s="9">
        <f t="shared" si="95"/>
        <v>2470041.442005333</v>
      </c>
      <c r="AC101" s="9">
        <f t="shared" si="95"/>
        <v>2470041.442005333</v>
      </c>
      <c r="AD101" s="9">
        <f t="shared" si="95"/>
        <v>2470041.442005333</v>
      </c>
      <c r="AE101" s="9">
        <f t="shared" si="95"/>
        <v>2470041.442005333</v>
      </c>
      <c r="AF101" s="9">
        <f t="shared" si="95"/>
        <v>2470041.442005333</v>
      </c>
      <c r="AG101" s="9">
        <f t="shared" si="95"/>
        <v>2470041.442005333</v>
      </c>
      <c r="AH101" s="9">
        <f t="shared" si="95"/>
        <v>2470041.442005333</v>
      </c>
      <c r="AI101" s="9">
        <f t="shared" si="95"/>
        <v>2470041.442005333</v>
      </c>
      <c r="AJ101" s="9">
        <f t="shared" si="95"/>
        <v>2470041.442005333</v>
      </c>
      <c r="AK101" s="9">
        <f t="shared" si="95"/>
        <v>2470041.442005333</v>
      </c>
      <c r="AL101" s="9">
        <f t="shared" ref="AL101:AW101" si="96">($CV$42*$C$88)/12</f>
        <v>171874.51051733328</v>
      </c>
      <c r="AM101" s="9">
        <f t="shared" si="96"/>
        <v>171874.51051733328</v>
      </c>
      <c r="AN101" s="9">
        <f t="shared" si="96"/>
        <v>171874.51051733328</v>
      </c>
      <c r="AO101" s="9">
        <f t="shared" si="96"/>
        <v>171874.51051733328</v>
      </c>
      <c r="AP101" s="9">
        <f t="shared" si="96"/>
        <v>171874.51051733328</v>
      </c>
      <c r="AQ101" s="9">
        <f t="shared" si="96"/>
        <v>171874.51051733328</v>
      </c>
      <c r="AR101" s="9">
        <f t="shared" si="96"/>
        <v>171874.51051733328</v>
      </c>
      <c r="AS101" s="9">
        <f t="shared" si="96"/>
        <v>171874.51051733328</v>
      </c>
      <c r="AT101" s="9">
        <f t="shared" si="96"/>
        <v>171874.51051733328</v>
      </c>
      <c r="AU101" s="9">
        <f t="shared" si="96"/>
        <v>171874.51051733328</v>
      </c>
      <c r="AV101" s="9">
        <f t="shared" si="96"/>
        <v>171874.51051733328</v>
      </c>
      <c r="AW101" s="9">
        <f t="shared" si="96"/>
        <v>171874.51051733328</v>
      </c>
      <c r="AX101" s="9"/>
      <c r="AY101" s="9"/>
      <c r="AZ101" s="9"/>
      <c r="BA101" s="9"/>
      <c r="BB101" s="9"/>
      <c r="BC101" s="7"/>
      <c r="BD101" s="9"/>
      <c r="BE101" s="9"/>
      <c r="BF101" s="9"/>
      <c r="BG101" s="9"/>
      <c r="BH101" s="9"/>
      <c r="BI101" s="9"/>
      <c r="BJ101" s="9"/>
      <c r="BK101" s="9"/>
      <c r="BL101" s="9"/>
      <c r="BM101" s="9"/>
      <c r="BN101" s="9"/>
      <c r="BO101" s="9"/>
      <c r="BP101" s="9"/>
      <c r="BQ101" s="9"/>
      <c r="BR101" s="9"/>
      <c r="BS101" s="9"/>
      <c r="BT101" s="9"/>
      <c r="BU101" s="9"/>
      <c r="CG101" s="9"/>
      <c r="CH101" s="9"/>
      <c r="CI101" s="9"/>
      <c r="CJ101" s="9"/>
      <c r="CK101" s="9"/>
      <c r="CL101" s="9"/>
      <c r="CM101" s="9"/>
      <c r="CN101" s="9"/>
      <c r="CO101" s="9"/>
      <c r="CP101" s="9"/>
      <c r="CQ101" s="9"/>
      <c r="CR101" s="9"/>
    </row>
    <row r="102" spans="1:96">
      <c r="A102" s="217" t="s">
        <v>272</v>
      </c>
      <c r="B102" s="28">
        <f>SUM(B94:B101)</f>
        <v>1287254.1387708341</v>
      </c>
      <c r="C102" s="28">
        <f t="shared" ref="C102:AW102" si="97">SUM(C94:C101)</f>
        <v>1287254.1387708341</v>
      </c>
      <c r="D102" s="28">
        <f t="shared" si="97"/>
        <v>1287254.1387708341</v>
      </c>
      <c r="E102" s="28">
        <f t="shared" si="97"/>
        <v>1287254.1387708341</v>
      </c>
      <c r="F102" s="28">
        <f t="shared" si="97"/>
        <v>1287254.1387708341</v>
      </c>
      <c r="G102" s="28">
        <f t="shared" si="97"/>
        <v>1287254.1387708341</v>
      </c>
      <c r="H102" s="28">
        <f t="shared" si="97"/>
        <v>1287254.1387708341</v>
      </c>
      <c r="I102" s="28">
        <f t="shared" si="97"/>
        <v>1287254.1387708341</v>
      </c>
      <c r="J102" s="28">
        <f t="shared" si="97"/>
        <v>1287254.1387708341</v>
      </c>
      <c r="K102" s="28">
        <f t="shared" si="97"/>
        <v>1287254.1387708341</v>
      </c>
      <c r="L102" s="28">
        <f t="shared" si="97"/>
        <v>1287254.1387708341</v>
      </c>
      <c r="M102" s="28">
        <f t="shared" si="97"/>
        <v>1287254.1387708341</v>
      </c>
      <c r="N102" s="28">
        <f t="shared" si="97"/>
        <v>4963704.2995125828</v>
      </c>
      <c r="O102" s="28">
        <f t="shared" si="97"/>
        <v>4963704.2995125828</v>
      </c>
      <c r="P102" s="28">
        <f t="shared" si="97"/>
        <v>4963704.2995125828</v>
      </c>
      <c r="Q102" s="28">
        <f t="shared" si="97"/>
        <v>4963704.2995125828</v>
      </c>
      <c r="R102" s="28">
        <f t="shared" si="97"/>
        <v>4963704.2995125828</v>
      </c>
      <c r="S102" s="28">
        <f t="shared" si="97"/>
        <v>4963704.2995125828</v>
      </c>
      <c r="T102" s="28">
        <f t="shared" si="97"/>
        <v>4963704.2995125828</v>
      </c>
      <c r="U102" s="28">
        <f t="shared" si="97"/>
        <v>4963704.2995125828</v>
      </c>
      <c r="V102" s="28">
        <f t="shared" si="97"/>
        <v>4963704.2995125828</v>
      </c>
      <c r="W102" s="28">
        <f t="shared" si="97"/>
        <v>4963704.2995125828</v>
      </c>
      <c r="X102" s="28">
        <f t="shared" si="97"/>
        <v>4963704.2995125828</v>
      </c>
      <c r="Y102" s="28">
        <f t="shared" si="97"/>
        <v>4963704.2995125828</v>
      </c>
      <c r="Z102" s="28">
        <f t="shared" si="97"/>
        <v>2557910.3916915832</v>
      </c>
      <c r="AA102" s="28">
        <f t="shared" si="97"/>
        <v>2557910.3916915832</v>
      </c>
      <c r="AB102" s="28">
        <f t="shared" si="97"/>
        <v>2557910.3916915832</v>
      </c>
      <c r="AC102" s="28">
        <f t="shared" si="97"/>
        <v>2557910.3916915832</v>
      </c>
      <c r="AD102" s="28">
        <f t="shared" si="97"/>
        <v>2557910.3916915832</v>
      </c>
      <c r="AE102" s="28">
        <f t="shared" si="97"/>
        <v>2557910.3916915832</v>
      </c>
      <c r="AF102" s="28">
        <f t="shared" si="97"/>
        <v>2557910.3916915832</v>
      </c>
      <c r="AG102" s="28">
        <f t="shared" si="97"/>
        <v>2557910.3916915832</v>
      </c>
      <c r="AH102" s="28">
        <f t="shared" si="97"/>
        <v>2557910.3916915832</v>
      </c>
      <c r="AI102" s="28">
        <f>SUM(AI94:AI101)</f>
        <v>2557910.3916915832</v>
      </c>
      <c r="AJ102" s="28">
        <f t="shared" si="97"/>
        <v>2557910.3916915832</v>
      </c>
      <c r="AK102" s="28">
        <f t="shared" si="97"/>
        <v>2557910.3916915832</v>
      </c>
      <c r="AL102" s="28">
        <f>SUM(AL94:AL101)</f>
        <v>251129.41921758323</v>
      </c>
      <c r="AM102" s="28">
        <f t="shared" si="97"/>
        <v>251129.41921758323</v>
      </c>
      <c r="AN102" s="28">
        <f t="shared" si="97"/>
        <v>251129.41921758323</v>
      </c>
      <c r="AO102" s="28">
        <f t="shared" si="97"/>
        <v>251129.41921758323</v>
      </c>
      <c r="AP102" s="28">
        <f t="shared" si="97"/>
        <v>251129.41921758323</v>
      </c>
      <c r="AQ102" s="28">
        <f t="shared" si="97"/>
        <v>251129.41921758323</v>
      </c>
      <c r="AR102" s="28">
        <f t="shared" si="97"/>
        <v>251129.41921758323</v>
      </c>
      <c r="AS102" s="28">
        <f t="shared" si="97"/>
        <v>251129.41921758323</v>
      </c>
      <c r="AT102" s="28">
        <f t="shared" si="97"/>
        <v>251129.41921758323</v>
      </c>
      <c r="AU102" s="28">
        <f t="shared" si="97"/>
        <v>251129.41921758323</v>
      </c>
      <c r="AV102" s="28">
        <f t="shared" si="97"/>
        <v>251129.41921758323</v>
      </c>
      <c r="AW102" s="28">
        <f t="shared" si="97"/>
        <v>251129.41921758323</v>
      </c>
      <c r="AX102" s="9"/>
      <c r="AY102" s="9"/>
      <c r="AZ102" s="9"/>
      <c r="BA102" s="9"/>
      <c r="BB102" s="9"/>
      <c r="BC102" s="7"/>
      <c r="BD102" s="9"/>
      <c r="BE102" s="9"/>
      <c r="BF102" s="9"/>
      <c r="BG102" s="9"/>
      <c r="BH102" s="9"/>
      <c r="BI102" s="9"/>
      <c r="BJ102" s="9"/>
      <c r="BK102" s="9"/>
      <c r="BL102" s="9"/>
      <c r="BM102" s="9"/>
      <c r="BN102" s="9"/>
      <c r="BO102" s="9"/>
      <c r="BP102" s="9"/>
      <c r="BQ102" s="9"/>
      <c r="BR102" s="9"/>
      <c r="BS102" s="9"/>
      <c r="BT102" s="9"/>
      <c r="BU102" s="9"/>
      <c r="CG102" s="9"/>
      <c r="CH102" s="9"/>
      <c r="CI102" s="9"/>
      <c r="CJ102" s="9"/>
      <c r="CK102" s="9"/>
      <c r="CL102" s="9"/>
      <c r="CM102" s="9"/>
      <c r="CN102" s="9"/>
      <c r="CO102" s="9"/>
      <c r="CP102" s="9"/>
      <c r="CQ102" s="9"/>
      <c r="CR102" s="9"/>
    </row>
    <row r="103" spans="1:96">
      <c r="A103" s="41" t="s">
        <v>135</v>
      </c>
      <c r="B103" s="9">
        <v>0</v>
      </c>
      <c r="C103" s="9">
        <v>0</v>
      </c>
      <c r="D103" s="9">
        <v>0</v>
      </c>
      <c r="E103" s="9">
        <v>0</v>
      </c>
      <c r="F103" s="9">
        <v>0</v>
      </c>
      <c r="G103" s="9">
        <v>0</v>
      </c>
      <c r="H103" s="9">
        <f>'Exhibit 1.1'!D59</f>
        <v>1137.9940250000013</v>
      </c>
      <c r="I103" s="9">
        <f>'Exhibit 1.1'!E59</f>
        <v>1137.9940250000013</v>
      </c>
      <c r="J103" s="9">
        <f>'Exhibit 1.1'!F59</f>
        <v>1808.9107750000014</v>
      </c>
      <c r="K103" s="9">
        <f>'Exhibit 1.1'!G59</f>
        <v>9823.2240225000023</v>
      </c>
      <c r="L103" s="9">
        <f>'Exhibit 1.1'!H59</f>
        <v>44333.039449999997</v>
      </c>
      <c r="M103" s="9">
        <f>'Exhibit 1.1'!I59</f>
        <v>44428.600142499999</v>
      </c>
      <c r="N103" s="9">
        <f>'Exhibit 1.1'!J59</f>
        <v>44341.803292500001</v>
      </c>
      <c r="O103" s="9">
        <f>'Exhibit 1.1'!K59</f>
        <v>44341.803292500001</v>
      </c>
      <c r="P103" s="9">
        <f>'Exhibit 1.1'!L59</f>
        <v>44634.238092500003</v>
      </c>
      <c r="Q103" s="9">
        <f>'Exhibit 1.1'!M59</f>
        <v>44636.436880000001</v>
      </c>
      <c r="R103" s="9">
        <f>'Exhibit 1.1'!N59</f>
        <v>46228.323242500002</v>
      </c>
      <c r="S103" s="9">
        <f>'Exhibit 1.1'!O59</f>
        <v>46078.870670000004</v>
      </c>
      <c r="T103" s="9">
        <f>'Exhibit 1.1'!P59</f>
        <v>50392.559280000009</v>
      </c>
      <c r="U103" s="9">
        <f>'Exhibit 1.1'!Q59</f>
        <v>102232.93725750002</v>
      </c>
      <c r="V103" s="9">
        <f>'Exhibit 1.1'!R59</f>
        <v>103857.53220500001</v>
      </c>
      <c r="W103" s="9">
        <f>'Exhibit 1.1'!S59</f>
        <v>103698.37017750002</v>
      </c>
      <c r="X103" s="9">
        <f>'Exhibit 1.1'!T59</f>
        <v>106430.51279000002</v>
      </c>
      <c r="Y103" s="9">
        <f>'Exhibit 1.1'!U59</f>
        <v>146110.044605</v>
      </c>
      <c r="Z103" s="9">
        <f>'Exhibit 1.1'!V59</f>
        <v>146204.69487750001</v>
      </c>
      <c r="AA103" s="9">
        <f>'Exhibit 1.1'!W59</f>
        <v>146317.58433250003</v>
      </c>
      <c r="AB103" s="9">
        <f>'Exhibit 1.1'!X59</f>
        <v>146659.63711000004</v>
      </c>
      <c r="AC103" s="9">
        <f>'Exhibit 1.1'!Y59</f>
        <v>146653.77812750003</v>
      </c>
      <c r="AD103" s="9">
        <f>'Exhibit 1.1'!Z59</f>
        <v>146695.40613000005</v>
      </c>
      <c r="AE103" s="9">
        <f>'Exhibit 1.1'!AA59</f>
        <v>147103.03686750005</v>
      </c>
      <c r="AF103" s="9">
        <f>'Exhibit 1.1'!AB59</f>
        <v>172432.45488000006</v>
      </c>
      <c r="AG103" s="9">
        <f>'Exhibit 1.1'!AC59</f>
        <v>173449.47606000004</v>
      </c>
      <c r="AH103" s="9">
        <f>'Exhibit 1.1'!AD59</f>
        <v>223625.73136750003</v>
      </c>
      <c r="AI103" s="9">
        <f>'Exhibit 1.1'!AE59</f>
        <v>244717.59040750007</v>
      </c>
      <c r="AJ103" s="9">
        <f>'Exhibit 1.1'!AF59</f>
        <v>244717.59040750007</v>
      </c>
      <c r="AK103" s="9">
        <f>'Exhibit 1.1'!AG59</f>
        <v>244717.59040750007</v>
      </c>
      <c r="AL103" s="9">
        <f>'Exhibit 1.1'!AH59</f>
        <v>244717.59040750007</v>
      </c>
      <c r="AM103" s="9">
        <f>'Exhibit 1.1'!AI59</f>
        <v>244717.59040750007</v>
      </c>
      <c r="AN103" s="9">
        <f>'Exhibit 1.1'!AJ59</f>
        <v>244717.59040750007</v>
      </c>
      <c r="AO103" s="9">
        <f>'Exhibit 1.1'!AK59</f>
        <v>244717.59040750007</v>
      </c>
      <c r="AP103" s="9">
        <f>'Exhibit 1.1'!AL59</f>
        <v>244717.59040750007</v>
      </c>
      <c r="AQ103" s="9">
        <f>'Exhibit 1.1'!AM59</f>
        <v>244717.59040750007</v>
      </c>
      <c r="AR103" s="9">
        <f>'Exhibit 1.1'!AN59</f>
        <v>244717.59040750007</v>
      </c>
      <c r="AS103" s="9">
        <f>'Exhibit 1.1'!AO59</f>
        <v>244717.59040750007</v>
      </c>
      <c r="AT103" s="9">
        <f>'Exhibit 1.1'!AP59</f>
        <v>244717.59040750007</v>
      </c>
      <c r="AU103" s="9">
        <f>'Exhibit 1.1'!AQ59</f>
        <v>244717.59040750007</v>
      </c>
      <c r="AV103" s="9">
        <f>'Exhibit 1.1'!AR59</f>
        <v>244717.59040750007</v>
      </c>
      <c r="AW103" s="9">
        <f>'Exhibit 1.1'!AS59</f>
        <v>244717.59040750007</v>
      </c>
      <c r="AX103" s="9"/>
      <c r="AY103" s="9"/>
      <c r="AZ103" s="9"/>
      <c r="BA103" s="9"/>
      <c r="BB103" s="9"/>
      <c r="BC103" s="7"/>
      <c r="BD103" s="9"/>
      <c r="BE103" s="9"/>
      <c r="BF103" s="9"/>
      <c r="BG103" s="9"/>
      <c r="BH103" s="9"/>
      <c r="BI103" s="9"/>
      <c r="BJ103" s="9"/>
      <c r="BK103" s="9"/>
      <c r="BL103" s="9"/>
      <c r="BM103" s="9"/>
      <c r="BN103" s="9"/>
      <c r="BO103" s="9"/>
      <c r="BP103" s="9"/>
      <c r="BQ103" s="9"/>
      <c r="BR103" s="9"/>
      <c r="BS103" s="9"/>
      <c r="BT103" s="9"/>
      <c r="BU103" s="9"/>
      <c r="CG103" s="9"/>
      <c r="CH103" s="9"/>
      <c r="CI103" s="9"/>
      <c r="CJ103" s="9"/>
      <c r="CK103" s="9"/>
      <c r="CL103" s="9"/>
      <c r="CM103" s="9"/>
      <c r="CN103" s="9"/>
      <c r="CO103" s="9"/>
      <c r="CP103" s="9"/>
      <c r="CQ103" s="9"/>
      <c r="CR103" s="9"/>
    </row>
    <row r="104" spans="1:96">
      <c r="A104" t="s">
        <v>297</v>
      </c>
      <c r="B104" s="9">
        <f>B102-B103</f>
        <v>1287254.1387708341</v>
      </c>
      <c r="C104" s="9">
        <f t="shared" ref="C104:AW104" si="98">C102-C103</f>
        <v>1287254.1387708341</v>
      </c>
      <c r="D104" s="9">
        <f t="shared" si="98"/>
        <v>1287254.1387708341</v>
      </c>
      <c r="E104" s="9">
        <f t="shared" si="98"/>
        <v>1287254.1387708341</v>
      </c>
      <c r="F104" s="9">
        <f t="shared" si="98"/>
        <v>1287254.1387708341</v>
      </c>
      <c r="G104" s="9">
        <f t="shared" si="98"/>
        <v>1287254.1387708341</v>
      </c>
      <c r="H104" s="9">
        <f t="shared" si="98"/>
        <v>1286116.1447458342</v>
      </c>
      <c r="I104" s="9">
        <f t="shared" si="98"/>
        <v>1286116.1447458342</v>
      </c>
      <c r="J104" s="9">
        <f t="shared" si="98"/>
        <v>1285445.2279958341</v>
      </c>
      <c r="K104" s="9">
        <f t="shared" si="98"/>
        <v>1277430.9147483341</v>
      </c>
      <c r="L104" s="9">
        <f t="shared" si="98"/>
        <v>1242921.099320834</v>
      </c>
      <c r="M104" s="9">
        <f t="shared" si="98"/>
        <v>1242825.5386283342</v>
      </c>
      <c r="N104" s="9">
        <f t="shared" si="98"/>
        <v>4919362.496220083</v>
      </c>
      <c r="O104" s="9">
        <f t="shared" si="98"/>
        <v>4919362.496220083</v>
      </c>
      <c r="P104" s="9">
        <f t="shared" si="98"/>
        <v>4919070.061420083</v>
      </c>
      <c r="Q104" s="9">
        <f t="shared" si="98"/>
        <v>4919067.8626325829</v>
      </c>
      <c r="R104" s="9">
        <f t="shared" si="98"/>
        <v>4917475.9762700824</v>
      </c>
      <c r="S104" s="9">
        <f t="shared" si="98"/>
        <v>4917625.4288425827</v>
      </c>
      <c r="T104" s="9">
        <f t="shared" si="98"/>
        <v>4913311.7402325831</v>
      </c>
      <c r="U104" s="9">
        <f t="shared" si="98"/>
        <v>4861471.3622550825</v>
      </c>
      <c r="V104" s="9">
        <f t="shared" si="98"/>
        <v>4859846.7673075832</v>
      </c>
      <c r="W104" s="9">
        <f t="shared" si="98"/>
        <v>4860005.9293350829</v>
      </c>
      <c r="X104" s="9">
        <f t="shared" si="98"/>
        <v>4857273.7867225828</v>
      </c>
      <c r="Y104" s="9">
        <f t="shared" si="98"/>
        <v>4817594.2549075829</v>
      </c>
      <c r="Z104" s="9">
        <f t="shared" si="98"/>
        <v>2411705.696814083</v>
      </c>
      <c r="AA104" s="9">
        <f t="shared" si="98"/>
        <v>2411592.8073590831</v>
      </c>
      <c r="AB104" s="9">
        <f t="shared" si="98"/>
        <v>2411250.7545815832</v>
      </c>
      <c r="AC104" s="9">
        <f t="shared" si="98"/>
        <v>2411256.6135640834</v>
      </c>
      <c r="AD104" s="9">
        <f t="shared" si="98"/>
        <v>2411214.9855615832</v>
      </c>
      <c r="AE104" s="9">
        <f t="shared" si="98"/>
        <v>2410807.3548240829</v>
      </c>
      <c r="AF104" s="9">
        <f t="shared" si="98"/>
        <v>2385477.9368115831</v>
      </c>
      <c r="AG104" s="9">
        <f t="shared" si="98"/>
        <v>2384460.915631583</v>
      </c>
      <c r="AH104" s="9">
        <f t="shared" si="98"/>
        <v>2334284.6603240832</v>
      </c>
      <c r="AI104" s="9">
        <f t="shared" si="98"/>
        <v>2313192.8012840832</v>
      </c>
      <c r="AJ104" s="9">
        <f t="shared" si="98"/>
        <v>2313192.8012840832</v>
      </c>
      <c r="AK104" s="9">
        <f t="shared" si="98"/>
        <v>2313192.8012840832</v>
      </c>
      <c r="AL104" s="9">
        <f t="shared" si="98"/>
        <v>6411.828810083156</v>
      </c>
      <c r="AM104" s="9">
        <f t="shared" si="98"/>
        <v>6411.828810083156</v>
      </c>
      <c r="AN104" s="9">
        <f t="shared" si="98"/>
        <v>6411.828810083156</v>
      </c>
      <c r="AO104" s="9">
        <f t="shared" si="98"/>
        <v>6411.828810083156</v>
      </c>
      <c r="AP104" s="9">
        <f t="shared" si="98"/>
        <v>6411.828810083156</v>
      </c>
      <c r="AQ104" s="9">
        <f t="shared" si="98"/>
        <v>6411.828810083156</v>
      </c>
      <c r="AR104" s="9">
        <f t="shared" si="98"/>
        <v>6411.828810083156</v>
      </c>
      <c r="AS104" s="9">
        <f t="shared" si="98"/>
        <v>6411.828810083156</v>
      </c>
      <c r="AT104" s="9">
        <f t="shared" si="98"/>
        <v>6411.828810083156</v>
      </c>
      <c r="AU104" s="9">
        <f t="shared" si="98"/>
        <v>6411.828810083156</v>
      </c>
      <c r="AV104" s="9">
        <f t="shared" si="98"/>
        <v>6411.828810083156</v>
      </c>
      <c r="AW104" s="9">
        <f t="shared" si="98"/>
        <v>6411.828810083156</v>
      </c>
      <c r="AX104" s="9"/>
      <c r="AY104" s="9"/>
      <c r="AZ104" s="9"/>
      <c r="BA104" s="9"/>
      <c r="BB104" s="9"/>
      <c r="BC104" s="7"/>
      <c r="BD104" s="9"/>
      <c r="BE104" s="9"/>
      <c r="BF104" s="9"/>
      <c r="BG104" s="9"/>
      <c r="BH104" s="9"/>
      <c r="BI104" s="9"/>
      <c r="BJ104" s="9"/>
      <c r="BK104" s="9"/>
      <c r="BL104" s="9"/>
      <c r="BM104" s="9"/>
      <c r="BN104" s="9"/>
      <c r="BO104" s="9"/>
      <c r="BP104" s="9"/>
      <c r="BQ104" s="9"/>
      <c r="BR104" s="9"/>
      <c r="BS104" s="9"/>
      <c r="BT104" s="9"/>
      <c r="BU104" s="9"/>
      <c r="CG104" s="9"/>
      <c r="CH104" s="9"/>
      <c r="CI104" s="9"/>
      <c r="CJ104" s="9"/>
      <c r="CK104" s="9"/>
      <c r="CL104" s="9"/>
      <c r="CM104" s="9"/>
      <c r="CN104" s="9"/>
      <c r="CO104" s="9"/>
      <c r="CP104" s="9"/>
      <c r="CQ104" s="9"/>
      <c r="CR104" s="9"/>
    </row>
    <row r="105" spans="1:96">
      <c r="A105" t="s">
        <v>298</v>
      </c>
      <c r="B105" s="9">
        <v>0.38</v>
      </c>
      <c r="C105" s="9">
        <v>0.38</v>
      </c>
      <c r="D105" s="9">
        <v>0.38</v>
      </c>
      <c r="E105" s="9">
        <v>0.38</v>
      </c>
      <c r="F105" s="9">
        <v>0.38</v>
      </c>
      <c r="G105" s="9">
        <v>0.38</v>
      </c>
      <c r="H105" s="9">
        <v>0.38</v>
      </c>
      <c r="I105" s="9">
        <v>0.38</v>
      </c>
      <c r="J105" s="9">
        <v>0.38</v>
      </c>
      <c r="K105" s="9">
        <v>0.38</v>
      </c>
      <c r="L105" s="9">
        <v>0.38</v>
      </c>
      <c r="M105" s="9">
        <v>0.38</v>
      </c>
      <c r="N105" s="9">
        <v>0.38</v>
      </c>
      <c r="O105" s="9">
        <v>0.38</v>
      </c>
      <c r="P105" s="9">
        <v>0.38</v>
      </c>
      <c r="Q105" s="9">
        <v>0.38</v>
      </c>
      <c r="R105" s="9">
        <v>0.38</v>
      </c>
      <c r="S105" s="9">
        <v>0.38</v>
      </c>
      <c r="T105" s="9">
        <v>0.38</v>
      </c>
      <c r="U105" s="9">
        <v>0.38</v>
      </c>
      <c r="V105" s="9">
        <v>0.38</v>
      </c>
      <c r="W105" s="9">
        <v>0.38</v>
      </c>
      <c r="X105" s="9">
        <v>0.38</v>
      </c>
      <c r="Y105" s="9">
        <v>0.38</v>
      </c>
      <c r="Z105" s="9">
        <v>0.38</v>
      </c>
      <c r="AA105" s="9">
        <v>0.38</v>
      </c>
      <c r="AB105" s="9">
        <v>0.38</v>
      </c>
      <c r="AC105" s="9">
        <v>0.38</v>
      </c>
      <c r="AD105" s="9">
        <v>0.38</v>
      </c>
      <c r="AE105" s="9">
        <v>0.38</v>
      </c>
      <c r="AF105" s="9">
        <v>0.38</v>
      </c>
      <c r="AG105" s="9">
        <v>0.38</v>
      </c>
      <c r="AH105" s="9">
        <v>0.38</v>
      </c>
      <c r="AI105" s="9">
        <v>0.38</v>
      </c>
      <c r="AJ105" s="9">
        <v>0.38</v>
      </c>
      <c r="AK105" s="9">
        <v>0.38</v>
      </c>
      <c r="AL105" s="9">
        <v>0.38</v>
      </c>
      <c r="AM105" s="9">
        <v>0.38</v>
      </c>
      <c r="AN105" s="9">
        <v>0.38</v>
      </c>
      <c r="AO105" s="9">
        <v>0.38</v>
      </c>
      <c r="AP105" s="9">
        <v>0.38</v>
      </c>
      <c r="AQ105" s="9">
        <v>0.38</v>
      </c>
      <c r="AR105" s="9">
        <v>0.38</v>
      </c>
      <c r="AS105" s="9">
        <v>0.38</v>
      </c>
      <c r="AT105" s="9">
        <v>0.38</v>
      </c>
      <c r="AU105" s="9">
        <v>0.38</v>
      </c>
      <c r="AV105" s="9">
        <v>0.38</v>
      </c>
      <c r="AW105" s="9">
        <v>0.38</v>
      </c>
      <c r="AX105" s="9"/>
      <c r="AY105" s="9"/>
      <c r="AZ105" s="9"/>
      <c r="BA105" s="9"/>
      <c r="BB105" s="9"/>
      <c r="BC105" s="7"/>
      <c r="BD105" s="9"/>
      <c r="BE105" s="9"/>
      <c r="BF105" s="9"/>
      <c r="BG105" s="9"/>
      <c r="BH105" s="9"/>
      <c r="BI105" s="9"/>
      <c r="BJ105" s="9"/>
      <c r="BK105" s="9"/>
      <c r="BL105" s="9"/>
      <c r="BM105" s="9"/>
      <c r="BN105" s="9"/>
      <c r="BO105" s="9"/>
      <c r="BP105" s="9"/>
      <c r="BQ105" s="9"/>
      <c r="BR105" s="9"/>
      <c r="BS105" s="9"/>
      <c r="BT105" s="9"/>
      <c r="BU105" s="9"/>
      <c r="CG105" s="9"/>
      <c r="CH105" s="9"/>
      <c r="CI105" s="9"/>
      <c r="CJ105" s="9"/>
      <c r="CK105" s="9"/>
      <c r="CL105" s="9"/>
      <c r="CM105" s="9"/>
      <c r="CN105" s="9"/>
      <c r="CO105" s="9"/>
      <c r="CP105" s="9"/>
      <c r="CQ105" s="9"/>
      <c r="CR105" s="9"/>
    </row>
    <row r="106" spans="1:96">
      <c r="A106" t="s">
        <v>299</v>
      </c>
      <c r="B106" s="9">
        <f>B104*B105</f>
        <v>489156.57273291697</v>
      </c>
      <c r="C106" s="9">
        <f t="shared" ref="C106:AW106" si="99">C104*C105</f>
        <v>489156.57273291697</v>
      </c>
      <c r="D106" s="9">
        <f t="shared" si="99"/>
        <v>489156.57273291697</v>
      </c>
      <c r="E106" s="9">
        <f t="shared" si="99"/>
        <v>489156.57273291697</v>
      </c>
      <c r="F106" s="9">
        <f t="shared" si="99"/>
        <v>489156.57273291697</v>
      </c>
      <c r="G106" s="9">
        <f t="shared" si="99"/>
        <v>489156.57273291697</v>
      </c>
      <c r="H106" s="9">
        <f t="shared" si="99"/>
        <v>488724.13500341697</v>
      </c>
      <c r="I106" s="9">
        <f t="shared" si="99"/>
        <v>488724.13500341697</v>
      </c>
      <c r="J106" s="9">
        <f t="shared" si="99"/>
        <v>488469.18663841696</v>
      </c>
      <c r="K106" s="9">
        <f t="shared" si="99"/>
        <v>485423.74760436697</v>
      </c>
      <c r="L106" s="9">
        <f t="shared" si="99"/>
        <v>472310.01774191693</v>
      </c>
      <c r="M106" s="9">
        <f t="shared" si="99"/>
        <v>472273.70467876701</v>
      </c>
      <c r="N106" s="9">
        <f t="shared" si="99"/>
        <v>1869357.7485636314</v>
      </c>
      <c r="O106" s="9">
        <f t="shared" si="99"/>
        <v>1869357.7485636314</v>
      </c>
      <c r="P106" s="9">
        <f t="shared" si="99"/>
        <v>1869246.6233396316</v>
      </c>
      <c r="Q106" s="9">
        <f t="shared" si="99"/>
        <v>1869245.7878003814</v>
      </c>
      <c r="R106" s="9">
        <f t="shared" si="99"/>
        <v>1868640.8709826313</v>
      </c>
      <c r="S106" s="9">
        <f t="shared" si="99"/>
        <v>1868697.6629601815</v>
      </c>
      <c r="T106" s="9">
        <f t="shared" si="99"/>
        <v>1867058.4612883816</v>
      </c>
      <c r="U106" s="9">
        <f t="shared" si="99"/>
        <v>1847359.1176569313</v>
      </c>
      <c r="V106" s="9">
        <f t="shared" si="99"/>
        <v>1846741.7715768816</v>
      </c>
      <c r="W106" s="9">
        <f t="shared" si="99"/>
        <v>1846802.2531473315</v>
      </c>
      <c r="X106" s="9">
        <f t="shared" si="99"/>
        <v>1845764.0389545814</v>
      </c>
      <c r="Y106" s="9">
        <f t="shared" si="99"/>
        <v>1830685.8168648814</v>
      </c>
      <c r="Z106" s="9">
        <f t="shared" si="99"/>
        <v>916448.16478935152</v>
      </c>
      <c r="AA106" s="9">
        <f t="shared" si="99"/>
        <v>916405.26679645153</v>
      </c>
      <c r="AB106" s="9">
        <f t="shared" si="99"/>
        <v>916275.28674100165</v>
      </c>
      <c r="AC106" s="9">
        <f t="shared" si="99"/>
        <v>916277.51315435173</v>
      </c>
      <c r="AD106" s="9">
        <f t="shared" si="99"/>
        <v>916261.6945134016</v>
      </c>
      <c r="AE106" s="9">
        <f t="shared" si="99"/>
        <v>916106.79483315151</v>
      </c>
      <c r="AF106" s="9">
        <f t="shared" si="99"/>
        <v>906481.61598840158</v>
      </c>
      <c r="AG106" s="9">
        <f t="shared" si="99"/>
        <v>906095.14794000157</v>
      </c>
      <c r="AH106" s="9">
        <f t="shared" si="99"/>
        <v>887028.17092315166</v>
      </c>
      <c r="AI106" s="9">
        <f t="shared" si="99"/>
        <v>879013.26448795164</v>
      </c>
      <c r="AJ106" s="9">
        <f t="shared" si="99"/>
        <v>879013.26448795164</v>
      </c>
      <c r="AK106" s="9">
        <f t="shared" si="99"/>
        <v>879013.26448795164</v>
      </c>
      <c r="AL106" s="9">
        <f>AL104*AL105</f>
        <v>2436.4949478315993</v>
      </c>
      <c r="AM106" s="9">
        <f t="shared" si="99"/>
        <v>2436.4949478315993</v>
      </c>
      <c r="AN106" s="9">
        <f t="shared" si="99"/>
        <v>2436.4949478315993</v>
      </c>
      <c r="AO106" s="9">
        <f t="shared" si="99"/>
        <v>2436.4949478315993</v>
      </c>
      <c r="AP106" s="9">
        <f t="shared" si="99"/>
        <v>2436.4949478315993</v>
      </c>
      <c r="AQ106" s="9">
        <f t="shared" si="99"/>
        <v>2436.4949478315993</v>
      </c>
      <c r="AR106" s="9">
        <f t="shared" si="99"/>
        <v>2436.4949478315993</v>
      </c>
      <c r="AS106" s="9">
        <f t="shared" si="99"/>
        <v>2436.4949478315993</v>
      </c>
      <c r="AT106" s="9">
        <f t="shared" si="99"/>
        <v>2436.4949478315993</v>
      </c>
      <c r="AU106" s="9">
        <f t="shared" si="99"/>
        <v>2436.4949478315993</v>
      </c>
      <c r="AV106" s="9">
        <f t="shared" si="99"/>
        <v>2436.4949478315993</v>
      </c>
      <c r="AW106" s="9">
        <f t="shared" si="99"/>
        <v>2436.4949478315993</v>
      </c>
      <c r="AX106" s="9"/>
      <c r="AY106" s="9"/>
      <c r="AZ106" s="9"/>
      <c r="BA106" s="9"/>
      <c r="BB106" s="9"/>
      <c r="BC106" s="7"/>
      <c r="BD106" s="9"/>
      <c r="BE106" s="9"/>
      <c r="BF106" s="9"/>
      <c r="BG106" s="9"/>
      <c r="BH106" s="9"/>
      <c r="BI106" s="9"/>
      <c r="BJ106" s="9"/>
      <c r="BK106" s="9"/>
      <c r="BL106" s="9"/>
      <c r="BM106" s="9"/>
      <c r="BN106" s="9"/>
      <c r="BO106" s="9"/>
      <c r="BP106" s="9"/>
      <c r="BQ106" s="9"/>
      <c r="BR106" s="9"/>
      <c r="BS106" s="9"/>
      <c r="BT106" s="9"/>
      <c r="BU106" s="9"/>
      <c r="CG106" s="9"/>
      <c r="CH106" s="9"/>
      <c r="CI106" s="9"/>
      <c r="CJ106" s="9"/>
      <c r="CK106" s="9"/>
      <c r="CL106" s="9"/>
      <c r="CM106" s="9"/>
      <c r="CN106" s="9"/>
      <c r="CO106" s="9"/>
      <c r="CP106" s="9"/>
      <c r="CQ106" s="9"/>
      <c r="CR106" s="9"/>
    </row>
    <row r="107" spans="1:96">
      <c r="A107" t="s">
        <v>152</v>
      </c>
      <c r="B107" s="9">
        <f>B106</f>
        <v>489156.57273291697</v>
      </c>
      <c r="C107" s="9">
        <f>B107+C106</f>
        <v>978313.14546583395</v>
      </c>
      <c r="D107" s="9">
        <f t="shared" ref="D107:AK107" si="100">C107+D106</f>
        <v>1467469.7181987509</v>
      </c>
      <c r="E107" s="9">
        <f t="shared" si="100"/>
        <v>1956626.2909316679</v>
      </c>
      <c r="F107" s="9">
        <f t="shared" si="100"/>
        <v>2445782.8636645847</v>
      </c>
      <c r="G107" s="9">
        <f t="shared" si="100"/>
        <v>2934939.4363975017</v>
      </c>
      <c r="H107" s="9">
        <f t="shared" si="100"/>
        <v>3423663.5714009185</v>
      </c>
      <c r="I107" s="9">
        <f t="shared" si="100"/>
        <v>3912387.7064043353</v>
      </c>
      <c r="J107" s="9">
        <f t="shared" si="100"/>
        <v>4400856.8930427525</v>
      </c>
      <c r="K107" s="9">
        <f t="shared" si="100"/>
        <v>4886280.6406471198</v>
      </c>
      <c r="L107" s="9">
        <f t="shared" si="100"/>
        <v>5358590.6583890365</v>
      </c>
      <c r="M107" s="9">
        <f t="shared" si="100"/>
        <v>5830864.3630678039</v>
      </c>
      <c r="N107" s="9">
        <f t="shared" si="100"/>
        <v>7700222.1116314353</v>
      </c>
      <c r="O107" s="9">
        <f t="shared" si="100"/>
        <v>9569579.8601950668</v>
      </c>
      <c r="P107" s="9">
        <f t="shared" si="100"/>
        <v>11438826.483534697</v>
      </c>
      <c r="Q107" s="9">
        <f t="shared" si="100"/>
        <v>13308072.271335078</v>
      </c>
      <c r="R107" s="9">
        <f t="shared" si="100"/>
        <v>15176713.14231771</v>
      </c>
      <c r="S107" s="9">
        <f t="shared" si="100"/>
        <v>17045410.805277891</v>
      </c>
      <c r="T107" s="9">
        <f t="shared" si="100"/>
        <v>18912469.266566273</v>
      </c>
      <c r="U107" s="9">
        <f t="shared" si="100"/>
        <v>20759828.384223204</v>
      </c>
      <c r="V107" s="9">
        <f t="shared" si="100"/>
        <v>22606570.155800086</v>
      </c>
      <c r="W107" s="9">
        <f t="shared" si="100"/>
        <v>24453372.408947416</v>
      </c>
      <c r="X107" s="9">
        <f t="shared" si="100"/>
        <v>26299136.447901998</v>
      </c>
      <c r="Y107" s="9">
        <f t="shared" si="100"/>
        <v>28129822.264766879</v>
      </c>
      <c r="Z107" s="9">
        <f t="shared" si="100"/>
        <v>29046270.429556232</v>
      </c>
      <c r="AA107" s="9">
        <f t="shared" si="100"/>
        <v>29962675.696352683</v>
      </c>
      <c r="AB107" s="9">
        <f t="shared" si="100"/>
        <v>30878950.983093686</v>
      </c>
      <c r="AC107" s="9">
        <f t="shared" si="100"/>
        <v>31795228.496248037</v>
      </c>
      <c r="AD107" s="9">
        <f t="shared" si="100"/>
        <v>32711490.19076144</v>
      </c>
      <c r="AE107" s="9">
        <f t="shared" si="100"/>
        <v>33627596.985594593</v>
      </c>
      <c r="AF107" s="9">
        <f t="shared" si="100"/>
        <v>34534078.601582997</v>
      </c>
      <c r="AG107" s="9">
        <f t="shared" si="100"/>
        <v>35440173.749522999</v>
      </c>
      <c r="AH107" s="9">
        <f t="shared" si="100"/>
        <v>36327201.92044615</v>
      </c>
      <c r="AI107" s="9">
        <f>AH107+AI106</f>
        <v>37206215.184934102</v>
      </c>
      <c r="AJ107" s="9">
        <f t="shared" si="100"/>
        <v>38085228.449422054</v>
      </c>
      <c r="AK107" s="9">
        <f t="shared" si="100"/>
        <v>38964241.713910006</v>
      </c>
      <c r="AL107" s="9">
        <f t="shared" ref="AL107" si="101">AK107+AL106</f>
        <v>38966678.208857834</v>
      </c>
      <c r="AM107" s="9">
        <f t="shared" ref="AM107" si="102">AL107+AM106</f>
        <v>38969114.703805663</v>
      </c>
      <c r="AN107" s="9">
        <f t="shared" ref="AN107" si="103">AM107+AN106</f>
        <v>38971551.198753491</v>
      </c>
      <c r="AO107" s="9">
        <f t="shared" ref="AO107" si="104">AN107+AO106</f>
        <v>38973987.693701319</v>
      </c>
      <c r="AP107" s="9">
        <f t="shared" ref="AP107" si="105">AO107+AP106</f>
        <v>38976424.188649148</v>
      </c>
      <c r="AQ107" s="9">
        <f t="shared" ref="AQ107" si="106">AP107+AQ106</f>
        <v>38978860.683596976</v>
      </c>
      <c r="AR107" s="9">
        <f t="shared" ref="AR107" si="107">AQ107+AR106</f>
        <v>38981297.178544804</v>
      </c>
      <c r="AS107" s="9">
        <f t="shared" ref="AS107" si="108">AR107+AS106</f>
        <v>38983733.673492633</v>
      </c>
      <c r="AT107" s="9">
        <f t="shared" ref="AT107" si="109">AS107+AT106</f>
        <v>38986170.168440461</v>
      </c>
      <c r="AU107" s="9">
        <f t="shared" ref="AU107" si="110">AT107+AU106</f>
        <v>38988606.66338829</v>
      </c>
      <c r="AV107" s="9">
        <f t="shared" ref="AV107" si="111">AU107+AV106</f>
        <v>38991043.158336118</v>
      </c>
      <c r="AW107" s="9">
        <f t="shared" ref="AW107" si="112">AV107+AW106</f>
        <v>38993479.653283946</v>
      </c>
      <c r="AX107" s="9"/>
      <c r="AY107" s="9"/>
      <c r="AZ107" s="9"/>
      <c r="BA107" s="9"/>
      <c r="BB107" s="9"/>
      <c r="BC107" s="7"/>
      <c r="BD107" s="9"/>
      <c r="BE107" s="9"/>
      <c r="BF107" s="9"/>
      <c r="BG107" s="9"/>
      <c r="BH107" s="9"/>
      <c r="BI107" s="9"/>
      <c r="BJ107" s="9"/>
      <c r="BK107" s="9"/>
      <c r="BL107" s="9"/>
      <c r="BM107" s="9"/>
      <c r="BN107" s="9"/>
      <c r="BO107" s="9"/>
      <c r="BP107" s="9"/>
      <c r="BQ107" s="9"/>
      <c r="BR107" s="9"/>
      <c r="BS107" s="9"/>
      <c r="BT107" s="9"/>
      <c r="BU107" s="9"/>
      <c r="CG107" s="9"/>
      <c r="CH107" s="9"/>
      <c r="CI107" s="9"/>
      <c r="CJ107" s="9"/>
      <c r="CK107" s="9"/>
      <c r="CL107" s="9"/>
      <c r="CM107" s="9"/>
      <c r="CN107" s="9"/>
      <c r="CO107" s="9"/>
      <c r="CP107" s="9"/>
      <c r="CQ107" s="9"/>
      <c r="CR107" s="9"/>
    </row>
    <row r="108" spans="1:96">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7"/>
      <c r="BD108" s="9"/>
      <c r="BE108" s="9"/>
      <c r="BF108" s="9"/>
      <c r="BG108" s="9"/>
      <c r="BH108" s="9"/>
      <c r="BI108" s="9"/>
      <c r="BJ108" s="9"/>
      <c r="BK108" s="9"/>
      <c r="BL108" s="9"/>
      <c r="BM108" s="9"/>
      <c r="BN108" s="9"/>
      <c r="BO108" s="9"/>
      <c r="BP108" s="9"/>
      <c r="BQ108" s="9"/>
      <c r="BR108" s="9"/>
      <c r="BS108" s="9"/>
      <c r="BT108" s="9"/>
      <c r="BU108" s="9"/>
      <c r="CG108" s="9"/>
      <c r="CH108" s="9"/>
      <c r="CI108" s="9"/>
      <c r="CJ108" s="9"/>
      <c r="CK108" s="9"/>
      <c r="CL108" s="9"/>
      <c r="CM108" s="9"/>
      <c r="CN108" s="9"/>
      <c r="CO108" s="9"/>
      <c r="CP108" s="9"/>
      <c r="CQ108" s="9"/>
      <c r="CR108" s="9"/>
    </row>
    <row r="109" spans="1:96">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7"/>
      <c r="BD109" s="9"/>
      <c r="BE109" s="9"/>
      <c r="BF109" s="9"/>
      <c r="BG109" s="9"/>
      <c r="BH109" s="9"/>
      <c r="BI109" s="9"/>
      <c r="BJ109" s="9"/>
      <c r="BK109" s="9"/>
      <c r="BL109" s="9"/>
      <c r="BM109" s="9"/>
      <c r="BN109" s="9"/>
      <c r="BO109" s="9"/>
      <c r="BP109" s="9"/>
      <c r="BQ109" s="9"/>
      <c r="BR109" s="9"/>
      <c r="BS109" s="9"/>
      <c r="BT109" s="9"/>
      <c r="BU109" s="9"/>
      <c r="CG109" s="9"/>
      <c r="CH109" s="9"/>
      <c r="CI109" s="9"/>
      <c r="CJ109" s="9"/>
      <c r="CK109" s="9"/>
      <c r="CL109" s="9"/>
      <c r="CM109" s="9"/>
      <c r="CN109" s="9"/>
      <c r="CO109" s="9"/>
      <c r="CP109" s="9"/>
      <c r="CQ109" s="9"/>
      <c r="CR109" s="9"/>
    </row>
    <row r="110" spans="1:96">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7"/>
      <c r="BD110" s="9"/>
      <c r="BE110" s="9"/>
      <c r="BF110" s="9"/>
      <c r="BG110" s="9"/>
      <c r="BH110" s="9"/>
      <c r="BI110" s="9"/>
      <c r="BJ110" s="9"/>
      <c r="BK110" s="9"/>
      <c r="BL110" s="9"/>
      <c r="BM110" s="9"/>
      <c r="BN110" s="9"/>
      <c r="BO110" s="9"/>
      <c r="BP110" s="9"/>
      <c r="BQ110" s="9"/>
      <c r="BR110" s="9"/>
      <c r="BS110" s="9"/>
      <c r="BT110" s="9"/>
      <c r="BU110" s="9"/>
      <c r="CG110" s="9"/>
      <c r="CH110" s="9"/>
      <c r="CI110" s="9"/>
      <c r="CJ110" s="9"/>
      <c r="CK110" s="9"/>
      <c r="CL110" s="9"/>
      <c r="CM110" s="9"/>
      <c r="CN110" s="9"/>
      <c r="CO110" s="9"/>
      <c r="CP110" s="9"/>
      <c r="CQ110" s="9"/>
      <c r="CR110" s="9"/>
    </row>
    <row r="111" spans="1:96">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7"/>
      <c r="BD111" s="9"/>
      <c r="BE111" s="9"/>
      <c r="BF111" s="9"/>
      <c r="BG111" s="9"/>
      <c r="BH111" s="9"/>
      <c r="BI111" s="9"/>
      <c r="BJ111" s="9"/>
      <c r="BK111" s="9"/>
      <c r="BL111" s="9"/>
      <c r="BM111" s="9"/>
      <c r="BN111" s="9"/>
      <c r="BO111" s="9"/>
      <c r="BP111" s="9"/>
      <c r="BQ111" s="9"/>
      <c r="BR111" s="9"/>
      <c r="BS111" s="9"/>
      <c r="BT111" s="9"/>
      <c r="BU111" s="9"/>
      <c r="CG111" s="9"/>
      <c r="CH111" s="9"/>
      <c r="CI111" s="9"/>
      <c r="CJ111" s="9"/>
      <c r="CK111" s="9"/>
      <c r="CL111" s="9"/>
      <c r="CM111" s="9"/>
      <c r="CN111" s="9"/>
      <c r="CO111" s="9"/>
      <c r="CP111" s="9"/>
      <c r="CQ111" s="9"/>
      <c r="CR111" s="9"/>
    </row>
    <row r="112" spans="1:96">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7"/>
      <c r="BD112" s="9"/>
      <c r="BE112" s="9"/>
      <c r="BF112" s="9"/>
      <c r="BG112" s="9"/>
      <c r="BH112" s="9"/>
      <c r="BI112" s="9"/>
      <c r="BJ112" s="9"/>
      <c r="BK112" s="9"/>
      <c r="BL112" s="9"/>
      <c r="BM112" s="9"/>
      <c r="BN112" s="9"/>
      <c r="BO112" s="9"/>
      <c r="BP112" s="9"/>
      <c r="BQ112" s="9"/>
      <c r="BR112" s="9"/>
      <c r="BS112" s="9"/>
      <c r="BT112" s="9"/>
      <c r="BU112" s="9"/>
      <c r="CG112" s="9"/>
      <c r="CH112" s="9"/>
      <c r="CI112" s="9"/>
      <c r="CJ112" s="9"/>
      <c r="CK112" s="9"/>
      <c r="CL112" s="9"/>
      <c r="CM112" s="9"/>
      <c r="CN112" s="9"/>
      <c r="CO112" s="9"/>
      <c r="CP112" s="9"/>
      <c r="CQ112" s="9"/>
      <c r="CR112" s="9"/>
    </row>
    <row r="113" spans="2:96">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7"/>
      <c r="BD113" s="9"/>
      <c r="BE113" s="9"/>
      <c r="BF113" s="9"/>
      <c r="BG113" s="9"/>
      <c r="BH113" s="9"/>
      <c r="BI113" s="9"/>
      <c r="BJ113" s="9"/>
      <c r="BK113" s="9"/>
      <c r="BL113" s="9"/>
      <c r="BM113" s="9"/>
      <c r="BN113" s="9"/>
      <c r="BO113" s="9"/>
      <c r="BP113" s="9"/>
      <c r="BQ113" s="9"/>
      <c r="BR113" s="9"/>
      <c r="BS113" s="9"/>
      <c r="BT113" s="9"/>
      <c r="BU113" s="9"/>
      <c r="CG113" s="9"/>
      <c r="CH113" s="9"/>
      <c r="CI113" s="9"/>
      <c r="CJ113" s="9"/>
      <c r="CK113" s="9"/>
      <c r="CL113" s="9"/>
      <c r="CM113" s="9"/>
      <c r="CN113" s="9"/>
      <c r="CO113" s="9"/>
      <c r="CP113" s="9"/>
      <c r="CQ113" s="9"/>
      <c r="CR113" s="9"/>
    </row>
    <row r="114" spans="2:96">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7"/>
      <c r="BD114" s="9"/>
      <c r="BE114" s="9"/>
      <c r="BF114" s="9"/>
      <c r="BG114" s="9"/>
      <c r="BH114" s="9"/>
      <c r="BI114" s="9"/>
      <c r="BJ114" s="9"/>
      <c r="BK114" s="9"/>
      <c r="BL114" s="9"/>
      <c r="BM114" s="9"/>
      <c r="BN114" s="9"/>
      <c r="BO114" s="9"/>
      <c r="BP114" s="9"/>
      <c r="BQ114" s="9"/>
      <c r="BR114" s="9"/>
      <c r="BS114" s="9"/>
      <c r="BT114" s="9"/>
      <c r="BU114" s="9"/>
      <c r="CG114" s="9"/>
      <c r="CH114" s="9"/>
      <c r="CI114" s="9"/>
      <c r="CJ114" s="9"/>
      <c r="CK114" s="9"/>
      <c r="CL114" s="9"/>
      <c r="CM114" s="9"/>
      <c r="CN114" s="9"/>
      <c r="CO114" s="9"/>
      <c r="CP114" s="9"/>
      <c r="CQ114" s="9"/>
      <c r="CR114" s="9"/>
    </row>
    <row r="115" spans="2:96">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7"/>
      <c r="BD115" s="9"/>
      <c r="BE115" s="9"/>
      <c r="BF115" s="9"/>
      <c r="BG115" s="9"/>
      <c r="BH115" s="9"/>
      <c r="BI115" s="9"/>
      <c r="BJ115" s="9"/>
      <c r="BK115" s="9"/>
      <c r="BL115" s="9"/>
      <c r="BM115" s="9"/>
      <c r="BN115" s="9"/>
      <c r="BO115" s="9"/>
      <c r="BP115" s="9"/>
      <c r="BQ115" s="9"/>
      <c r="BR115" s="9"/>
      <c r="BS115" s="9"/>
      <c r="BT115" s="9"/>
      <c r="BU115" s="9"/>
      <c r="CG115" s="9"/>
      <c r="CH115" s="9"/>
      <c r="CI115" s="9"/>
      <c r="CJ115" s="9"/>
      <c r="CK115" s="9"/>
      <c r="CL115" s="9"/>
      <c r="CM115" s="9"/>
      <c r="CN115" s="9"/>
      <c r="CO115" s="9"/>
      <c r="CP115" s="9"/>
      <c r="CQ115" s="9"/>
      <c r="CR115" s="9"/>
    </row>
    <row r="116" spans="2:96">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7"/>
      <c r="BD116" s="9"/>
      <c r="BE116" s="9"/>
      <c r="BF116" s="9"/>
      <c r="BG116" s="9"/>
      <c r="BH116" s="9"/>
      <c r="BI116" s="9"/>
      <c r="BJ116" s="9"/>
      <c r="BK116" s="9"/>
      <c r="BL116" s="9"/>
      <c r="BM116" s="9"/>
      <c r="BN116" s="9"/>
      <c r="BO116" s="9"/>
      <c r="BP116" s="9"/>
      <c r="BQ116" s="9"/>
      <c r="BR116" s="9"/>
      <c r="BS116" s="9"/>
      <c r="BT116" s="9"/>
      <c r="BU116" s="9"/>
      <c r="CG116" s="9"/>
      <c r="CH116" s="9"/>
      <c r="CI116" s="9"/>
      <c r="CJ116" s="9"/>
      <c r="CK116" s="9"/>
      <c r="CL116" s="9"/>
      <c r="CM116" s="9"/>
      <c r="CN116" s="9"/>
      <c r="CO116" s="9"/>
      <c r="CP116" s="9"/>
      <c r="CQ116" s="9"/>
      <c r="CR116" s="9"/>
    </row>
    <row r="117" spans="2:96">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7"/>
      <c r="BD117" s="9"/>
      <c r="BE117" s="9"/>
      <c r="BF117" s="9"/>
      <c r="BG117" s="9"/>
      <c r="BH117" s="9"/>
      <c r="BI117" s="9"/>
      <c r="BJ117" s="9"/>
      <c r="BK117" s="9"/>
      <c r="BL117" s="9"/>
      <c r="BM117" s="9"/>
      <c r="BN117" s="9"/>
      <c r="BO117" s="9"/>
      <c r="BP117" s="9"/>
      <c r="BQ117" s="9"/>
      <c r="BR117" s="9"/>
      <c r="BS117" s="9"/>
      <c r="BT117" s="9"/>
      <c r="BU117" s="9"/>
      <c r="CG117" s="9"/>
      <c r="CH117" s="9"/>
      <c r="CI117" s="9"/>
      <c r="CJ117" s="9"/>
      <c r="CK117" s="9"/>
      <c r="CL117" s="9"/>
      <c r="CM117" s="9"/>
      <c r="CN117" s="9"/>
      <c r="CO117" s="9"/>
      <c r="CP117" s="9"/>
      <c r="CQ117" s="9"/>
      <c r="CR117" s="9"/>
    </row>
  </sheetData>
  <sortState ref="A49:BS82">
    <sortCondition ref="A49:A82"/>
  </sortState>
  <mergeCells count="10">
    <mergeCell ref="CS2:CV2"/>
    <mergeCell ref="CK4:CL4"/>
    <mergeCell ref="CG3:CI3"/>
    <mergeCell ref="CK3:CM3"/>
    <mergeCell ref="CP3:CQ3"/>
    <mergeCell ref="BZ2:CI2"/>
    <mergeCell ref="CA4:CB4"/>
    <mergeCell ref="BZ3:CB3"/>
    <mergeCell ref="CE3:CF3"/>
    <mergeCell ref="CK2:CQ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S71"/>
  <sheetViews>
    <sheetView tabSelected="1" zoomScale="70" zoomScaleNormal="70" workbookViewId="0">
      <selection activeCell="U30" sqref="A30:XFD30"/>
    </sheetView>
  </sheetViews>
  <sheetFormatPr defaultRowHeight="12.75"/>
  <cols>
    <col min="1" max="1" width="3.85546875" customWidth="1"/>
    <col min="3" max="3" width="38.140625" bestFit="1" customWidth="1"/>
    <col min="4" max="7" width="13.85546875" style="9" customWidth="1"/>
    <col min="8" max="8" width="13.85546875" style="9" bestFit="1" customWidth="1"/>
    <col min="9" max="31" width="13.85546875" style="9" customWidth="1"/>
    <col min="32" max="33" width="12.7109375" style="9" bestFit="1" customWidth="1"/>
    <col min="34" max="40" width="12.140625" style="9" bestFit="1" customWidth="1"/>
    <col min="41" max="41" width="11.5703125" style="9" bestFit="1" customWidth="1"/>
    <col min="42" max="42" width="13.28515625" style="9" bestFit="1" customWidth="1"/>
    <col min="43" max="43" width="11.5703125" style="9" bestFit="1" customWidth="1"/>
    <col min="44" max="45" width="12.7109375" style="9" bestFit="1" customWidth="1"/>
    <col min="46" max="71" width="9.140625" style="9"/>
  </cols>
  <sheetData>
    <row r="1" spans="1:71" ht="15.75">
      <c r="A1" s="270" t="s">
        <v>291</v>
      </c>
      <c r="B1" s="270"/>
      <c r="C1" s="270"/>
      <c r="D1" s="270"/>
      <c r="E1" s="270"/>
      <c r="F1" s="270"/>
      <c r="G1" s="270"/>
      <c r="H1" s="270"/>
      <c r="I1" s="270"/>
      <c r="J1" s="270"/>
      <c r="K1" s="270"/>
      <c r="L1" s="270"/>
      <c r="M1" s="270"/>
      <c r="N1" s="270"/>
      <c r="O1" s="270"/>
      <c r="P1" s="270"/>
      <c r="Q1" s="270"/>
    </row>
    <row r="2" spans="1:71">
      <c r="D2" s="16" t="s">
        <v>173</v>
      </c>
      <c r="E2" s="16" t="s">
        <v>174</v>
      </c>
      <c r="F2" s="16" t="s">
        <v>175</v>
      </c>
      <c r="G2" s="16" t="s">
        <v>275</v>
      </c>
      <c r="H2" s="16" t="s">
        <v>193</v>
      </c>
      <c r="I2" s="16" t="s">
        <v>194</v>
      </c>
      <c r="J2" s="16" t="s">
        <v>195</v>
      </c>
      <c r="K2" s="16" t="s">
        <v>196</v>
      </c>
      <c r="L2" s="16" t="s">
        <v>197</v>
      </c>
      <c r="M2" s="16" t="s">
        <v>198</v>
      </c>
      <c r="N2" s="16" t="s">
        <v>199</v>
      </c>
      <c r="O2" s="16" t="s">
        <v>276</v>
      </c>
      <c r="P2" s="16" t="s">
        <v>277</v>
      </c>
      <c r="Q2" s="16" t="s">
        <v>278</v>
      </c>
      <c r="R2" s="16" t="s">
        <v>279</v>
      </c>
      <c r="S2" s="16" t="s">
        <v>280</v>
      </c>
      <c r="T2" s="16" t="s">
        <v>281</v>
      </c>
      <c r="U2" s="16" t="s">
        <v>282</v>
      </c>
      <c r="V2" s="16" t="s">
        <v>283</v>
      </c>
      <c r="W2" s="16" t="s">
        <v>284</v>
      </c>
      <c r="X2" s="16" t="s">
        <v>285</v>
      </c>
      <c r="Y2" s="16" t="s">
        <v>286</v>
      </c>
      <c r="Z2" s="16" t="s">
        <v>287</v>
      </c>
      <c r="AA2" s="16" t="s">
        <v>288</v>
      </c>
      <c r="AB2" s="16" t="s">
        <v>289</v>
      </c>
      <c r="AC2" s="16" t="s">
        <v>290</v>
      </c>
      <c r="AD2" s="229" t="s">
        <v>352</v>
      </c>
      <c r="AE2" s="229" t="s">
        <v>353</v>
      </c>
      <c r="AF2" s="229" t="s">
        <v>354</v>
      </c>
      <c r="AG2" s="229" t="s">
        <v>355</v>
      </c>
    </row>
    <row r="3" spans="1:71">
      <c r="D3" s="43">
        <v>40390</v>
      </c>
      <c r="E3" s="43">
        <f t="shared" ref="E3:AH3" si="0">EOMONTH(D3,1)</f>
        <v>40421</v>
      </c>
      <c r="F3" s="43">
        <f t="shared" si="0"/>
        <v>40451</v>
      </c>
      <c r="G3" s="43">
        <f t="shared" si="0"/>
        <v>40482</v>
      </c>
      <c r="H3" s="43">
        <f>EOMONTH(G3,1)</f>
        <v>40512</v>
      </c>
      <c r="I3" s="43">
        <f t="shared" si="0"/>
        <v>40543</v>
      </c>
      <c r="J3" s="43">
        <f t="shared" si="0"/>
        <v>40574</v>
      </c>
      <c r="K3" s="43">
        <f t="shared" si="0"/>
        <v>40602</v>
      </c>
      <c r="L3" s="43">
        <f t="shared" si="0"/>
        <v>40633</v>
      </c>
      <c r="M3" s="43">
        <f t="shared" si="0"/>
        <v>40663</v>
      </c>
      <c r="N3" s="43">
        <f t="shared" si="0"/>
        <v>40694</v>
      </c>
      <c r="O3" s="43">
        <f t="shared" si="0"/>
        <v>40724</v>
      </c>
      <c r="P3" s="43">
        <f t="shared" si="0"/>
        <v>40755</v>
      </c>
      <c r="Q3" s="43">
        <f t="shared" si="0"/>
        <v>40786</v>
      </c>
      <c r="R3" s="43">
        <f t="shared" si="0"/>
        <v>40816</v>
      </c>
      <c r="S3" s="43">
        <f t="shared" si="0"/>
        <v>40847</v>
      </c>
      <c r="T3" s="43">
        <f t="shared" si="0"/>
        <v>40877</v>
      </c>
      <c r="U3" s="43">
        <f t="shared" si="0"/>
        <v>40908</v>
      </c>
      <c r="V3" s="43">
        <f>EOMONTH(U3,1)</f>
        <v>40939</v>
      </c>
      <c r="W3" s="43">
        <f t="shared" si="0"/>
        <v>40968</v>
      </c>
      <c r="X3" s="43">
        <f t="shared" si="0"/>
        <v>40999</v>
      </c>
      <c r="Y3" s="43">
        <f t="shared" si="0"/>
        <v>41029</v>
      </c>
      <c r="Z3" s="43">
        <f t="shared" si="0"/>
        <v>41060</v>
      </c>
      <c r="AA3" s="43">
        <f t="shared" si="0"/>
        <v>41090</v>
      </c>
      <c r="AB3" s="43">
        <f t="shared" si="0"/>
        <v>41121</v>
      </c>
      <c r="AC3" s="43">
        <f t="shared" si="0"/>
        <v>41152</v>
      </c>
      <c r="AD3" s="43">
        <f t="shared" si="0"/>
        <v>41182</v>
      </c>
      <c r="AE3" s="43">
        <f>EOMONTH(AD3,1)</f>
        <v>41213</v>
      </c>
      <c r="AF3" s="43">
        <f t="shared" si="0"/>
        <v>41243</v>
      </c>
      <c r="AG3" s="43">
        <f t="shared" si="0"/>
        <v>41274</v>
      </c>
      <c r="AH3" s="43">
        <f t="shared" si="0"/>
        <v>41305</v>
      </c>
      <c r="AI3" s="43">
        <f t="shared" ref="AI3" si="1">EOMONTH(AH3,1)</f>
        <v>41333</v>
      </c>
      <c r="AJ3" s="43">
        <f t="shared" ref="AJ3:AK3" si="2">EOMONTH(AI3,1)</f>
        <v>41364</v>
      </c>
      <c r="AK3" s="43">
        <f t="shared" si="2"/>
        <v>41394</v>
      </c>
      <c r="AL3" s="43">
        <f t="shared" ref="AL3" si="3">EOMONTH(AK3,1)</f>
        <v>41425</v>
      </c>
      <c r="AM3" s="43">
        <f t="shared" ref="AM3:AN3" si="4">EOMONTH(AL3,1)</f>
        <v>41455</v>
      </c>
      <c r="AN3" s="43">
        <f t="shared" si="4"/>
        <v>41486</v>
      </c>
      <c r="AO3" s="43">
        <f t="shared" ref="AO3" si="5">EOMONTH(AN3,1)</f>
        <v>41517</v>
      </c>
      <c r="AP3" s="43">
        <f t="shared" ref="AP3:AS3" si="6">EOMONTH(AO3,1)</f>
        <v>41547</v>
      </c>
      <c r="AQ3" s="43">
        <f t="shared" si="6"/>
        <v>41578</v>
      </c>
      <c r="AR3" s="43">
        <f t="shared" ref="AR3" si="7">EOMONTH(AQ3,1)</f>
        <v>41608</v>
      </c>
      <c r="AS3" s="43">
        <f t="shared" si="6"/>
        <v>41639</v>
      </c>
    </row>
    <row r="4" spans="1:71">
      <c r="B4" s="3" t="s">
        <v>0</v>
      </c>
      <c r="C4" s="3" t="s">
        <v>125</v>
      </c>
    </row>
    <row r="5" spans="1:71">
      <c r="A5" s="69">
        <v>1</v>
      </c>
      <c r="B5" t="s">
        <v>12</v>
      </c>
      <c r="C5" t="s">
        <v>126</v>
      </c>
      <c r="D5" s="20"/>
      <c r="E5" s="20"/>
      <c r="F5" s="20"/>
      <c r="G5" s="20">
        <f>-Calculations!AS8</f>
        <v>670027.01</v>
      </c>
      <c r="H5" s="20">
        <f>-Calculations!AT8</f>
        <v>0</v>
      </c>
      <c r="I5" s="20">
        <f>-Calculations!AU8</f>
        <v>0</v>
      </c>
      <c r="J5" s="20">
        <f>-Calculations!AV8</f>
        <v>0</v>
      </c>
      <c r="K5" s="20">
        <f>-Calculations!AW8</f>
        <v>0</v>
      </c>
      <c r="L5" s="20">
        <f>-Calculations!AX8</f>
        <v>0</v>
      </c>
      <c r="M5" s="20">
        <f>-Calculations!AY8</f>
        <v>0</v>
      </c>
      <c r="N5" s="20">
        <f>-Calculations!AZ8</f>
        <v>18838.41</v>
      </c>
      <c r="O5" s="20">
        <f>-Calculations!BA8</f>
        <v>0</v>
      </c>
      <c r="P5" s="20">
        <f>-Calculations!BB8</f>
        <v>0</v>
      </c>
      <c r="Q5" s="20">
        <f>-Calculations!BC8</f>
        <v>0</v>
      </c>
      <c r="R5" s="20">
        <f>-Calculations!BD8</f>
        <v>0</v>
      </c>
      <c r="S5" s="20">
        <f>-Calculations!BE8</f>
        <v>0</v>
      </c>
      <c r="T5" s="20">
        <f>-Calculations!BF8</f>
        <v>0</v>
      </c>
      <c r="U5" s="20">
        <f>-Calculations!BG8</f>
        <v>0</v>
      </c>
      <c r="V5" s="20">
        <f>-Calculations!BH8</f>
        <v>0</v>
      </c>
      <c r="W5" s="20">
        <f>-Calculations!BI8</f>
        <v>0</v>
      </c>
      <c r="X5" s="20">
        <f>-Calculations!BJ8</f>
        <v>0</v>
      </c>
      <c r="Y5" s="20">
        <f>-Calculations!BK8</f>
        <v>0</v>
      </c>
      <c r="Z5" s="20">
        <f>-Calculations!BL8</f>
        <v>0</v>
      </c>
      <c r="AA5" s="20">
        <f>-Calculations!BM8</f>
        <v>0</v>
      </c>
      <c r="AB5" s="20">
        <f>-Calculations!BN8</f>
        <v>0</v>
      </c>
      <c r="AC5" s="20">
        <f>-Calculations!BO8</f>
        <v>0</v>
      </c>
      <c r="AD5" s="20">
        <f>-Calculations!BP8</f>
        <v>0</v>
      </c>
      <c r="AE5" s="20">
        <f>-Calculations!BQ8</f>
        <v>0</v>
      </c>
      <c r="AF5" s="20">
        <f>-Calculations!BR8</f>
        <v>0</v>
      </c>
      <c r="AG5" s="20">
        <f>-Calculations!BS8</f>
        <v>0</v>
      </c>
    </row>
    <row r="6" spans="1:71">
      <c r="A6" s="69">
        <f>A5+1</f>
        <v>2</v>
      </c>
      <c r="B6" t="s">
        <v>31</v>
      </c>
      <c r="C6" t="s">
        <v>127</v>
      </c>
      <c r="D6" s="9">
        <v>0</v>
      </c>
      <c r="F6" s="20">
        <v>383381</v>
      </c>
      <c r="G6" s="20">
        <f>-Calculations!AS9</f>
        <v>52900.19</v>
      </c>
      <c r="H6" s="20">
        <f>-Calculations!AT9</f>
        <v>0</v>
      </c>
      <c r="I6" s="20">
        <f>-Calculations!AU9</f>
        <v>54606.11</v>
      </c>
      <c r="J6" s="20">
        <f>-Calculations!AV9</f>
        <v>-49598.2</v>
      </c>
      <c r="K6" s="20">
        <f>-Calculations!AW9</f>
        <v>0</v>
      </c>
      <c r="L6" s="20">
        <f>-Calculations!AX9</f>
        <v>0</v>
      </c>
      <c r="M6" s="20">
        <f>-Calculations!AY9</f>
        <v>-3250.77</v>
      </c>
      <c r="N6" s="20">
        <f>-Calculations!AZ9</f>
        <v>0</v>
      </c>
      <c r="O6" s="20">
        <f>-Calculations!BA9</f>
        <v>0</v>
      </c>
      <c r="P6" s="20">
        <f>-Calculations!BB9</f>
        <v>0</v>
      </c>
      <c r="Q6" s="20">
        <f>-Calculations!BC9</f>
        <v>0</v>
      </c>
      <c r="R6" s="20">
        <f>-Calculations!BD9</f>
        <v>0</v>
      </c>
      <c r="S6" s="20">
        <f>-Calculations!BE9</f>
        <v>0</v>
      </c>
      <c r="T6" s="20">
        <f>-Calculations!BF9</f>
        <v>0</v>
      </c>
      <c r="U6" s="20">
        <f>-Calculations!BG9</f>
        <v>0</v>
      </c>
      <c r="V6" s="20">
        <f>-Calculations!BH9</f>
        <v>0</v>
      </c>
      <c r="W6" s="20">
        <f>-Calculations!BI9</f>
        <v>0</v>
      </c>
      <c r="X6" s="20">
        <f>-Calculations!BJ9</f>
        <v>0</v>
      </c>
      <c r="Y6" s="20">
        <f>-Calculations!BK9</f>
        <v>0</v>
      </c>
      <c r="Z6" s="20">
        <f>-Calculations!BL9</f>
        <v>0</v>
      </c>
      <c r="AA6" s="20">
        <f>-Calculations!BM9</f>
        <v>-5125.34</v>
      </c>
      <c r="AB6" s="20">
        <f>-Calculations!BN9</f>
        <v>0</v>
      </c>
      <c r="AC6" s="20">
        <f>-Calculations!BO9</f>
        <v>0</v>
      </c>
      <c r="AD6" s="20">
        <f>-Calculations!BP9</f>
        <v>0</v>
      </c>
      <c r="AE6" s="20">
        <f>-Calculations!BQ9</f>
        <v>0</v>
      </c>
      <c r="AF6" s="20">
        <f>-Calculations!BR9</f>
        <v>0</v>
      </c>
      <c r="AG6" s="20">
        <f>-Calculations!BS9</f>
        <v>0</v>
      </c>
    </row>
    <row r="7" spans="1:71">
      <c r="A7" s="69">
        <f t="shared" ref="A7:A54" si="8">A6+1</f>
        <v>3</v>
      </c>
      <c r="B7" t="s">
        <v>36</v>
      </c>
      <c r="C7" t="s">
        <v>128</v>
      </c>
      <c r="D7" s="20">
        <v>10750282.300000001</v>
      </c>
      <c r="E7" s="20"/>
      <c r="F7" s="20"/>
      <c r="G7" s="20">
        <f>-Calculations!AS10</f>
        <v>3856680.37</v>
      </c>
      <c r="H7" s="20">
        <f>-Calculations!AT10</f>
        <v>20371763.529999997</v>
      </c>
      <c r="I7" s="20">
        <f>-Calculations!AU10</f>
        <v>0</v>
      </c>
      <c r="J7" s="20">
        <f>-Calculations!AV10</f>
        <v>0</v>
      </c>
      <c r="K7" s="20">
        <f>-Calculations!AW10</f>
        <v>0</v>
      </c>
      <c r="L7" s="20">
        <f>-Calculations!AX10</f>
        <v>0</v>
      </c>
      <c r="M7" s="20">
        <f>-Calculations!AY10</f>
        <v>0</v>
      </c>
      <c r="N7" s="20">
        <f>-Calculations!AZ10</f>
        <v>890810.94</v>
      </c>
      <c r="O7" s="20">
        <f>-Calculations!BA10</f>
        <v>0</v>
      </c>
      <c r="P7" s="20">
        <f>-Calculations!BB10</f>
        <v>0</v>
      </c>
      <c r="Q7" s="20">
        <f>-Calculations!BC10</f>
        <v>0</v>
      </c>
      <c r="R7" s="20">
        <f>-Calculations!BD10</f>
        <v>300939.62</v>
      </c>
      <c r="S7" s="20">
        <f>-Calculations!BE10</f>
        <v>0</v>
      </c>
      <c r="T7" s="20">
        <f>-Calculations!BF10</f>
        <v>19045.150000000001</v>
      </c>
      <c r="U7" s="20">
        <f>-Calculations!BG10</f>
        <v>4750.3999999999996</v>
      </c>
      <c r="V7" s="20">
        <f>-Calculations!BH10</f>
        <v>17893.23</v>
      </c>
      <c r="W7" s="20">
        <f>-Calculations!BI10</f>
        <v>78998.58</v>
      </c>
      <c r="X7" s="20">
        <f>-Calculations!BJ10</f>
        <v>24731.79</v>
      </c>
      <c r="Y7" s="20">
        <f>-Calculations!BK10</f>
        <v>-55745.08</v>
      </c>
      <c r="Z7" s="20">
        <f>-Calculations!BL10</f>
        <v>0</v>
      </c>
      <c r="AA7" s="20">
        <f>-Calculations!BM10</f>
        <v>-68743.839999999997</v>
      </c>
      <c r="AB7" s="20">
        <f>-Calculations!BN10</f>
        <v>45773.21</v>
      </c>
      <c r="AC7" s="20">
        <f>-Calculations!BO10</f>
        <v>1787.489999999998</v>
      </c>
      <c r="AD7" s="20">
        <f>-Calculations!BP10</f>
        <v>-269.83999999999997</v>
      </c>
      <c r="AE7" s="20">
        <f>-Calculations!BQ10</f>
        <v>0</v>
      </c>
      <c r="AF7" s="20">
        <f>-Calculations!BR10</f>
        <v>0</v>
      </c>
      <c r="AG7" s="20">
        <f>-Calculations!BS10</f>
        <v>0</v>
      </c>
    </row>
    <row r="8" spans="1:71">
      <c r="A8" s="69">
        <f t="shared" si="8"/>
        <v>4</v>
      </c>
      <c r="B8" s="10" t="s">
        <v>57</v>
      </c>
      <c r="C8" s="2" t="s">
        <v>141</v>
      </c>
      <c r="D8" s="20"/>
      <c r="E8" s="20"/>
      <c r="F8" s="20"/>
      <c r="G8" s="20">
        <f>-Calculations!AS11</f>
        <v>0</v>
      </c>
      <c r="H8" s="20">
        <f>-Calculations!AT11</f>
        <v>0</v>
      </c>
      <c r="I8" s="20">
        <f>-Calculations!AU11</f>
        <v>0</v>
      </c>
      <c r="J8" s="20">
        <f>-Calculations!AV11</f>
        <v>0</v>
      </c>
      <c r="K8" s="20">
        <f>-Calculations!AW11</f>
        <v>0</v>
      </c>
      <c r="L8" s="20">
        <f>-Calculations!AX11</f>
        <v>0</v>
      </c>
      <c r="M8" s="20">
        <f>-Calculations!AY11</f>
        <v>0</v>
      </c>
      <c r="N8" s="20">
        <f>-Calculations!AZ11</f>
        <v>0</v>
      </c>
      <c r="O8" s="20">
        <f>-Calculations!BA11</f>
        <v>0</v>
      </c>
      <c r="P8" s="20">
        <f>-Calculations!BB11</f>
        <v>0</v>
      </c>
      <c r="Q8" s="20">
        <f>-Calculations!BC11</f>
        <v>6216955.0899999999</v>
      </c>
      <c r="R8" s="20">
        <f>-Calculations!BD11</f>
        <v>110789.52</v>
      </c>
      <c r="S8" s="20">
        <f>-Calculations!BE11</f>
        <v>0</v>
      </c>
      <c r="T8" s="20">
        <f>-Calculations!BF11</f>
        <v>181184.54</v>
      </c>
      <c r="U8" s="20">
        <f>-Calculations!BG11</f>
        <v>-3824.9</v>
      </c>
      <c r="V8" s="20">
        <f>-Calculations!BH11</f>
        <v>0</v>
      </c>
      <c r="W8" s="20">
        <f>-Calculations!BI11</f>
        <v>0</v>
      </c>
      <c r="X8" s="20">
        <f>-Calculations!BJ11</f>
        <v>20142.810000000001</v>
      </c>
      <c r="Y8" s="20">
        <f>-Calculations!BK11</f>
        <v>201.04</v>
      </c>
      <c r="Z8" s="20">
        <f>-Calculations!BL11</f>
        <v>0</v>
      </c>
      <c r="AA8" s="20">
        <f>-Calculations!BM11</f>
        <v>-36884.82</v>
      </c>
      <c r="AB8" s="20">
        <f>-Calculations!BN11</f>
        <v>0</v>
      </c>
      <c r="AC8" s="20">
        <f>-Calculations!BO11</f>
        <v>0</v>
      </c>
      <c r="AD8" s="20">
        <f>-Calculations!BP11</f>
        <v>0</v>
      </c>
      <c r="AE8" s="20">
        <f>-Calculations!BQ11</f>
        <v>0</v>
      </c>
      <c r="AF8" s="20">
        <f>-Calculations!BR11</f>
        <v>0</v>
      </c>
      <c r="AG8" s="20">
        <f>-Calculations!BS11</f>
        <v>0</v>
      </c>
    </row>
    <row r="9" spans="1:71">
      <c r="A9" s="69">
        <f t="shared" si="8"/>
        <v>5</v>
      </c>
      <c r="B9" s="10" t="s">
        <v>328</v>
      </c>
      <c r="C9" s="215" t="s">
        <v>340</v>
      </c>
      <c r="D9" s="20"/>
      <c r="E9" s="20"/>
      <c r="F9" s="20"/>
      <c r="G9" s="20">
        <f>-Calculations!AS12</f>
        <v>0</v>
      </c>
      <c r="H9" s="20">
        <f>-Calculations!AT12</f>
        <v>0</v>
      </c>
      <c r="I9" s="20">
        <f>-Calculations!AU12</f>
        <v>0</v>
      </c>
      <c r="J9" s="20">
        <f>-Calculations!AV12</f>
        <v>0</v>
      </c>
      <c r="K9" s="20">
        <f>-Calculations!AW12</f>
        <v>0</v>
      </c>
      <c r="L9" s="20">
        <f>-Calculations!AX12</f>
        <v>0</v>
      </c>
      <c r="M9" s="20">
        <f>-Calculations!AY12</f>
        <v>0</v>
      </c>
      <c r="N9" s="20">
        <f>-Calculations!AZ12</f>
        <v>0</v>
      </c>
      <c r="O9" s="20">
        <f>-Calculations!BA12</f>
        <v>0</v>
      </c>
      <c r="P9" s="20">
        <f>-Calculations!BB12</f>
        <v>0</v>
      </c>
      <c r="Q9" s="20">
        <f>-Calculations!BC12</f>
        <v>0</v>
      </c>
      <c r="R9" s="20">
        <f>-Calculations!BD12</f>
        <v>0</v>
      </c>
      <c r="S9" s="20">
        <f>-Calculations!BE12</f>
        <v>0</v>
      </c>
      <c r="T9" s="20">
        <f>-Calculations!BF12</f>
        <v>0</v>
      </c>
      <c r="U9" s="20">
        <f>-Calculations!BG12</f>
        <v>173142.5</v>
      </c>
      <c r="V9" s="20">
        <f>-Calculations!BH12</f>
        <v>0</v>
      </c>
      <c r="W9" s="20">
        <f>-Calculations!BI12</f>
        <v>0</v>
      </c>
      <c r="X9" s="20">
        <f>-Calculations!BJ12</f>
        <v>869.8</v>
      </c>
      <c r="Y9" s="20">
        <f>-Calculations!BK12</f>
        <v>0</v>
      </c>
      <c r="Z9" s="20">
        <f>-Calculations!BL12</f>
        <v>0</v>
      </c>
      <c r="AA9" s="20">
        <f>-Calculations!BM12</f>
        <v>0</v>
      </c>
      <c r="AB9" s="20">
        <f>-Calculations!BN12</f>
        <v>0</v>
      </c>
      <c r="AC9" s="20">
        <f>-Calculations!BO12</f>
        <v>0</v>
      </c>
      <c r="AD9" s="20">
        <f>-Calculations!BP12</f>
        <v>0</v>
      </c>
      <c r="AE9" s="20">
        <f>-Calculations!BQ12</f>
        <v>0</v>
      </c>
      <c r="AF9" s="20">
        <f>-Calculations!BR12</f>
        <v>0</v>
      </c>
      <c r="AG9" s="20">
        <f>-Calculations!BS12</f>
        <v>0</v>
      </c>
    </row>
    <row r="10" spans="1:71">
      <c r="A10" s="69">
        <f t="shared" si="8"/>
        <v>6</v>
      </c>
      <c r="B10" s="10" t="s">
        <v>330</v>
      </c>
      <c r="C10" s="215" t="s">
        <v>341</v>
      </c>
      <c r="D10" s="20"/>
      <c r="E10" s="20"/>
      <c r="F10" s="20"/>
      <c r="G10" s="20">
        <f>-Calculations!AS13</f>
        <v>0</v>
      </c>
      <c r="H10" s="20">
        <f>-Calculations!AT13</f>
        <v>0</v>
      </c>
      <c r="I10" s="20">
        <f>-Calculations!AU13</f>
        <v>0</v>
      </c>
      <c r="J10" s="20">
        <f>-Calculations!AV13</f>
        <v>0</v>
      </c>
      <c r="K10" s="20">
        <f>-Calculations!AW13</f>
        <v>0</v>
      </c>
      <c r="L10" s="20">
        <f>-Calculations!AX13</f>
        <v>0</v>
      </c>
      <c r="M10" s="20">
        <f>-Calculations!AY13</f>
        <v>0</v>
      </c>
      <c r="N10" s="20">
        <f>-Calculations!AZ13</f>
        <v>0</v>
      </c>
      <c r="O10" s="20">
        <f>-Calculations!BA13</f>
        <v>0</v>
      </c>
      <c r="P10" s="20">
        <f>-Calculations!BB13</f>
        <v>0</v>
      </c>
      <c r="Q10" s="20">
        <f>-Calculations!BC13</f>
        <v>0</v>
      </c>
      <c r="R10" s="20">
        <f>-Calculations!BD13</f>
        <v>0</v>
      </c>
      <c r="S10" s="20">
        <f>-Calculations!BE13</f>
        <v>0</v>
      </c>
      <c r="T10" s="20">
        <f>-Calculations!BF13</f>
        <v>0</v>
      </c>
      <c r="U10" s="20">
        <f>-Calculations!BG13</f>
        <v>136901.19</v>
      </c>
      <c r="V10" s="20">
        <f>-Calculations!BH13</f>
        <v>0</v>
      </c>
      <c r="W10" s="20">
        <f>-Calculations!BI13</f>
        <v>0</v>
      </c>
      <c r="X10" s="20">
        <f>-Calculations!BJ13</f>
        <v>133.83000000000001</v>
      </c>
      <c r="Y10" s="20">
        <f>-Calculations!BK13</f>
        <v>62.33</v>
      </c>
      <c r="Z10" s="20">
        <f>-Calculations!BL13</f>
        <v>0</v>
      </c>
      <c r="AA10" s="20">
        <f>-Calculations!BM13</f>
        <v>0</v>
      </c>
      <c r="AB10" s="20">
        <f>-Calculations!BN13</f>
        <v>0</v>
      </c>
      <c r="AC10" s="20">
        <f>-Calculations!BO13</f>
        <v>0</v>
      </c>
      <c r="AD10" s="20">
        <f>-Calculations!BP13</f>
        <v>0</v>
      </c>
      <c r="AE10" s="20">
        <f>-Calculations!BQ13</f>
        <v>0</v>
      </c>
      <c r="AF10" s="20">
        <f>-Calculations!BR13</f>
        <v>0</v>
      </c>
      <c r="AG10" s="20">
        <f>-Calculations!BS13</f>
        <v>0</v>
      </c>
    </row>
    <row r="11" spans="1:71">
      <c r="A11" s="69">
        <f t="shared" si="8"/>
        <v>7</v>
      </c>
      <c r="B11" s="4" t="s">
        <v>373</v>
      </c>
      <c r="C11" s="246" t="s">
        <v>380</v>
      </c>
      <c r="D11" s="216"/>
      <c r="E11" s="216"/>
      <c r="F11" s="216"/>
      <c r="G11" s="20">
        <f>-Calculations!AS14</f>
        <v>0</v>
      </c>
      <c r="H11" s="20">
        <f>-Calculations!AT14</f>
        <v>0</v>
      </c>
      <c r="I11" s="20">
        <f>-Calculations!AU14</f>
        <v>0</v>
      </c>
      <c r="J11" s="20">
        <f>-Calculations!AV14</f>
        <v>0</v>
      </c>
      <c r="K11" s="20">
        <f>-Calculations!AW14</f>
        <v>0</v>
      </c>
      <c r="L11" s="20">
        <f>-Calculations!AX14</f>
        <v>0</v>
      </c>
      <c r="M11" s="20">
        <f>-Calculations!AY14</f>
        <v>0</v>
      </c>
      <c r="N11" s="20">
        <f>-Calculations!AZ14</f>
        <v>0</v>
      </c>
      <c r="O11" s="20">
        <f>-Calculations!BA14</f>
        <v>0</v>
      </c>
      <c r="P11" s="20">
        <f>-Calculations!BB14</f>
        <v>0</v>
      </c>
      <c r="Q11" s="20">
        <f>-Calculations!BC14</f>
        <v>0</v>
      </c>
      <c r="R11" s="20">
        <f>-Calculations!BD14</f>
        <v>0</v>
      </c>
      <c r="S11" s="20">
        <f>-Calculations!BE14</f>
        <v>0</v>
      </c>
      <c r="T11" s="20">
        <f>-Calculations!BF14</f>
        <v>0</v>
      </c>
      <c r="U11" s="20">
        <f>-Calculations!BG14</f>
        <v>0</v>
      </c>
      <c r="V11" s="20">
        <f>-Calculations!BH14</f>
        <v>0</v>
      </c>
      <c r="W11" s="20">
        <f>-Calculations!BI14</f>
        <v>0</v>
      </c>
      <c r="X11" s="20">
        <f>-Calculations!BJ14</f>
        <v>0</v>
      </c>
      <c r="Y11" s="20">
        <f>-Calculations!BK14</f>
        <v>0</v>
      </c>
      <c r="Z11" s="20">
        <f>-Calculations!BL14</f>
        <v>0</v>
      </c>
      <c r="AA11" s="20">
        <f>-Calculations!BM14</f>
        <v>0</v>
      </c>
      <c r="AB11" s="20">
        <f>-Calculations!BN14</f>
        <v>0</v>
      </c>
      <c r="AC11" s="20">
        <f>-Calculations!BO14</f>
        <v>264713.34999999998</v>
      </c>
      <c r="AD11" s="20">
        <f>-Calculations!BP14</f>
        <v>-46451.02</v>
      </c>
      <c r="AE11" s="20">
        <f>-Calculations!BQ14</f>
        <v>0</v>
      </c>
      <c r="AF11" s="216">
        <f>-Calculations!BR14</f>
        <v>0</v>
      </c>
      <c r="AG11" s="216">
        <f>-Calculations!BS14</f>
        <v>0</v>
      </c>
      <c r="AH11" s="7"/>
      <c r="AI11" s="7"/>
      <c r="AJ11" s="7"/>
      <c r="AK11" s="7"/>
      <c r="AL11" s="7"/>
      <c r="AM11" s="7"/>
      <c r="AN11" s="7"/>
      <c r="AO11" s="7"/>
      <c r="AP11" s="7"/>
      <c r="AQ11" s="7"/>
      <c r="AR11" s="7"/>
      <c r="AS11" s="7"/>
    </row>
    <row r="12" spans="1:71">
      <c r="A12" s="69">
        <f t="shared" si="8"/>
        <v>8</v>
      </c>
      <c r="B12" s="10" t="s">
        <v>304</v>
      </c>
      <c r="C12" s="215" t="s">
        <v>314</v>
      </c>
      <c r="D12" s="20"/>
      <c r="E12" s="20"/>
      <c r="F12" s="20"/>
      <c r="G12" s="20">
        <f>-Calculations!AS15</f>
        <v>0</v>
      </c>
      <c r="H12" s="20">
        <f>-Calculations!AT15</f>
        <v>0</v>
      </c>
      <c r="I12" s="20">
        <f>-Calculations!AU15</f>
        <v>0</v>
      </c>
      <c r="J12" s="20">
        <f>-Calculations!AV15</f>
        <v>0</v>
      </c>
      <c r="K12" s="20">
        <f>-Calculations!AW15</f>
        <v>0</v>
      </c>
      <c r="L12" s="20">
        <f>-Calculations!AX15</f>
        <v>0</v>
      </c>
      <c r="M12" s="20">
        <f>-Calculations!AY15</f>
        <v>0</v>
      </c>
      <c r="N12" s="20">
        <f>-Calculations!AZ15</f>
        <v>0</v>
      </c>
      <c r="O12" s="20">
        <f>-Calculations!BA15</f>
        <v>0</v>
      </c>
      <c r="P12" s="20">
        <f>-Calculations!BB15</f>
        <v>0</v>
      </c>
      <c r="Q12" s="20">
        <f>-Calculations!BC15</f>
        <v>0</v>
      </c>
      <c r="R12" s="20">
        <f>-Calculations!BD15</f>
        <v>0</v>
      </c>
      <c r="S12" s="20">
        <f>-Calculations!BE15</f>
        <v>0</v>
      </c>
      <c r="T12" s="20">
        <f>-Calculations!BF15</f>
        <v>249499.37</v>
      </c>
      <c r="U12" s="20">
        <f>-Calculations!BG15</f>
        <v>0</v>
      </c>
      <c r="V12" s="20">
        <f>-Calculations!BH15</f>
        <v>0</v>
      </c>
      <c r="W12" s="20">
        <f>-Calculations!BI15</f>
        <v>0</v>
      </c>
      <c r="X12" s="20">
        <f>-Calculations!BJ15</f>
        <v>-2280</v>
      </c>
      <c r="Y12" s="20">
        <f>-Calculations!BK15</f>
        <v>0</v>
      </c>
      <c r="Z12" s="20">
        <f>-Calculations!BL15</f>
        <v>0</v>
      </c>
      <c r="AA12" s="20">
        <f>-Calculations!BM15</f>
        <v>0</v>
      </c>
      <c r="AB12" s="20">
        <f>-Calculations!BN15</f>
        <v>0</v>
      </c>
      <c r="AC12" s="20">
        <f>-Calculations!BO15</f>
        <v>0</v>
      </c>
      <c r="AD12" s="20">
        <f>-Calculations!BP15</f>
        <v>0</v>
      </c>
      <c r="AE12" s="20">
        <f>-Calculations!BQ15</f>
        <v>0</v>
      </c>
      <c r="AF12" s="216">
        <f>-Calculations!BR15</f>
        <v>0</v>
      </c>
      <c r="AG12" s="216">
        <f>-Calculations!BS15</f>
        <v>0</v>
      </c>
    </row>
    <row r="13" spans="1:71">
      <c r="A13" s="69">
        <f t="shared" si="8"/>
        <v>9</v>
      </c>
      <c r="B13" s="10" t="s">
        <v>58</v>
      </c>
      <c r="C13" s="215" t="s">
        <v>313</v>
      </c>
      <c r="D13" s="20"/>
      <c r="E13" s="20"/>
      <c r="F13" s="20"/>
      <c r="G13" s="20">
        <f>-Calculations!AS16</f>
        <v>0</v>
      </c>
      <c r="H13" s="20">
        <f>-Calculations!AT16</f>
        <v>0</v>
      </c>
      <c r="I13" s="20">
        <f>-Calculations!AU16</f>
        <v>0</v>
      </c>
      <c r="J13" s="20">
        <f>-Calculations!AV16</f>
        <v>0</v>
      </c>
      <c r="K13" s="20">
        <f>-Calculations!AW16</f>
        <v>0</v>
      </c>
      <c r="L13" s="20">
        <f>-Calculations!AX16</f>
        <v>0</v>
      </c>
      <c r="M13" s="20">
        <f>-Calculations!AY16</f>
        <v>0</v>
      </c>
      <c r="N13" s="20">
        <f>-Calculations!AZ16</f>
        <v>0</v>
      </c>
      <c r="O13" s="20">
        <f>-Calculations!BA16</f>
        <v>0</v>
      </c>
      <c r="P13" s="20">
        <f>-Calculations!BB16</f>
        <v>0</v>
      </c>
      <c r="Q13" s="20">
        <f>-Calculations!BC16</f>
        <v>18991053.130000003</v>
      </c>
      <c r="R13" s="20">
        <f>-Calculations!BD16</f>
        <v>288904.96999999997</v>
      </c>
      <c r="S13" s="20">
        <f>-Calculations!BE16</f>
        <v>0</v>
      </c>
      <c r="T13" s="20">
        <f>-Calculations!BF16</f>
        <v>449392.73</v>
      </c>
      <c r="U13" s="20">
        <f>-Calculations!BG16</f>
        <v>12135.93</v>
      </c>
      <c r="V13" s="20">
        <f>-Calculations!BH16</f>
        <v>0</v>
      </c>
      <c r="W13" s="20">
        <f>-Calculations!BI16</f>
        <v>0</v>
      </c>
      <c r="X13" s="20">
        <f>-Calculations!BJ16</f>
        <v>16810.830000000002</v>
      </c>
      <c r="Y13" s="20">
        <f>-Calculations!BK16</f>
        <v>-83.28</v>
      </c>
      <c r="Z13" s="20">
        <f>-Calculations!BL16</f>
        <v>5790.37</v>
      </c>
      <c r="AA13" s="20">
        <f>-Calculations!BM16</f>
        <v>-203351.26</v>
      </c>
      <c r="AB13" s="20">
        <f>-Calculations!BN16</f>
        <v>0</v>
      </c>
      <c r="AC13" s="20">
        <f>-Calculations!BO16</f>
        <v>0</v>
      </c>
      <c r="AD13" s="20">
        <f>-Calculations!BP16</f>
        <v>0</v>
      </c>
      <c r="AE13" s="20">
        <f>-Calculations!BQ16</f>
        <v>0</v>
      </c>
      <c r="AF13" s="216">
        <f>-Calculations!BR16</f>
        <v>0</v>
      </c>
      <c r="AG13" s="216">
        <f>-Calculations!BS16</f>
        <v>0</v>
      </c>
    </row>
    <row r="14" spans="1:71" s="5" customFormat="1">
      <c r="A14" s="237">
        <f t="shared" si="8"/>
        <v>10</v>
      </c>
      <c r="B14" s="10" t="s">
        <v>59</v>
      </c>
      <c r="C14" s="2" t="s">
        <v>142</v>
      </c>
      <c r="D14" s="20"/>
      <c r="E14" s="20"/>
      <c r="F14" s="20"/>
      <c r="G14" s="20">
        <f>-Calculations!AS17</f>
        <v>0</v>
      </c>
      <c r="H14" s="20">
        <f>-Calculations!AT17</f>
        <v>0</v>
      </c>
      <c r="I14" s="20">
        <f>-Calculations!AU17</f>
        <v>0</v>
      </c>
      <c r="J14" s="20">
        <f>-Calculations!AV17</f>
        <v>0</v>
      </c>
      <c r="K14" s="20">
        <f>-Calculations!AW17</f>
        <v>0</v>
      </c>
      <c r="L14" s="20">
        <f>-Calculations!AX17</f>
        <v>0</v>
      </c>
      <c r="M14" s="20">
        <f>-Calculations!AY17</f>
        <v>0</v>
      </c>
      <c r="N14" s="20">
        <f>-Calculations!AZ17</f>
        <v>0</v>
      </c>
      <c r="O14" s="20">
        <f>-Calculations!BA17</f>
        <v>0</v>
      </c>
      <c r="P14" s="20">
        <f>-Calculations!BB17</f>
        <v>0</v>
      </c>
      <c r="Q14" s="20">
        <f>-Calculations!BC17</f>
        <v>5448678.0799999991</v>
      </c>
      <c r="R14" s="20">
        <f>-Calculations!BD17</f>
        <v>136756.13</v>
      </c>
      <c r="S14" s="20">
        <f>-Calculations!BE17</f>
        <v>0</v>
      </c>
      <c r="T14" s="20">
        <f>-Calculations!BF17</f>
        <v>284646.34000000003</v>
      </c>
      <c r="U14" s="20">
        <f>-Calculations!BG17</f>
        <v>0</v>
      </c>
      <c r="V14" s="20">
        <f>-Calculations!BH17</f>
        <v>0</v>
      </c>
      <c r="W14" s="20">
        <f>-Calculations!BI17</f>
        <v>0</v>
      </c>
      <c r="X14" s="20">
        <f>-Calculations!BJ17</f>
        <v>123959.44</v>
      </c>
      <c r="Y14" s="20">
        <f>-Calculations!BK17</f>
        <v>-18919.21</v>
      </c>
      <c r="Z14" s="20">
        <f>-Calculations!BL17</f>
        <v>17880.61</v>
      </c>
      <c r="AA14" s="20">
        <f>-Calculations!BM17</f>
        <v>-77304.179999999993</v>
      </c>
      <c r="AB14" s="20">
        <f>-Calculations!BN17</f>
        <v>0</v>
      </c>
      <c r="AC14" s="20">
        <f>-Calculations!BO17</f>
        <v>0</v>
      </c>
      <c r="AD14" s="20">
        <f>-Calculations!BP17</f>
        <v>0</v>
      </c>
      <c r="AE14" s="20">
        <f>-Calculations!BQ17</f>
        <v>0</v>
      </c>
      <c r="AF14" s="216">
        <f>-Calculations!BR17</f>
        <v>0</v>
      </c>
      <c r="AG14" s="216">
        <f>-Calculations!BS17</f>
        <v>0</v>
      </c>
      <c r="AH14" s="9"/>
      <c r="AI14" s="9"/>
      <c r="AJ14" s="9"/>
      <c r="AK14" s="9"/>
      <c r="AL14" s="9"/>
      <c r="AM14" s="9"/>
      <c r="AN14" s="9"/>
      <c r="AO14" s="9"/>
      <c r="AP14" s="9"/>
      <c r="AQ14" s="9"/>
      <c r="AR14" s="9"/>
      <c r="AS14" s="9"/>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row>
    <row r="15" spans="1:71" s="5" customFormat="1">
      <c r="A15" s="237">
        <f t="shared" si="8"/>
        <v>11</v>
      </c>
      <c r="B15" s="70" t="s">
        <v>305</v>
      </c>
      <c r="C15" s="233" t="s">
        <v>312</v>
      </c>
      <c r="D15" s="216"/>
      <c r="E15" s="216"/>
      <c r="F15" s="216"/>
      <c r="G15" s="20">
        <f>-Calculations!AS18</f>
        <v>0</v>
      </c>
      <c r="H15" s="20">
        <f>-Calculations!AT18</f>
        <v>0</v>
      </c>
      <c r="I15" s="20">
        <f>-Calculations!AU18</f>
        <v>0</v>
      </c>
      <c r="J15" s="20">
        <f>-Calculations!AV18</f>
        <v>0</v>
      </c>
      <c r="K15" s="20">
        <f>-Calculations!AW18</f>
        <v>0</v>
      </c>
      <c r="L15" s="20">
        <f>-Calculations!AX18</f>
        <v>167105.60000000001</v>
      </c>
      <c r="M15" s="20">
        <f>-Calculations!AY18</f>
        <v>4507.22</v>
      </c>
      <c r="N15" s="20">
        <f>-Calculations!AZ18</f>
        <v>0</v>
      </c>
      <c r="O15" s="20">
        <f>-Calculations!BA18</f>
        <v>-85401.47</v>
      </c>
      <c r="P15" s="20">
        <f>-Calculations!BB18</f>
        <v>85401.47</v>
      </c>
      <c r="Q15" s="20">
        <f>-Calculations!BC18</f>
        <v>0</v>
      </c>
      <c r="R15" s="20">
        <f>-Calculations!BD18</f>
        <v>0</v>
      </c>
      <c r="S15" s="20">
        <f>-Calculations!BE18</f>
        <v>0</v>
      </c>
      <c r="T15" s="20">
        <f>-Calculations!BF18</f>
        <v>0</v>
      </c>
      <c r="U15" s="20">
        <f>-Calculations!BG18</f>
        <v>0</v>
      </c>
      <c r="V15" s="20">
        <f>-Calculations!BH18</f>
        <v>0</v>
      </c>
      <c r="W15" s="20">
        <f>-Calculations!BI18</f>
        <v>0</v>
      </c>
      <c r="X15" s="20">
        <f>-Calculations!BJ18</f>
        <v>0</v>
      </c>
      <c r="Y15" s="20">
        <f>-Calculations!BK18</f>
        <v>-6460.5</v>
      </c>
      <c r="Z15" s="20">
        <f>-Calculations!BL18</f>
        <v>0</v>
      </c>
      <c r="AA15" s="20">
        <f>-Calculations!BM18</f>
        <v>224.13</v>
      </c>
      <c r="AB15" s="20">
        <f>-Calculations!BN18</f>
        <v>0</v>
      </c>
      <c r="AC15" s="20">
        <f>-Calculations!BO18</f>
        <v>0</v>
      </c>
      <c r="AD15" s="20">
        <f>-Calculations!BP18</f>
        <v>0</v>
      </c>
      <c r="AE15" s="20">
        <f>-Calculations!BQ18</f>
        <v>0</v>
      </c>
      <c r="AF15" s="216">
        <f>-Calculations!BR18</f>
        <v>0</v>
      </c>
      <c r="AG15" s="216">
        <f>-Calculations!BS18</f>
        <v>0</v>
      </c>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row>
    <row r="16" spans="1:71" s="5" customFormat="1">
      <c r="A16" s="237">
        <f t="shared" si="8"/>
        <v>12</v>
      </c>
      <c r="B16" s="70" t="s">
        <v>359</v>
      </c>
      <c r="C16" s="233" t="s">
        <v>364</v>
      </c>
      <c r="D16" s="216"/>
      <c r="E16" s="216"/>
      <c r="F16" s="216"/>
      <c r="G16" s="20">
        <f>-Calculations!AS19</f>
        <v>0</v>
      </c>
      <c r="H16" s="20">
        <f>-Calculations!AT19</f>
        <v>0</v>
      </c>
      <c r="I16" s="20">
        <f>-Calculations!AU19</f>
        <v>0</v>
      </c>
      <c r="J16" s="20">
        <f>-Calculations!AV19</f>
        <v>0</v>
      </c>
      <c r="K16" s="20">
        <f>-Calculations!AW19</f>
        <v>0</v>
      </c>
      <c r="L16" s="20">
        <f>-Calculations!AX19</f>
        <v>0</v>
      </c>
      <c r="M16" s="20">
        <f>-Calculations!AY19</f>
        <v>0</v>
      </c>
      <c r="N16" s="20">
        <f>-Calculations!AZ19</f>
        <v>0</v>
      </c>
      <c r="O16" s="20">
        <f>-Calculations!BA19</f>
        <v>0</v>
      </c>
      <c r="P16" s="20">
        <f>-Calculations!BB19</f>
        <v>0</v>
      </c>
      <c r="Q16" s="20">
        <f>-Calculations!BC19</f>
        <v>0</v>
      </c>
      <c r="R16" s="20">
        <f>-Calculations!BD19</f>
        <v>0</v>
      </c>
      <c r="S16" s="20">
        <f>-Calculations!BE19</f>
        <v>0</v>
      </c>
      <c r="T16" s="20">
        <f>-Calculations!BF19</f>
        <v>0</v>
      </c>
      <c r="U16" s="20">
        <f>-Calculations!BG19</f>
        <v>92429.05</v>
      </c>
      <c r="V16" s="20">
        <f>-Calculations!BH19</f>
        <v>0</v>
      </c>
      <c r="W16" s="20">
        <f>-Calculations!BI19</f>
        <v>0</v>
      </c>
      <c r="X16" s="20">
        <f>-Calculations!BJ19</f>
        <v>358.61</v>
      </c>
      <c r="Y16" s="20">
        <f>-Calculations!BK19</f>
        <v>165.03</v>
      </c>
      <c r="Z16" s="20">
        <f>-Calculations!BL19</f>
        <v>0</v>
      </c>
      <c r="AA16" s="20">
        <f>-Calculations!BM19</f>
        <v>0</v>
      </c>
      <c r="AB16" s="20">
        <f>-Calculations!BN19</f>
        <v>0</v>
      </c>
      <c r="AC16" s="20">
        <f>-Calculations!BO19</f>
        <v>0</v>
      </c>
      <c r="AD16" s="20">
        <f>-Calculations!BP19</f>
        <v>0</v>
      </c>
      <c r="AE16" s="20">
        <f>-Calculations!BQ19</f>
        <v>0</v>
      </c>
      <c r="AF16" s="216">
        <f>-Calculations!BR19</f>
        <v>0</v>
      </c>
      <c r="AG16" s="216">
        <f>-Calculations!BS19</f>
        <v>0</v>
      </c>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row>
    <row r="17" spans="1:71" s="5" customFormat="1">
      <c r="A17" s="237">
        <f t="shared" si="8"/>
        <v>13</v>
      </c>
      <c r="B17" s="70" t="s">
        <v>60</v>
      </c>
      <c r="C17" s="234" t="s">
        <v>143</v>
      </c>
      <c r="D17" s="216"/>
      <c r="E17" s="216"/>
      <c r="F17" s="216"/>
      <c r="G17" s="20">
        <f>-Calculations!AS20</f>
        <v>0</v>
      </c>
      <c r="H17" s="20">
        <f>-Calculations!AT20</f>
        <v>0</v>
      </c>
      <c r="I17" s="20">
        <f>-Calculations!AU20</f>
        <v>0</v>
      </c>
      <c r="J17" s="20">
        <f>-Calculations!AV20</f>
        <v>0</v>
      </c>
      <c r="K17" s="20">
        <f>-Calculations!AW20</f>
        <v>0</v>
      </c>
      <c r="L17" s="20">
        <f>-Calculations!AX20</f>
        <v>0</v>
      </c>
      <c r="M17" s="20">
        <f>-Calculations!AY20</f>
        <v>0</v>
      </c>
      <c r="N17" s="20">
        <f>-Calculations!AZ20</f>
        <v>0</v>
      </c>
      <c r="O17" s="20">
        <f>-Calculations!BA20</f>
        <v>0</v>
      </c>
      <c r="P17" s="20">
        <f>-Calculations!BB20</f>
        <v>0</v>
      </c>
      <c r="Q17" s="20">
        <f>-Calculations!BC20</f>
        <v>116112.02</v>
      </c>
      <c r="R17" s="20">
        <f>-Calculations!BD20</f>
        <v>0</v>
      </c>
      <c r="S17" s="20">
        <f>-Calculations!BE20</f>
        <v>0</v>
      </c>
      <c r="T17" s="20">
        <f>-Calculations!BF20</f>
        <v>0</v>
      </c>
      <c r="U17" s="20">
        <f>-Calculations!BG20</f>
        <v>0</v>
      </c>
      <c r="V17" s="20">
        <f>-Calculations!BH20</f>
        <v>0</v>
      </c>
      <c r="W17" s="20">
        <f>-Calculations!BI20</f>
        <v>0</v>
      </c>
      <c r="X17" s="20">
        <f>-Calculations!BJ20</f>
        <v>0</v>
      </c>
      <c r="Y17" s="20">
        <f>-Calculations!BK20</f>
        <v>15868.53</v>
      </c>
      <c r="Z17" s="20">
        <f>-Calculations!BL20</f>
        <v>0</v>
      </c>
      <c r="AA17" s="20">
        <f>-Calculations!BM20</f>
        <v>0</v>
      </c>
      <c r="AB17" s="20">
        <f>-Calculations!BN20</f>
        <v>0</v>
      </c>
      <c r="AC17" s="20">
        <f>-Calculations!BO20</f>
        <v>0</v>
      </c>
      <c r="AD17" s="20">
        <f>-Calculations!BP20</f>
        <v>0</v>
      </c>
      <c r="AE17" s="20">
        <f>-Calculations!BQ20</f>
        <v>0</v>
      </c>
      <c r="AF17" s="216">
        <f>-Calculations!BR20</f>
        <v>0</v>
      </c>
      <c r="AG17" s="216">
        <f>-Calculations!BS20</f>
        <v>0</v>
      </c>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row>
    <row r="18" spans="1:71" s="5" customFormat="1">
      <c r="A18" s="237">
        <f t="shared" si="8"/>
        <v>14</v>
      </c>
      <c r="B18" s="5" t="s">
        <v>61</v>
      </c>
      <c r="C18" s="5" t="s">
        <v>315</v>
      </c>
      <c r="D18" s="216"/>
      <c r="E18" s="216"/>
      <c r="F18" s="216"/>
      <c r="G18" s="20">
        <f>-Calculations!AS21</f>
        <v>0</v>
      </c>
      <c r="H18" s="20">
        <f>-Calculations!AT21</f>
        <v>0</v>
      </c>
      <c r="I18" s="20">
        <f>-Calculations!AU21</f>
        <v>0</v>
      </c>
      <c r="J18" s="20">
        <f>-Calculations!AV21</f>
        <v>0</v>
      </c>
      <c r="K18" s="20">
        <f>-Calculations!AW21</f>
        <v>0</v>
      </c>
      <c r="L18" s="20">
        <f>-Calculations!AX21</f>
        <v>0</v>
      </c>
      <c r="M18" s="20">
        <f>-Calculations!AY21</f>
        <v>0</v>
      </c>
      <c r="N18" s="20">
        <f>-Calculations!AZ21</f>
        <v>0</v>
      </c>
      <c r="O18" s="20">
        <f>-Calculations!BA21</f>
        <v>0</v>
      </c>
      <c r="P18" s="20">
        <f>-Calculations!BB21</f>
        <v>2379563.4500000002</v>
      </c>
      <c r="Q18" s="20">
        <f>-Calculations!BC21</f>
        <v>120467.54999999999</v>
      </c>
      <c r="R18" s="20">
        <f>-Calculations!BD21</f>
        <v>90949.73</v>
      </c>
      <c r="S18" s="20">
        <f>-Calculations!BE21</f>
        <v>-90949.73</v>
      </c>
      <c r="T18" s="20">
        <f>-Calculations!BF21</f>
        <v>16336.9</v>
      </c>
      <c r="U18" s="20">
        <f>-Calculations!BG21</f>
        <v>361.45</v>
      </c>
      <c r="V18" s="20">
        <f>-Calculations!BH21</f>
        <v>0</v>
      </c>
      <c r="W18" s="20">
        <f>-Calculations!BI21</f>
        <v>0</v>
      </c>
      <c r="X18" s="20">
        <f>-Calculations!BJ21</f>
        <v>14776.86</v>
      </c>
      <c r="Y18" s="20">
        <f>-Calculations!BK21</f>
        <v>331.5</v>
      </c>
      <c r="Z18" s="20">
        <f>-Calculations!BL21</f>
        <v>0</v>
      </c>
      <c r="AA18" s="20">
        <f>-Calculations!BM21</f>
        <v>-28134.34</v>
      </c>
      <c r="AB18" s="20">
        <f>-Calculations!BN21</f>
        <v>0</v>
      </c>
      <c r="AC18" s="20">
        <f>-Calculations!BO21</f>
        <v>-2319.66</v>
      </c>
      <c r="AD18" s="20">
        <f>-Calculations!BP21</f>
        <v>0</v>
      </c>
      <c r="AE18" s="20">
        <f>-Calculations!BQ21</f>
        <v>0</v>
      </c>
      <c r="AF18" s="216">
        <f>-Calculations!BR21</f>
        <v>0</v>
      </c>
      <c r="AG18" s="216">
        <f>-Calculations!BS21</f>
        <v>0</v>
      </c>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row>
    <row r="19" spans="1:71" s="5" customFormat="1">
      <c r="A19" s="237">
        <f t="shared" si="8"/>
        <v>15</v>
      </c>
      <c r="B19" s="70" t="s">
        <v>307</v>
      </c>
      <c r="C19" s="5" t="s">
        <v>309</v>
      </c>
      <c r="D19" s="216"/>
      <c r="E19" s="216"/>
      <c r="F19" s="216"/>
      <c r="G19" s="20">
        <f>-Calculations!AS22</f>
        <v>0</v>
      </c>
      <c r="H19" s="20">
        <f>-Calculations!AT22</f>
        <v>0</v>
      </c>
      <c r="I19" s="20">
        <f>-Calculations!AU22</f>
        <v>0</v>
      </c>
      <c r="J19" s="20">
        <f>-Calculations!AV22</f>
        <v>0</v>
      </c>
      <c r="K19" s="20">
        <f>-Calculations!AW22</f>
        <v>0</v>
      </c>
      <c r="L19" s="20">
        <f>-Calculations!AX22</f>
        <v>0</v>
      </c>
      <c r="M19" s="20">
        <f>-Calculations!AY22</f>
        <v>0</v>
      </c>
      <c r="N19" s="20">
        <f>-Calculations!AZ22</f>
        <v>0</v>
      </c>
      <c r="O19" s="20">
        <f>-Calculations!BA22</f>
        <v>0</v>
      </c>
      <c r="P19" s="20">
        <f>-Calculations!BB22</f>
        <v>0</v>
      </c>
      <c r="Q19" s="20">
        <f>-Calculations!BC22</f>
        <v>0</v>
      </c>
      <c r="R19" s="20">
        <f>-Calculations!BD22</f>
        <v>0</v>
      </c>
      <c r="S19" s="20">
        <f>-Calculations!BE22</f>
        <v>0</v>
      </c>
      <c r="T19" s="20">
        <f>-Calculations!BF22</f>
        <v>153478.67000000001</v>
      </c>
      <c r="U19" s="20">
        <f>-Calculations!BG22</f>
        <v>2788.71</v>
      </c>
      <c r="V19" s="20">
        <f>-Calculations!BH22</f>
        <v>0</v>
      </c>
      <c r="W19" s="20">
        <f>-Calculations!BI22</f>
        <v>0</v>
      </c>
      <c r="X19" s="20">
        <f>-Calculations!BJ22</f>
        <v>0</v>
      </c>
      <c r="Y19" s="20">
        <f>-Calculations!BK22</f>
        <v>0</v>
      </c>
      <c r="Z19" s="20">
        <f>-Calculations!BL22</f>
        <v>0</v>
      </c>
      <c r="AA19" s="20">
        <f>-Calculations!BM22</f>
        <v>0</v>
      </c>
      <c r="AB19" s="20">
        <f>-Calculations!BN22</f>
        <v>0</v>
      </c>
      <c r="AC19" s="20">
        <f>-Calculations!BO22</f>
        <v>0</v>
      </c>
      <c r="AD19" s="20">
        <f>-Calculations!BP22</f>
        <v>0</v>
      </c>
      <c r="AE19" s="20">
        <f>-Calculations!BQ22</f>
        <v>0</v>
      </c>
      <c r="AF19" s="216">
        <f>-Calculations!BR22</f>
        <v>0</v>
      </c>
      <c r="AG19" s="216">
        <f>-Calculations!BS22</f>
        <v>0</v>
      </c>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row>
    <row r="20" spans="1:71" s="5" customFormat="1">
      <c r="A20" s="237">
        <f t="shared" si="8"/>
        <v>16</v>
      </c>
      <c r="B20" s="70" t="s">
        <v>310</v>
      </c>
      <c r="C20" s="5" t="s">
        <v>311</v>
      </c>
      <c r="D20" s="216"/>
      <c r="E20" s="216"/>
      <c r="F20" s="216"/>
      <c r="G20" s="20">
        <f>-Calculations!AS23</f>
        <v>0</v>
      </c>
      <c r="H20" s="20">
        <f>-Calculations!AT23</f>
        <v>0</v>
      </c>
      <c r="I20" s="20">
        <f>-Calculations!AU23</f>
        <v>0</v>
      </c>
      <c r="J20" s="20">
        <f>-Calculations!AV23</f>
        <v>0</v>
      </c>
      <c r="K20" s="20">
        <f>-Calculations!AW23</f>
        <v>0</v>
      </c>
      <c r="L20" s="20">
        <f>-Calculations!AX23</f>
        <v>0</v>
      </c>
      <c r="M20" s="20">
        <f>-Calculations!AY23</f>
        <v>0</v>
      </c>
      <c r="N20" s="20">
        <f>-Calculations!AZ23</f>
        <v>0</v>
      </c>
      <c r="O20" s="20">
        <f>-Calculations!BA23</f>
        <v>0</v>
      </c>
      <c r="P20" s="20">
        <f>-Calculations!BB23</f>
        <v>0</v>
      </c>
      <c r="Q20" s="20">
        <f>-Calculations!BC23</f>
        <v>0</v>
      </c>
      <c r="R20" s="20">
        <f>-Calculations!BD23</f>
        <v>0</v>
      </c>
      <c r="S20" s="20">
        <f>-Calculations!BE23</f>
        <v>0</v>
      </c>
      <c r="T20" s="20">
        <f>-Calculations!BF23</f>
        <v>0</v>
      </c>
      <c r="U20" s="20">
        <f>-Calculations!BG23</f>
        <v>20449502.949999999</v>
      </c>
      <c r="V20" s="20">
        <f>-Calculations!BH23</f>
        <v>0</v>
      </c>
      <c r="W20" s="20">
        <f>-Calculations!BI23</f>
        <v>0</v>
      </c>
      <c r="X20" s="20">
        <f>-Calculations!BJ23</f>
        <v>0</v>
      </c>
      <c r="Y20" s="20">
        <f>-Calculations!BK23</f>
        <v>0</v>
      </c>
      <c r="Z20" s="20">
        <f>-Calculations!BL23</f>
        <v>0</v>
      </c>
      <c r="AA20" s="20">
        <f>-Calculations!BM23</f>
        <v>0</v>
      </c>
      <c r="AB20" s="20">
        <f>-Calculations!BN23</f>
        <v>11909265.02</v>
      </c>
      <c r="AC20" s="20">
        <f>-Calculations!BO23</f>
        <v>127505.88999999996</v>
      </c>
      <c r="AD20" s="20">
        <f>-Calculations!BP23</f>
        <v>652804.37</v>
      </c>
      <c r="AE20" s="20">
        <f>-Calculations!BQ23</f>
        <v>0</v>
      </c>
      <c r="AF20" s="216">
        <f>-Calculations!BR23</f>
        <v>0</v>
      </c>
      <c r="AG20" s="216">
        <f>-Calculations!BS23</f>
        <v>0</v>
      </c>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row>
    <row r="21" spans="1:71" s="5" customFormat="1">
      <c r="A21" s="237">
        <f t="shared" si="8"/>
        <v>17</v>
      </c>
      <c r="B21" s="70" t="s">
        <v>306</v>
      </c>
      <c r="C21" s="5" t="s">
        <v>308</v>
      </c>
      <c r="D21" s="216"/>
      <c r="E21" s="216"/>
      <c r="F21" s="216"/>
      <c r="G21" s="20">
        <f>-Calculations!AS24</f>
        <v>0</v>
      </c>
      <c r="H21" s="20">
        <f>-Calculations!AT24</f>
        <v>0</v>
      </c>
      <c r="I21" s="20">
        <f>-Calculations!AU24</f>
        <v>0</v>
      </c>
      <c r="J21" s="20">
        <f>-Calculations!AV24</f>
        <v>0</v>
      </c>
      <c r="K21" s="20">
        <f>-Calculations!AW24</f>
        <v>0</v>
      </c>
      <c r="L21" s="20">
        <f>-Calculations!AX24</f>
        <v>0</v>
      </c>
      <c r="M21" s="20">
        <f>-Calculations!AY24</f>
        <v>0</v>
      </c>
      <c r="N21" s="20">
        <f>-Calculations!AZ24</f>
        <v>0</v>
      </c>
      <c r="O21" s="20">
        <f>-Calculations!BA24</f>
        <v>0</v>
      </c>
      <c r="P21" s="20">
        <f>-Calculations!BB24</f>
        <v>0</v>
      </c>
      <c r="Q21" s="20">
        <f>-Calculations!BC24</f>
        <v>0</v>
      </c>
      <c r="R21" s="20">
        <f>-Calculations!BD24</f>
        <v>0</v>
      </c>
      <c r="S21" s="20">
        <f>-Calculations!BE24</f>
        <v>0</v>
      </c>
      <c r="T21" s="20">
        <f>-Calculations!BF24</f>
        <v>207640.65</v>
      </c>
      <c r="U21" s="20">
        <f>-Calculations!BG24</f>
        <v>4406.6400000000003</v>
      </c>
      <c r="V21" s="20">
        <f>-Calculations!BH24</f>
        <v>0</v>
      </c>
      <c r="W21" s="20">
        <f>-Calculations!BI24</f>
        <v>0</v>
      </c>
      <c r="X21" s="20">
        <f>-Calculations!BJ24</f>
        <v>277.22000000000003</v>
      </c>
      <c r="Y21" s="20">
        <f>-Calculations!BK24</f>
        <v>0</v>
      </c>
      <c r="Z21" s="20">
        <f>-Calculations!BL24</f>
        <v>0</v>
      </c>
      <c r="AA21" s="20">
        <f>-Calculations!BM24</f>
        <v>0</v>
      </c>
      <c r="AB21" s="20">
        <f>-Calculations!BN24</f>
        <v>0</v>
      </c>
      <c r="AC21" s="20">
        <f>-Calculations!BO24</f>
        <v>0</v>
      </c>
      <c r="AD21" s="20">
        <f>-Calculations!BP24</f>
        <v>0</v>
      </c>
      <c r="AE21" s="20">
        <f>-Calculations!BQ24</f>
        <v>0</v>
      </c>
      <c r="AF21" s="216">
        <f>-Calculations!BR24</f>
        <v>0</v>
      </c>
      <c r="AG21" s="216">
        <f>-Calculations!BS24</f>
        <v>0</v>
      </c>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row>
    <row r="22" spans="1:71" s="5" customFormat="1">
      <c r="A22" s="237">
        <f t="shared" si="8"/>
        <v>18</v>
      </c>
      <c r="B22" s="70" t="s">
        <v>331</v>
      </c>
      <c r="C22" s="5" t="s">
        <v>342</v>
      </c>
      <c r="D22" s="216"/>
      <c r="E22" s="216"/>
      <c r="F22" s="216"/>
      <c r="G22" s="20">
        <f>-Calculations!AS25</f>
        <v>0</v>
      </c>
      <c r="H22" s="20">
        <f>-Calculations!AT25</f>
        <v>0</v>
      </c>
      <c r="I22" s="20">
        <f>-Calculations!AU25</f>
        <v>0</v>
      </c>
      <c r="J22" s="20">
        <f>-Calculations!AV25</f>
        <v>0</v>
      </c>
      <c r="K22" s="20">
        <f>-Calculations!AW25</f>
        <v>0</v>
      </c>
      <c r="L22" s="20">
        <f>-Calculations!AX25</f>
        <v>0</v>
      </c>
      <c r="M22" s="20">
        <f>-Calculations!AY25</f>
        <v>0</v>
      </c>
      <c r="N22" s="20">
        <f>-Calculations!AZ25</f>
        <v>0</v>
      </c>
      <c r="O22" s="20">
        <f>-Calculations!BA25</f>
        <v>0</v>
      </c>
      <c r="P22" s="20">
        <f>-Calculations!BB25</f>
        <v>0</v>
      </c>
      <c r="Q22" s="20">
        <f>-Calculations!BC25</f>
        <v>0</v>
      </c>
      <c r="R22" s="20">
        <f>-Calculations!BD25</f>
        <v>0</v>
      </c>
      <c r="S22" s="20">
        <f>-Calculations!BE25</f>
        <v>0</v>
      </c>
      <c r="T22" s="20">
        <f>-Calculations!BF25</f>
        <v>0</v>
      </c>
      <c r="U22" s="20">
        <f>-Calculations!BG25</f>
        <v>173863.29</v>
      </c>
      <c r="V22" s="20">
        <f>-Calculations!BH25</f>
        <v>0</v>
      </c>
      <c r="W22" s="20">
        <f>-Calculations!BI25</f>
        <v>0</v>
      </c>
      <c r="X22" s="20">
        <f>-Calculations!BJ25</f>
        <v>102.5</v>
      </c>
      <c r="Y22" s="20">
        <f>-Calculations!BK25</f>
        <v>0</v>
      </c>
      <c r="Z22" s="20">
        <f>-Calculations!BL25</f>
        <v>0</v>
      </c>
      <c r="AA22" s="20">
        <f>-Calculations!BM25</f>
        <v>0</v>
      </c>
      <c r="AB22" s="20">
        <f>-Calculations!BN25</f>
        <v>0</v>
      </c>
      <c r="AC22" s="20">
        <f>-Calculations!BO25</f>
        <v>0</v>
      </c>
      <c r="AD22" s="20">
        <f>-Calculations!BP25</f>
        <v>0</v>
      </c>
      <c r="AE22" s="20">
        <f>-Calculations!BQ25</f>
        <v>0</v>
      </c>
      <c r="AF22" s="216">
        <f>-Calculations!BR25</f>
        <v>0</v>
      </c>
      <c r="AG22" s="216">
        <f>-Calculations!BS25</f>
        <v>0</v>
      </c>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row>
    <row r="23" spans="1:71" s="5" customFormat="1">
      <c r="A23" s="237">
        <f t="shared" si="8"/>
        <v>19</v>
      </c>
      <c r="B23" s="70" t="s">
        <v>332</v>
      </c>
      <c r="C23" s="5" t="s">
        <v>343</v>
      </c>
      <c r="D23" s="216"/>
      <c r="E23" s="216"/>
      <c r="F23" s="216"/>
      <c r="G23" s="20">
        <f>-Calculations!AS26</f>
        <v>0</v>
      </c>
      <c r="H23" s="20">
        <f>-Calculations!AT26</f>
        <v>0</v>
      </c>
      <c r="I23" s="20">
        <f>-Calculations!AU26</f>
        <v>0</v>
      </c>
      <c r="J23" s="20">
        <f>-Calculations!AV26</f>
        <v>0</v>
      </c>
      <c r="K23" s="20">
        <f>-Calculations!AW26</f>
        <v>0</v>
      </c>
      <c r="L23" s="20">
        <f>-Calculations!AX26</f>
        <v>0</v>
      </c>
      <c r="M23" s="20">
        <f>-Calculations!AY26</f>
        <v>0</v>
      </c>
      <c r="N23" s="20">
        <f>-Calculations!AZ26</f>
        <v>0</v>
      </c>
      <c r="O23" s="20">
        <f>-Calculations!BA26</f>
        <v>0</v>
      </c>
      <c r="P23" s="20">
        <f>-Calculations!BB26</f>
        <v>0</v>
      </c>
      <c r="Q23" s="20">
        <f>-Calculations!BC26</f>
        <v>0</v>
      </c>
      <c r="R23" s="20">
        <f>-Calculations!BD26</f>
        <v>0</v>
      </c>
      <c r="S23" s="20">
        <f>-Calculations!BE26</f>
        <v>0</v>
      </c>
      <c r="T23" s="20">
        <f>-Calculations!BF26</f>
        <v>0</v>
      </c>
      <c r="U23" s="20">
        <f>-Calculations!BG26</f>
        <v>50445.43</v>
      </c>
      <c r="V23" s="20">
        <f>-Calculations!BH26</f>
        <v>0</v>
      </c>
      <c r="W23" s="20">
        <f>-Calculations!BI26</f>
        <v>0</v>
      </c>
      <c r="X23" s="20">
        <f>-Calculations!BJ26</f>
        <v>0</v>
      </c>
      <c r="Y23" s="20">
        <f>-Calculations!BK26</f>
        <v>0</v>
      </c>
      <c r="Z23" s="20">
        <f>-Calculations!BL26</f>
        <v>0</v>
      </c>
      <c r="AA23" s="20">
        <f>-Calculations!BM26</f>
        <v>0</v>
      </c>
      <c r="AB23" s="20">
        <f>-Calculations!BN26</f>
        <v>0</v>
      </c>
      <c r="AC23" s="20">
        <f>-Calculations!BO26</f>
        <v>0</v>
      </c>
      <c r="AD23" s="20">
        <f>-Calculations!BP26</f>
        <v>0</v>
      </c>
      <c r="AE23" s="20">
        <f>-Calculations!BQ26</f>
        <v>0</v>
      </c>
      <c r="AF23" s="216">
        <f>-Calculations!BR26</f>
        <v>0</v>
      </c>
      <c r="AG23" s="216">
        <f>-Calculations!BS26</f>
        <v>0</v>
      </c>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row>
    <row r="24" spans="1:71" s="5" customFormat="1">
      <c r="A24" s="237">
        <f t="shared" si="8"/>
        <v>20</v>
      </c>
      <c r="B24" s="241" t="s">
        <v>375</v>
      </c>
      <c r="C24" s="246" t="s">
        <v>382</v>
      </c>
      <c r="D24" s="216"/>
      <c r="E24" s="216"/>
      <c r="F24" s="216"/>
      <c r="G24" s="20">
        <f>-Calculations!AS27</f>
        <v>0</v>
      </c>
      <c r="H24" s="20">
        <f>-Calculations!AT27</f>
        <v>0</v>
      </c>
      <c r="I24" s="20">
        <f>-Calculations!AU27</f>
        <v>0</v>
      </c>
      <c r="J24" s="20">
        <f>-Calculations!AV27</f>
        <v>0</v>
      </c>
      <c r="K24" s="20">
        <f>-Calculations!AW27</f>
        <v>0</v>
      </c>
      <c r="L24" s="20">
        <f>-Calculations!AX27</f>
        <v>0</v>
      </c>
      <c r="M24" s="20">
        <f>-Calculations!AY27</f>
        <v>0</v>
      </c>
      <c r="N24" s="20">
        <f>-Calculations!AZ27</f>
        <v>0</v>
      </c>
      <c r="O24" s="20">
        <f>-Calculations!BA27</f>
        <v>0</v>
      </c>
      <c r="P24" s="20">
        <f>-Calculations!BB27</f>
        <v>0</v>
      </c>
      <c r="Q24" s="20">
        <f>-Calculations!BC27</f>
        <v>0</v>
      </c>
      <c r="R24" s="20">
        <f>-Calculations!BD27</f>
        <v>0</v>
      </c>
      <c r="S24" s="20">
        <f>-Calculations!BE27</f>
        <v>0</v>
      </c>
      <c r="T24" s="20">
        <f>-Calculations!BF27</f>
        <v>0</v>
      </c>
      <c r="U24" s="20">
        <f>-Calculations!BG27</f>
        <v>0</v>
      </c>
      <c r="V24" s="20">
        <f>-Calculations!BH27</f>
        <v>0</v>
      </c>
      <c r="W24" s="20">
        <f>-Calculations!BI27</f>
        <v>0</v>
      </c>
      <c r="X24" s="20">
        <f>-Calculations!BJ27</f>
        <v>0</v>
      </c>
      <c r="Y24" s="20">
        <f>-Calculations!BK27</f>
        <v>0</v>
      </c>
      <c r="Z24" s="20">
        <f>-Calculations!BL27</f>
        <v>0</v>
      </c>
      <c r="AA24" s="20">
        <f>-Calculations!BM27</f>
        <v>0</v>
      </c>
      <c r="AB24" s="20">
        <f>-Calculations!BN27</f>
        <v>0</v>
      </c>
      <c r="AC24" s="20">
        <f>-Calculations!BO27</f>
        <v>0</v>
      </c>
      <c r="AD24" s="20">
        <f>-Calculations!BP27</f>
        <v>0</v>
      </c>
      <c r="AE24" s="20">
        <f>-Calculations!BQ27</f>
        <v>12086502.66</v>
      </c>
      <c r="AF24" s="216">
        <f>-Calculations!BR27</f>
        <v>0</v>
      </c>
      <c r="AG24" s="216">
        <f>-Calculations!BS27</f>
        <v>0</v>
      </c>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row>
    <row r="25" spans="1:71" s="5" customFormat="1">
      <c r="A25" s="237">
        <f t="shared" si="8"/>
        <v>21</v>
      </c>
      <c r="B25" s="70" t="s">
        <v>329</v>
      </c>
      <c r="C25" s="5" t="s">
        <v>361</v>
      </c>
      <c r="D25" s="216"/>
      <c r="E25" s="216"/>
      <c r="F25" s="216"/>
      <c r="G25" s="20">
        <f>-Calculations!AS28</f>
        <v>0</v>
      </c>
      <c r="H25" s="20">
        <f>-Calculations!AT28</f>
        <v>0</v>
      </c>
      <c r="I25" s="20">
        <f>-Calculations!AU28</f>
        <v>0</v>
      </c>
      <c r="J25" s="20">
        <f>-Calculations!AV28</f>
        <v>0</v>
      </c>
      <c r="K25" s="20">
        <f>-Calculations!AW28</f>
        <v>0</v>
      </c>
      <c r="L25" s="20">
        <f>-Calculations!AX28</f>
        <v>0</v>
      </c>
      <c r="M25" s="20">
        <f>-Calculations!AY28</f>
        <v>0</v>
      </c>
      <c r="N25" s="20">
        <f>-Calculations!AZ28</f>
        <v>0</v>
      </c>
      <c r="O25" s="20">
        <f>-Calculations!BA28</f>
        <v>0</v>
      </c>
      <c r="P25" s="20">
        <f>-Calculations!BB28</f>
        <v>0</v>
      </c>
      <c r="Q25" s="20">
        <f>-Calculations!BC28</f>
        <v>0</v>
      </c>
      <c r="R25" s="20">
        <f>-Calculations!BD28</f>
        <v>0</v>
      </c>
      <c r="S25" s="20">
        <f>-Calculations!BE28</f>
        <v>0</v>
      </c>
      <c r="T25" s="20">
        <f>-Calculations!BF28</f>
        <v>0</v>
      </c>
      <c r="U25" s="20">
        <f>-Calculations!BG28</f>
        <v>0</v>
      </c>
      <c r="V25" s="20">
        <f>-Calculations!BH28</f>
        <v>0</v>
      </c>
      <c r="W25" s="20">
        <f>-Calculations!BI28</f>
        <v>0</v>
      </c>
      <c r="X25" s="20">
        <f>-Calculations!BJ28</f>
        <v>0</v>
      </c>
      <c r="Y25" s="20">
        <f>-Calculations!BK28</f>
        <v>0</v>
      </c>
      <c r="Z25" s="20">
        <f>-Calculations!BL28</f>
        <v>0</v>
      </c>
      <c r="AA25" s="20">
        <f>-Calculations!BM28</f>
        <v>0</v>
      </c>
      <c r="AB25" s="20">
        <f>-Calculations!BN28</f>
        <v>2199339.17</v>
      </c>
      <c r="AC25" s="20">
        <f>-Calculations!BO28</f>
        <v>107238.67000000001</v>
      </c>
      <c r="AD25" s="20">
        <f>-Calculations!BP28</f>
        <v>125326.38</v>
      </c>
      <c r="AE25" s="20">
        <f>-Calculations!BQ28</f>
        <v>0</v>
      </c>
      <c r="AF25" s="216">
        <f>-Calculations!BR28</f>
        <v>0</v>
      </c>
      <c r="AG25" s="216">
        <f>-Calculations!BS28</f>
        <v>0</v>
      </c>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row>
    <row r="26" spans="1:71" s="5" customFormat="1">
      <c r="A26" s="237">
        <f t="shared" si="8"/>
        <v>22</v>
      </c>
      <c r="B26" s="70" t="s">
        <v>326</v>
      </c>
      <c r="C26" s="5" t="s">
        <v>362</v>
      </c>
      <c r="D26" s="216"/>
      <c r="E26" s="216"/>
      <c r="F26" s="216"/>
      <c r="G26" s="20">
        <f>-Calculations!AS29</f>
        <v>0</v>
      </c>
      <c r="H26" s="20">
        <f>-Calculations!AT29</f>
        <v>0</v>
      </c>
      <c r="I26" s="20">
        <f>-Calculations!AU29</f>
        <v>0</v>
      </c>
      <c r="J26" s="20">
        <f>-Calculations!AV29</f>
        <v>0</v>
      </c>
      <c r="K26" s="20">
        <f>-Calculations!AW29</f>
        <v>0</v>
      </c>
      <c r="L26" s="20">
        <f>-Calculations!AX29</f>
        <v>0</v>
      </c>
      <c r="M26" s="20">
        <f>-Calculations!AY29</f>
        <v>0</v>
      </c>
      <c r="N26" s="20">
        <f>-Calculations!AZ29</f>
        <v>0</v>
      </c>
      <c r="O26" s="20">
        <f>-Calculations!BA29</f>
        <v>0</v>
      </c>
      <c r="P26" s="20">
        <f>-Calculations!BB29</f>
        <v>0</v>
      </c>
      <c r="Q26" s="20">
        <f>-Calculations!BC29</f>
        <v>0</v>
      </c>
      <c r="R26" s="20">
        <f>-Calculations!BD29</f>
        <v>0</v>
      </c>
      <c r="S26" s="20">
        <f>-Calculations!BE29</f>
        <v>0</v>
      </c>
      <c r="T26" s="20">
        <f>-Calculations!BF29</f>
        <v>0</v>
      </c>
      <c r="U26" s="20">
        <f>-Calculations!BG29</f>
        <v>0</v>
      </c>
      <c r="V26" s="20">
        <f>-Calculations!BH29</f>
        <v>0</v>
      </c>
      <c r="W26" s="20">
        <f>-Calculations!BI29</f>
        <v>0</v>
      </c>
      <c r="X26" s="20">
        <f>-Calculations!BJ29</f>
        <v>0</v>
      </c>
      <c r="Y26" s="20">
        <f>-Calculations!BK29</f>
        <v>0</v>
      </c>
      <c r="Z26" s="20">
        <f>-Calculations!BL29</f>
        <v>0</v>
      </c>
      <c r="AA26" s="20">
        <f>-Calculations!BM29</f>
        <v>0</v>
      </c>
      <c r="AB26" s="20">
        <f>-Calculations!BN29</f>
        <v>536567.52</v>
      </c>
      <c r="AC26" s="20">
        <f>-Calculations!BO29</f>
        <v>52558.66</v>
      </c>
      <c r="AD26" s="20">
        <f>-Calculations!BP29</f>
        <v>18978.689999999999</v>
      </c>
      <c r="AE26" s="20">
        <f>-Calculations!BQ29</f>
        <v>0</v>
      </c>
      <c r="AF26" s="216">
        <f>-Calculations!BR29</f>
        <v>0</v>
      </c>
      <c r="AG26" s="216">
        <f>-Calculations!BS29</f>
        <v>0</v>
      </c>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row>
    <row r="27" spans="1:71" s="5" customFormat="1">
      <c r="A27" s="237">
        <f t="shared" si="8"/>
        <v>23</v>
      </c>
      <c r="B27" s="70" t="s">
        <v>325</v>
      </c>
      <c r="C27" s="5" t="s">
        <v>344</v>
      </c>
      <c r="D27" s="216"/>
      <c r="E27" s="216"/>
      <c r="F27" s="216"/>
      <c r="G27" s="20">
        <f>-Calculations!AS30</f>
        <v>0</v>
      </c>
      <c r="H27" s="20">
        <f>-Calculations!AT30</f>
        <v>0</v>
      </c>
      <c r="I27" s="20">
        <f>-Calculations!AU30</f>
        <v>0</v>
      </c>
      <c r="J27" s="20">
        <f>-Calculations!AV30</f>
        <v>0</v>
      </c>
      <c r="K27" s="20">
        <f>-Calculations!AW30</f>
        <v>0</v>
      </c>
      <c r="L27" s="20">
        <f>-Calculations!AX30</f>
        <v>0</v>
      </c>
      <c r="M27" s="20">
        <f>-Calculations!AY30</f>
        <v>0</v>
      </c>
      <c r="N27" s="20">
        <f>-Calculations!AZ30</f>
        <v>0</v>
      </c>
      <c r="O27" s="20">
        <f>-Calculations!BA30</f>
        <v>0</v>
      </c>
      <c r="P27" s="20">
        <f>-Calculations!BB30</f>
        <v>0</v>
      </c>
      <c r="Q27" s="20">
        <f>-Calculations!BC30</f>
        <v>0</v>
      </c>
      <c r="R27" s="20">
        <f>-Calculations!BD30</f>
        <v>0</v>
      </c>
      <c r="S27" s="20">
        <f>-Calculations!BE30</f>
        <v>0</v>
      </c>
      <c r="T27" s="20">
        <f>-Calculations!BF30</f>
        <v>0</v>
      </c>
      <c r="U27" s="20">
        <f>-Calculations!BG30</f>
        <v>0</v>
      </c>
      <c r="V27" s="20">
        <f>-Calculations!BH30</f>
        <v>0</v>
      </c>
      <c r="W27" s="20">
        <f>-Calculations!BI30</f>
        <v>0</v>
      </c>
      <c r="X27" s="20">
        <f>-Calculations!BJ30</f>
        <v>0</v>
      </c>
      <c r="Y27" s="20">
        <f>-Calculations!BK30</f>
        <v>0</v>
      </c>
      <c r="Z27" s="20">
        <f>-Calculations!BL30</f>
        <v>0</v>
      </c>
      <c r="AA27" s="20">
        <f>-Calculations!BM30</f>
        <v>104710.1</v>
      </c>
      <c r="AB27" s="20">
        <f>-Calculations!BN30</f>
        <v>0</v>
      </c>
      <c r="AC27" s="20">
        <f>-Calculations!BO30</f>
        <v>0</v>
      </c>
      <c r="AD27" s="20">
        <f>-Calculations!BP30</f>
        <v>0</v>
      </c>
      <c r="AE27" s="20">
        <f>-Calculations!BQ30</f>
        <v>0</v>
      </c>
      <c r="AF27" s="216">
        <f>-Calculations!BR30</f>
        <v>0</v>
      </c>
      <c r="AG27" s="216">
        <f>-Calculations!BS30</f>
        <v>0</v>
      </c>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row>
    <row r="28" spans="1:71" s="5" customFormat="1">
      <c r="A28" s="237">
        <f t="shared" si="8"/>
        <v>24</v>
      </c>
      <c r="B28" s="70" t="s">
        <v>327</v>
      </c>
      <c r="C28" s="5" t="s">
        <v>345</v>
      </c>
      <c r="D28" s="216"/>
      <c r="E28" s="216"/>
      <c r="F28" s="216"/>
      <c r="G28" s="20">
        <f>-Calculations!AS31</f>
        <v>0</v>
      </c>
      <c r="H28" s="20">
        <f>-Calculations!AT31</f>
        <v>0</v>
      </c>
      <c r="I28" s="20">
        <f>-Calculations!AU31</f>
        <v>0</v>
      </c>
      <c r="J28" s="20">
        <f>-Calculations!AV31</f>
        <v>0</v>
      </c>
      <c r="K28" s="20">
        <f>-Calculations!AW31</f>
        <v>0</v>
      </c>
      <c r="L28" s="20">
        <f>-Calculations!AX31</f>
        <v>0</v>
      </c>
      <c r="M28" s="20">
        <f>-Calculations!AY31</f>
        <v>0</v>
      </c>
      <c r="N28" s="20">
        <f>-Calculations!AZ31</f>
        <v>0</v>
      </c>
      <c r="O28" s="20">
        <f>-Calculations!BA31</f>
        <v>0</v>
      </c>
      <c r="P28" s="20">
        <f>-Calculations!BB31</f>
        <v>0</v>
      </c>
      <c r="Q28" s="20">
        <f>-Calculations!BC31</f>
        <v>0</v>
      </c>
      <c r="R28" s="20">
        <f>-Calculations!BD31</f>
        <v>0</v>
      </c>
      <c r="S28" s="20">
        <f>-Calculations!BE31</f>
        <v>0</v>
      </c>
      <c r="T28" s="20">
        <f>-Calculations!BF31</f>
        <v>0</v>
      </c>
      <c r="U28" s="20">
        <f>-Calculations!BG31</f>
        <v>0</v>
      </c>
      <c r="V28" s="20">
        <f>-Calculations!BH31</f>
        <v>0</v>
      </c>
      <c r="W28" s="20">
        <f>-Calculations!BI31</f>
        <v>0</v>
      </c>
      <c r="X28" s="20">
        <f>-Calculations!BJ31</f>
        <v>0</v>
      </c>
      <c r="Y28" s="20">
        <f>-Calculations!BK31</f>
        <v>0</v>
      </c>
      <c r="Z28" s="20">
        <f>-Calculations!BL31</f>
        <v>0</v>
      </c>
      <c r="AA28" s="20">
        <f>-Calculations!BM31</f>
        <v>343548.72</v>
      </c>
      <c r="AB28" s="20">
        <f>-Calculations!BN31</f>
        <v>0</v>
      </c>
      <c r="AC28" s="20">
        <f>-Calculations!BO31</f>
        <v>0</v>
      </c>
      <c r="AD28" s="20">
        <f>-Calculations!BP31</f>
        <v>557.01</v>
      </c>
      <c r="AE28" s="20">
        <f>-Calculations!BQ31</f>
        <v>0</v>
      </c>
      <c r="AF28" s="216">
        <f>-Calculations!BR31</f>
        <v>0</v>
      </c>
      <c r="AG28" s="216">
        <f>-Calculations!BS31</f>
        <v>0</v>
      </c>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1" s="5" customFormat="1">
      <c r="A29" s="237">
        <f t="shared" si="8"/>
        <v>25</v>
      </c>
      <c r="B29" s="70" t="s">
        <v>333</v>
      </c>
      <c r="C29" s="5" t="s">
        <v>346</v>
      </c>
      <c r="D29" s="216"/>
      <c r="E29" s="216"/>
      <c r="F29" s="216"/>
      <c r="G29" s="20">
        <f>-Calculations!AS32</f>
        <v>0</v>
      </c>
      <c r="H29" s="20">
        <f>-Calculations!AT32</f>
        <v>0</v>
      </c>
      <c r="I29" s="20">
        <f>-Calculations!AU32</f>
        <v>0</v>
      </c>
      <c r="J29" s="20">
        <f>-Calculations!AV32</f>
        <v>0</v>
      </c>
      <c r="K29" s="20">
        <f>-Calculations!AW32</f>
        <v>0</v>
      </c>
      <c r="L29" s="20">
        <f>-Calculations!AX32</f>
        <v>0</v>
      </c>
      <c r="M29" s="20">
        <f>-Calculations!AY32</f>
        <v>0</v>
      </c>
      <c r="N29" s="20">
        <f>-Calculations!AZ32</f>
        <v>0</v>
      </c>
      <c r="O29" s="20">
        <f>-Calculations!BA32</f>
        <v>0</v>
      </c>
      <c r="P29" s="20">
        <f>-Calculations!BB32</f>
        <v>0</v>
      </c>
      <c r="Q29" s="20">
        <f>-Calculations!BC32</f>
        <v>0</v>
      </c>
      <c r="R29" s="20">
        <f>-Calculations!BD32</f>
        <v>0</v>
      </c>
      <c r="S29" s="20">
        <f>-Calculations!BE32</f>
        <v>0</v>
      </c>
      <c r="T29" s="20">
        <f>-Calculations!BF32</f>
        <v>0</v>
      </c>
      <c r="U29" s="20">
        <f>-Calculations!BG32</f>
        <v>156898.01</v>
      </c>
      <c r="V29" s="20">
        <f>-Calculations!BH32</f>
        <v>0</v>
      </c>
      <c r="W29" s="20">
        <f>-Calculations!BI32</f>
        <v>0</v>
      </c>
      <c r="X29" s="20">
        <f>-Calculations!BJ32</f>
        <v>-4424.96</v>
      </c>
      <c r="Y29" s="20">
        <f>-Calculations!BK32</f>
        <v>-732.59</v>
      </c>
      <c r="Z29" s="20">
        <f>-Calculations!BL32</f>
        <v>0</v>
      </c>
      <c r="AA29" s="20">
        <f>-Calculations!BM32</f>
        <v>0</v>
      </c>
      <c r="AB29" s="20">
        <f>-Calculations!BN32</f>
        <v>0</v>
      </c>
      <c r="AC29" s="20">
        <f>-Calculations!BO32</f>
        <v>0</v>
      </c>
      <c r="AD29" s="20">
        <f>-Calculations!BP32</f>
        <v>0</v>
      </c>
      <c r="AE29" s="20">
        <f>-Calculations!BQ32</f>
        <v>0</v>
      </c>
      <c r="AF29" s="216">
        <f>-Calculations!BR32</f>
        <v>0</v>
      </c>
      <c r="AG29" s="216">
        <f>-Calculations!BS32</f>
        <v>0</v>
      </c>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1" s="5" customFormat="1">
      <c r="A30" s="237">
        <f t="shared" si="8"/>
        <v>26</v>
      </c>
      <c r="B30" s="4" t="s">
        <v>372</v>
      </c>
      <c r="C30" s="246" t="s">
        <v>379</v>
      </c>
      <c r="D30" s="216"/>
      <c r="E30" s="216"/>
      <c r="F30" s="216"/>
      <c r="G30" s="20">
        <f>-Calculations!AS33</f>
        <v>0</v>
      </c>
      <c r="H30" s="20">
        <f>-Calculations!AT33</f>
        <v>0</v>
      </c>
      <c r="I30" s="20">
        <f>-Calculations!AU33</f>
        <v>0</v>
      </c>
      <c r="J30" s="20">
        <f>-Calculations!AV33</f>
        <v>0</v>
      </c>
      <c r="K30" s="20">
        <f>-Calculations!AW33</f>
        <v>0</v>
      </c>
      <c r="L30" s="20">
        <f>-Calculations!AX33</f>
        <v>0</v>
      </c>
      <c r="M30" s="20">
        <f>-Calculations!AY33</f>
        <v>0</v>
      </c>
      <c r="N30" s="20">
        <f>-Calculations!AZ33</f>
        <v>0</v>
      </c>
      <c r="O30" s="20">
        <f>-Calculations!BA33</f>
        <v>0</v>
      </c>
      <c r="P30" s="20">
        <f>-Calculations!BB33</f>
        <v>0</v>
      </c>
      <c r="Q30" s="20">
        <f>-Calculations!BC33</f>
        <v>0</v>
      </c>
      <c r="R30" s="20">
        <f>-Calculations!BD33</f>
        <v>0</v>
      </c>
      <c r="S30" s="20">
        <f>-Calculations!BE33</f>
        <v>0</v>
      </c>
      <c r="T30" s="20">
        <f>-Calculations!BF33</f>
        <v>0</v>
      </c>
      <c r="U30" s="20">
        <f>-Calculations!BG33</f>
        <v>0</v>
      </c>
      <c r="V30" s="20">
        <f>-Calculations!BH33</f>
        <v>0</v>
      </c>
      <c r="W30" s="20">
        <f>-Calculations!BI33</f>
        <v>0</v>
      </c>
      <c r="X30" s="20">
        <f>-Calculations!BJ33</f>
        <v>0</v>
      </c>
      <c r="Y30" s="20">
        <f>-Calculations!BK33</f>
        <v>0</v>
      </c>
      <c r="Z30" s="20">
        <f>-Calculations!BL33</f>
        <v>0</v>
      </c>
      <c r="AA30" s="20">
        <f>-Calculations!BM33</f>
        <v>0</v>
      </c>
      <c r="AB30" s="20">
        <f>-Calculations!BN33</f>
        <v>0</v>
      </c>
      <c r="AC30" s="20">
        <f>-Calculations!BO33</f>
        <v>0</v>
      </c>
      <c r="AD30" s="20">
        <f>-Calculations!BP33</f>
        <v>27920592.68</v>
      </c>
      <c r="AE30" s="20">
        <f>-Calculations!BQ33</f>
        <v>534628.69999999925</v>
      </c>
      <c r="AF30" s="216">
        <f>-Calculations!BR33</f>
        <v>0</v>
      </c>
      <c r="AG30" s="216">
        <f>-Calculations!BS33</f>
        <v>0</v>
      </c>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row>
    <row r="31" spans="1:71" s="5" customFormat="1">
      <c r="A31" s="237">
        <f t="shared" si="8"/>
        <v>27</v>
      </c>
      <c r="B31" s="70" t="s">
        <v>334</v>
      </c>
      <c r="C31" s="5" t="s">
        <v>347</v>
      </c>
      <c r="D31" s="216"/>
      <c r="E31" s="216"/>
      <c r="F31" s="216"/>
      <c r="G31" s="20">
        <f>-Calculations!AS34</f>
        <v>0</v>
      </c>
      <c r="H31" s="20">
        <f>-Calculations!AT34</f>
        <v>0</v>
      </c>
      <c r="I31" s="20">
        <f>-Calculations!AU34</f>
        <v>0</v>
      </c>
      <c r="J31" s="20">
        <f>-Calculations!AV34</f>
        <v>0</v>
      </c>
      <c r="K31" s="20">
        <f>-Calculations!AW34</f>
        <v>0</v>
      </c>
      <c r="L31" s="20">
        <f>-Calculations!AX34</f>
        <v>0</v>
      </c>
      <c r="M31" s="20">
        <f>-Calculations!AY34</f>
        <v>0</v>
      </c>
      <c r="N31" s="20">
        <f>-Calculations!AZ34</f>
        <v>0</v>
      </c>
      <c r="O31" s="20">
        <f>-Calculations!BA34</f>
        <v>0</v>
      </c>
      <c r="P31" s="20">
        <f>-Calculations!BB34</f>
        <v>0</v>
      </c>
      <c r="Q31" s="20">
        <f>-Calculations!BC34</f>
        <v>0</v>
      </c>
      <c r="R31" s="20">
        <f>-Calculations!BD34</f>
        <v>0</v>
      </c>
      <c r="S31" s="20">
        <f>-Calculations!BE34</f>
        <v>0</v>
      </c>
      <c r="T31" s="20">
        <f>-Calculations!BF34</f>
        <v>0</v>
      </c>
      <c r="U31" s="20">
        <f>-Calculations!BG34</f>
        <v>0</v>
      </c>
      <c r="V31" s="20">
        <f>-Calculations!BH34</f>
        <v>0</v>
      </c>
      <c r="W31" s="20">
        <f>-Calculations!BI34</f>
        <v>0</v>
      </c>
      <c r="X31" s="20">
        <f>-Calculations!BJ34</f>
        <v>0</v>
      </c>
      <c r="Y31" s="20">
        <f>-Calculations!BK34</f>
        <v>61964.24</v>
      </c>
      <c r="Z31" s="20">
        <f>-Calculations!BL34</f>
        <v>116.45</v>
      </c>
      <c r="AA31" s="20">
        <f>-Calculations!BM34</f>
        <v>0</v>
      </c>
      <c r="AB31" s="20">
        <f>-Calculations!BN34</f>
        <v>0</v>
      </c>
      <c r="AC31" s="20">
        <f>-Calculations!BO34</f>
        <v>0</v>
      </c>
      <c r="AD31" s="20">
        <f>-Calculations!BP34</f>
        <v>0</v>
      </c>
      <c r="AE31" s="20">
        <f>-Calculations!BQ34</f>
        <v>0</v>
      </c>
      <c r="AF31" s="216">
        <f>-Calculations!BR34</f>
        <v>0</v>
      </c>
      <c r="AG31" s="216">
        <f>-Calculations!BS34</f>
        <v>0</v>
      </c>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1" s="5" customFormat="1">
      <c r="A32" s="237">
        <f t="shared" si="8"/>
        <v>28</v>
      </c>
      <c r="B32" s="70" t="s">
        <v>360</v>
      </c>
      <c r="C32" s="5" t="s">
        <v>363</v>
      </c>
      <c r="D32" s="216"/>
      <c r="E32" s="216"/>
      <c r="F32" s="216"/>
      <c r="G32" s="20">
        <f>-Calculations!AS35</f>
        <v>0</v>
      </c>
      <c r="H32" s="20">
        <f>-Calculations!AT35</f>
        <v>0</v>
      </c>
      <c r="I32" s="20">
        <f>-Calculations!AU35</f>
        <v>0</v>
      </c>
      <c r="J32" s="20">
        <f>-Calculations!AV35</f>
        <v>0</v>
      </c>
      <c r="K32" s="20">
        <f>-Calculations!AW35</f>
        <v>0</v>
      </c>
      <c r="L32" s="20">
        <f>-Calculations!AX35</f>
        <v>0</v>
      </c>
      <c r="M32" s="20">
        <f>-Calculations!AY35</f>
        <v>0</v>
      </c>
      <c r="N32" s="20">
        <f>-Calculations!AZ35</f>
        <v>0</v>
      </c>
      <c r="O32" s="20">
        <f>-Calculations!BA35</f>
        <v>0</v>
      </c>
      <c r="P32" s="20">
        <f>-Calculations!BB35</f>
        <v>0</v>
      </c>
      <c r="Q32" s="20">
        <f>-Calculations!BC35</f>
        <v>0</v>
      </c>
      <c r="R32" s="20">
        <f>-Calculations!BD35</f>
        <v>0</v>
      </c>
      <c r="S32" s="20">
        <f>-Calculations!BE35</f>
        <v>0</v>
      </c>
      <c r="T32" s="20">
        <f>-Calculations!BF35</f>
        <v>0</v>
      </c>
      <c r="U32" s="20">
        <f>-Calculations!BG35</f>
        <v>0</v>
      </c>
      <c r="V32" s="20">
        <f>-Calculations!BH35</f>
        <v>0</v>
      </c>
      <c r="W32" s="20">
        <f>-Calculations!BI35</f>
        <v>0</v>
      </c>
      <c r="X32" s="20">
        <f>-Calculations!BJ35</f>
        <v>0</v>
      </c>
      <c r="Y32" s="20">
        <f>-Calculations!BK35</f>
        <v>0</v>
      </c>
      <c r="Z32" s="20">
        <f>-Calculations!BL35</f>
        <v>0</v>
      </c>
      <c r="AA32" s="20">
        <f>-Calculations!BM35</f>
        <v>139078.37</v>
      </c>
      <c r="AB32" s="20">
        <f>-Calculations!BN35</f>
        <v>0</v>
      </c>
      <c r="AC32" s="20">
        <f>-Calculations!BO35</f>
        <v>0</v>
      </c>
      <c r="AD32" s="20">
        <f>-Calculations!BP35</f>
        <v>0</v>
      </c>
      <c r="AE32" s="20">
        <f>-Calculations!BQ35</f>
        <v>0</v>
      </c>
      <c r="AF32" s="216">
        <f>-Calculations!BR35</f>
        <v>0</v>
      </c>
      <c r="AG32" s="216">
        <f>-Calculations!BS35</f>
        <v>0</v>
      </c>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row>
    <row r="33" spans="1:71" s="5" customFormat="1">
      <c r="A33" s="237">
        <f t="shared" si="8"/>
        <v>29</v>
      </c>
      <c r="B33" s="70" t="s">
        <v>335</v>
      </c>
      <c r="C33" s="5" t="s">
        <v>388</v>
      </c>
      <c r="D33" s="216"/>
      <c r="E33" s="216"/>
      <c r="F33" s="216"/>
      <c r="G33" s="20">
        <f>-Calculations!AS36</f>
        <v>0</v>
      </c>
      <c r="H33" s="20">
        <f>-Calculations!AT36</f>
        <v>0</v>
      </c>
      <c r="I33" s="20">
        <f>-Calculations!AU36</f>
        <v>0</v>
      </c>
      <c r="J33" s="20">
        <f>-Calculations!AV36</f>
        <v>0</v>
      </c>
      <c r="K33" s="20">
        <f>-Calculations!AW36</f>
        <v>0</v>
      </c>
      <c r="L33" s="20">
        <f>-Calculations!AX36</f>
        <v>0</v>
      </c>
      <c r="M33" s="20">
        <f>-Calculations!AY36</f>
        <v>0</v>
      </c>
      <c r="N33" s="20">
        <f>-Calculations!AZ36</f>
        <v>0</v>
      </c>
      <c r="O33" s="20">
        <f>-Calculations!BA36</f>
        <v>0</v>
      </c>
      <c r="P33" s="20">
        <f>-Calculations!BB36</f>
        <v>0</v>
      </c>
      <c r="Q33" s="20">
        <f>-Calculations!BC36</f>
        <v>0</v>
      </c>
      <c r="R33" s="20">
        <f>-Calculations!BD36</f>
        <v>0</v>
      </c>
      <c r="S33" s="20">
        <f>-Calculations!BE36</f>
        <v>0</v>
      </c>
      <c r="T33" s="20">
        <f>-Calculations!BF36</f>
        <v>0</v>
      </c>
      <c r="U33" s="20">
        <f>-Calculations!BG36</f>
        <v>32805.660000000003</v>
      </c>
      <c r="V33" s="20">
        <f>-Calculations!BH36</f>
        <v>0</v>
      </c>
      <c r="W33" s="20">
        <f>-Calculations!BI36</f>
        <v>0</v>
      </c>
      <c r="X33" s="20">
        <f>-Calculations!BJ36</f>
        <v>0</v>
      </c>
      <c r="Y33" s="20">
        <f>-Calculations!BK36</f>
        <v>0</v>
      </c>
      <c r="Z33" s="20">
        <f>-Calculations!BL36</f>
        <v>0</v>
      </c>
      <c r="AA33" s="20">
        <f>-Calculations!BM36</f>
        <v>0</v>
      </c>
      <c r="AB33" s="20">
        <f>-Calculations!BN36</f>
        <v>0</v>
      </c>
      <c r="AC33" s="20">
        <f>-Calculations!BO36</f>
        <v>0</v>
      </c>
      <c r="AD33" s="20">
        <f>-Calculations!BP36</f>
        <v>0</v>
      </c>
      <c r="AE33" s="20">
        <f>-Calculations!BQ36</f>
        <v>0</v>
      </c>
      <c r="AF33" s="216">
        <f>-Calculations!BR36</f>
        <v>0</v>
      </c>
      <c r="AG33" s="216">
        <f>-Calculations!BS36</f>
        <v>0</v>
      </c>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row>
    <row r="34" spans="1:71" s="5" customFormat="1">
      <c r="A34" s="237">
        <f t="shared" si="8"/>
        <v>30</v>
      </c>
      <c r="B34" s="4" t="s">
        <v>374</v>
      </c>
      <c r="C34" s="246" t="s">
        <v>381</v>
      </c>
      <c r="D34" s="216"/>
      <c r="E34" s="216"/>
      <c r="F34" s="216"/>
      <c r="G34" s="20">
        <f>-Calculations!AS37</f>
        <v>0</v>
      </c>
      <c r="H34" s="20">
        <f>-Calculations!AT37</f>
        <v>0</v>
      </c>
      <c r="I34" s="20">
        <f>-Calculations!AU37</f>
        <v>0</v>
      </c>
      <c r="J34" s="20">
        <f>-Calculations!AV37</f>
        <v>0</v>
      </c>
      <c r="K34" s="20">
        <f>-Calculations!AW37</f>
        <v>0</v>
      </c>
      <c r="L34" s="20">
        <f>-Calculations!AX37</f>
        <v>0</v>
      </c>
      <c r="M34" s="20">
        <f>-Calculations!AY37</f>
        <v>0</v>
      </c>
      <c r="N34" s="20">
        <f>-Calculations!AZ37</f>
        <v>0</v>
      </c>
      <c r="O34" s="20">
        <f>-Calculations!BA37</f>
        <v>0</v>
      </c>
      <c r="P34" s="20">
        <f>-Calculations!BB37</f>
        <v>0</v>
      </c>
      <c r="Q34" s="20">
        <f>-Calculations!BC37</f>
        <v>0</v>
      </c>
      <c r="R34" s="20">
        <f>-Calculations!BD37</f>
        <v>0</v>
      </c>
      <c r="S34" s="20">
        <f>-Calculations!BE37</f>
        <v>0</v>
      </c>
      <c r="T34" s="20">
        <f>-Calculations!BF37</f>
        <v>0</v>
      </c>
      <c r="U34" s="20">
        <f>-Calculations!BG37</f>
        <v>0</v>
      </c>
      <c r="V34" s="20">
        <f>-Calculations!BH37</f>
        <v>0</v>
      </c>
      <c r="W34" s="20">
        <f>-Calculations!BI37</f>
        <v>0</v>
      </c>
      <c r="X34" s="20">
        <f>-Calculations!BJ37</f>
        <v>0</v>
      </c>
      <c r="Y34" s="20">
        <f>-Calculations!BK37</f>
        <v>0</v>
      </c>
      <c r="Z34" s="20">
        <f>-Calculations!BL37</f>
        <v>0</v>
      </c>
      <c r="AA34" s="20">
        <f>-Calculations!BM37</f>
        <v>0</v>
      </c>
      <c r="AB34" s="20">
        <f>-Calculations!BN37</f>
        <v>0</v>
      </c>
      <c r="AC34" s="20">
        <f>-Calculations!BO37</f>
        <v>29670.560000000001</v>
      </c>
      <c r="AD34" s="20">
        <f>-Calculations!BP37</f>
        <v>607.62</v>
      </c>
      <c r="AE34" s="20">
        <f>-Calculations!BQ37</f>
        <v>0</v>
      </c>
      <c r="AF34" s="216">
        <f>-Calculations!BR37</f>
        <v>0</v>
      </c>
      <c r="AG34" s="216">
        <f>-Calculations!BS37</f>
        <v>0</v>
      </c>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row>
    <row r="35" spans="1:71" s="5" customFormat="1">
      <c r="A35" s="237">
        <f t="shared" si="8"/>
        <v>31</v>
      </c>
      <c r="B35" s="70" t="s">
        <v>336</v>
      </c>
      <c r="C35" s="5" t="s">
        <v>348</v>
      </c>
      <c r="D35" s="216"/>
      <c r="E35" s="216"/>
      <c r="F35" s="216"/>
      <c r="G35" s="20">
        <f>-Calculations!AS38</f>
        <v>0</v>
      </c>
      <c r="H35" s="20">
        <f>-Calculations!AT38</f>
        <v>0</v>
      </c>
      <c r="I35" s="20">
        <f>-Calculations!AU38</f>
        <v>0</v>
      </c>
      <c r="J35" s="20">
        <f>-Calculations!AV38</f>
        <v>0</v>
      </c>
      <c r="K35" s="20">
        <f>-Calculations!AW38</f>
        <v>0</v>
      </c>
      <c r="L35" s="20">
        <f>-Calculations!AX38</f>
        <v>0</v>
      </c>
      <c r="M35" s="20">
        <f>-Calculations!AY38</f>
        <v>0</v>
      </c>
      <c r="N35" s="20">
        <f>-Calculations!AZ38</f>
        <v>0</v>
      </c>
      <c r="O35" s="20">
        <f>-Calculations!BA38</f>
        <v>0</v>
      </c>
      <c r="P35" s="20">
        <f>-Calculations!BB38</f>
        <v>0</v>
      </c>
      <c r="Q35" s="20">
        <f>-Calculations!BC38</f>
        <v>0</v>
      </c>
      <c r="R35" s="20">
        <f>-Calculations!BD38</f>
        <v>0</v>
      </c>
      <c r="S35" s="20">
        <f>-Calculations!BE38</f>
        <v>0</v>
      </c>
      <c r="T35" s="20">
        <f>-Calculations!BF38</f>
        <v>0</v>
      </c>
      <c r="U35" s="20">
        <f>-Calculations!BG38</f>
        <v>0</v>
      </c>
      <c r="V35" s="20">
        <f>-Calculations!BH38</f>
        <v>0</v>
      </c>
      <c r="W35" s="20">
        <f>-Calculations!BI38</f>
        <v>0</v>
      </c>
      <c r="X35" s="20">
        <f>-Calculations!BJ38</f>
        <v>0</v>
      </c>
      <c r="Y35" s="20">
        <f>-Calculations!BK38</f>
        <v>0</v>
      </c>
      <c r="Z35" s="20">
        <f>-Calculations!BL38</f>
        <v>0</v>
      </c>
      <c r="AA35" s="20">
        <f>-Calculations!BM38</f>
        <v>42775.98</v>
      </c>
      <c r="AB35" s="20">
        <f>-Calculations!BN38</f>
        <v>0</v>
      </c>
      <c r="AC35" s="20">
        <f>-Calculations!BO38</f>
        <v>0</v>
      </c>
      <c r="AD35" s="20">
        <f>-Calculations!BP38</f>
        <v>0</v>
      </c>
      <c r="AE35" s="20">
        <f>-Calculations!BQ38</f>
        <v>0</v>
      </c>
      <c r="AF35" s="216">
        <f>-Calculations!BR38</f>
        <v>0</v>
      </c>
      <c r="AG35" s="216">
        <f>-Calculations!BS38</f>
        <v>0</v>
      </c>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row>
    <row r="36" spans="1:71" s="5" customFormat="1">
      <c r="A36" s="237">
        <f t="shared" si="8"/>
        <v>32</v>
      </c>
      <c r="B36" s="70" t="s">
        <v>337</v>
      </c>
      <c r="C36" s="5" t="s">
        <v>349</v>
      </c>
      <c r="D36" s="216"/>
      <c r="E36" s="216"/>
      <c r="F36" s="216"/>
      <c r="G36" s="20">
        <f>-Calculations!AS39</f>
        <v>0</v>
      </c>
      <c r="H36" s="20">
        <f>-Calculations!AT39</f>
        <v>0</v>
      </c>
      <c r="I36" s="20">
        <f>-Calculations!AU39</f>
        <v>0</v>
      </c>
      <c r="J36" s="20">
        <f>-Calculations!AV39</f>
        <v>0</v>
      </c>
      <c r="K36" s="20">
        <f>-Calculations!AW39</f>
        <v>0</v>
      </c>
      <c r="L36" s="20">
        <f>-Calculations!AX39</f>
        <v>0</v>
      </c>
      <c r="M36" s="20">
        <f>-Calculations!AY39</f>
        <v>0</v>
      </c>
      <c r="N36" s="20">
        <f>-Calculations!AZ39</f>
        <v>0</v>
      </c>
      <c r="O36" s="20">
        <f>-Calculations!BA39</f>
        <v>0</v>
      </c>
      <c r="P36" s="20">
        <f>-Calculations!BB39</f>
        <v>0</v>
      </c>
      <c r="Q36" s="20">
        <f>-Calculations!BC39</f>
        <v>0</v>
      </c>
      <c r="R36" s="20">
        <f>-Calculations!BD39</f>
        <v>0</v>
      </c>
      <c r="S36" s="20">
        <f>-Calculations!BE39</f>
        <v>0</v>
      </c>
      <c r="T36" s="20">
        <f>-Calculations!BF39</f>
        <v>0</v>
      </c>
      <c r="U36" s="20">
        <f>-Calculations!BG39</f>
        <v>0</v>
      </c>
      <c r="V36" s="20">
        <f>-Calculations!BH39</f>
        <v>0</v>
      </c>
      <c r="W36" s="20">
        <f>-Calculations!BI39</f>
        <v>0</v>
      </c>
      <c r="X36" s="20">
        <f>-Calculations!BJ39</f>
        <v>0</v>
      </c>
      <c r="Y36" s="20">
        <f>-Calculations!BK39</f>
        <v>0</v>
      </c>
      <c r="Z36" s="20">
        <f>-Calculations!BL39</f>
        <v>0</v>
      </c>
      <c r="AA36" s="20">
        <f>-Calculations!BM39</f>
        <v>22138.33</v>
      </c>
      <c r="AB36" s="20">
        <f>-Calculations!BN39</f>
        <v>0</v>
      </c>
      <c r="AC36" s="20">
        <f>-Calculations!BO39</f>
        <v>0</v>
      </c>
      <c r="AD36" s="20">
        <f>-Calculations!BP39</f>
        <v>0</v>
      </c>
      <c r="AE36" s="20">
        <f>-Calculations!BQ39</f>
        <v>0</v>
      </c>
      <c r="AF36" s="216">
        <f>-Calculations!BR39</f>
        <v>0</v>
      </c>
      <c r="AG36" s="216">
        <f>-Calculations!BS39</f>
        <v>0</v>
      </c>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row>
    <row r="37" spans="1:71" s="5" customFormat="1">
      <c r="A37" s="237">
        <f t="shared" si="8"/>
        <v>33</v>
      </c>
      <c r="B37" s="70" t="s">
        <v>338</v>
      </c>
      <c r="C37" s="5" t="s">
        <v>350</v>
      </c>
      <c r="D37" s="216"/>
      <c r="E37" s="216"/>
      <c r="F37" s="216"/>
      <c r="G37" s="20">
        <f>-Calculations!AS40</f>
        <v>0</v>
      </c>
      <c r="H37" s="20">
        <f>-Calculations!AT40</f>
        <v>0</v>
      </c>
      <c r="I37" s="20">
        <f>-Calculations!AU40</f>
        <v>0</v>
      </c>
      <c r="J37" s="20">
        <f>-Calculations!AV40</f>
        <v>0</v>
      </c>
      <c r="K37" s="20">
        <f>-Calculations!AW40</f>
        <v>0</v>
      </c>
      <c r="L37" s="20">
        <f>-Calculations!AX40</f>
        <v>0</v>
      </c>
      <c r="M37" s="20">
        <f>-Calculations!AY40</f>
        <v>0</v>
      </c>
      <c r="N37" s="20">
        <f>-Calculations!AZ40</f>
        <v>0</v>
      </c>
      <c r="O37" s="20">
        <f>-Calculations!BA40</f>
        <v>0</v>
      </c>
      <c r="P37" s="20">
        <f>-Calculations!BB40</f>
        <v>0</v>
      </c>
      <c r="Q37" s="20">
        <f>-Calculations!BC40</f>
        <v>0</v>
      </c>
      <c r="R37" s="20">
        <f>-Calculations!BD40</f>
        <v>0</v>
      </c>
      <c r="S37" s="20">
        <f>-Calculations!BE40</f>
        <v>0</v>
      </c>
      <c r="T37" s="20">
        <f>-Calculations!BF40</f>
        <v>0</v>
      </c>
      <c r="U37" s="20">
        <f>-Calculations!BG40</f>
        <v>168631.27</v>
      </c>
      <c r="V37" s="20">
        <f>-Calculations!BH40</f>
        <v>0</v>
      </c>
      <c r="W37" s="20">
        <f>-Calculations!BI40</f>
        <v>-16904.900000000001</v>
      </c>
      <c r="X37" s="20">
        <f>-Calculations!BJ40</f>
        <v>0</v>
      </c>
      <c r="Y37" s="20">
        <f>-Calculations!BK40</f>
        <v>0</v>
      </c>
      <c r="Z37" s="20">
        <f>-Calculations!BL40</f>
        <v>0</v>
      </c>
      <c r="AA37" s="20">
        <f>-Calculations!BM40</f>
        <v>0</v>
      </c>
      <c r="AB37" s="20">
        <f>-Calculations!BN40</f>
        <v>0</v>
      </c>
      <c r="AC37" s="20">
        <f>-Calculations!BO40</f>
        <v>0</v>
      </c>
      <c r="AD37" s="20">
        <f>-Calculations!BP40</f>
        <v>0</v>
      </c>
      <c r="AE37" s="20">
        <f>-Calculations!BQ40</f>
        <v>0</v>
      </c>
      <c r="AF37" s="216">
        <f>-Calculations!BR40</f>
        <v>0</v>
      </c>
      <c r="AG37" s="216">
        <f>-Calculations!BS40</f>
        <v>0</v>
      </c>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row>
    <row r="38" spans="1:71" s="5" customFormat="1">
      <c r="A38" s="237">
        <f t="shared" si="8"/>
        <v>34</v>
      </c>
      <c r="B38" s="70" t="s">
        <v>339</v>
      </c>
      <c r="C38" s="5" t="s">
        <v>351</v>
      </c>
      <c r="D38" s="216"/>
      <c r="E38" s="216"/>
      <c r="F38" s="216"/>
      <c r="G38" s="20">
        <f>-Calculations!AS41</f>
        <v>0</v>
      </c>
      <c r="H38" s="20">
        <f>-Calculations!AT41</f>
        <v>0</v>
      </c>
      <c r="I38" s="20">
        <f>-Calculations!AU41</f>
        <v>0</v>
      </c>
      <c r="J38" s="20">
        <f>-Calculations!AV41</f>
        <v>0</v>
      </c>
      <c r="K38" s="20">
        <f>-Calculations!AW41</f>
        <v>0</v>
      </c>
      <c r="L38" s="20">
        <f>-Calculations!AX41</f>
        <v>0</v>
      </c>
      <c r="M38" s="20">
        <f>-Calculations!AY41</f>
        <v>0</v>
      </c>
      <c r="N38" s="20">
        <f>-Calculations!AZ41</f>
        <v>0</v>
      </c>
      <c r="O38" s="20">
        <f>-Calculations!BA41</f>
        <v>0</v>
      </c>
      <c r="P38" s="20">
        <f>-Calculations!BB41</f>
        <v>0</v>
      </c>
      <c r="Q38" s="20">
        <f>-Calculations!BC41</f>
        <v>0</v>
      </c>
      <c r="R38" s="20">
        <f>-Calculations!BD41</f>
        <v>0</v>
      </c>
      <c r="S38" s="20">
        <f>-Calculations!BE41</f>
        <v>0</v>
      </c>
      <c r="T38" s="20">
        <f>-Calculations!BF41</f>
        <v>0</v>
      </c>
      <c r="U38" s="20">
        <f>-Calculations!BG41</f>
        <v>1682784.72</v>
      </c>
      <c r="V38" s="20">
        <f>-Calculations!BH41</f>
        <v>36192.639999999999</v>
      </c>
      <c r="W38" s="20">
        <f>-Calculations!BI41</f>
        <v>2414.58</v>
      </c>
      <c r="X38" s="20">
        <f>-Calculations!BJ41</f>
        <v>0</v>
      </c>
      <c r="Y38" s="20">
        <f>-Calculations!BK41</f>
        <v>0</v>
      </c>
      <c r="Z38" s="20">
        <f>-Calculations!BL41</f>
        <v>0</v>
      </c>
      <c r="AA38" s="20">
        <f>-Calculations!BM41</f>
        <v>0</v>
      </c>
      <c r="AB38" s="20">
        <f>-Calculations!BN41</f>
        <v>0</v>
      </c>
      <c r="AC38" s="20">
        <f>-Calculations!BO41</f>
        <v>0</v>
      </c>
      <c r="AD38" s="20">
        <f>-Calculations!BP41</f>
        <v>0</v>
      </c>
      <c r="AE38" s="20">
        <f>-Calculations!BQ41</f>
        <v>0</v>
      </c>
      <c r="AF38" s="216">
        <f>-Calculations!BR41</f>
        <v>0</v>
      </c>
      <c r="AG38" s="216">
        <f>-Calculations!BS41</f>
        <v>0</v>
      </c>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row>
    <row r="39" spans="1:71" s="5" customFormat="1">
      <c r="A39" s="237">
        <f t="shared" si="8"/>
        <v>35</v>
      </c>
      <c r="B39" s="70"/>
      <c r="C39" s="5" t="s">
        <v>366</v>
      </c>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0">
        <v>-9903.3700000000008</v>
      </c>
      <c r="AC39" s="20"/>
      <c r="AD39" s="20"/>
      <c r="AE39" s="20"/>
      <c r="AF39" s="20"/>
      <c r="AG39" s="20"/>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row>
    <row r="40" spans="1:71" s="5" customFormat="1">
      <c r="A40" s="237">
        <f t="shared" si="8"/>
        <v>36</v>
      </c>
      <c r="C40" s="234" t="s">
        <v>148</v>
      </c>
      <c r="D40" s="216"/>
      <c r="E40" s="216"/>
      <c r="F40" s="216"/>
      <c r="G40" s="216"/>
      <c r="H40" s="216"/>
      <c r="I40" s="216"/>
      <c r="J40" s="216"/>
      <c r="K40" s="216"/>
      <c r="L40" s="216"/>
      <c r="M40" s="216"/>
      <c r="N40" s="216"/>
      <c r="O40" s="216"/>
      <c r="P40" s="216"/>
      <c r="Q40" s="216">
        <v>-352690.22</v>
      </c>
      <c r="R40" s="216"/>
      <c r="S40" s="216"/>
      <c r="T40" s="216"/>
      <c r="U40" s="216"/>
      <c r="V40" s="216"/>
      <c r="W40" s="216"/>
      <c r="X40" s="216"/>
      <c r="Y40" s="216"/>
      <c r="Z40" s="216"/>
      <c r="AA40" s="216"/>
      <c r="AB40" s="216"/>
      <c r="AC40" s="216"/>
      <c r="AD40" s="216"/>
      <c r="AE40" s="20"/>
      <c r="AF40" s="216"/>
      <c r="AG40" s="216"/>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row>
    <row r="41" spans="1:71">
      <c r="A41" s="237">
        <f t="shared" si="8"/>
        <v>37</v>
      </c>
      <c r="C41" s="2" t="s">
        <v>149</v>
      </c>
      <c r="D41" s="20"/>
      <c r="E41" s="20"/>
      <c r="F41" s="20"/>
      <c r="G41" s="20"/>
      <c r="H41" s="20"/>
      <c r="I41" s="20"/>
      <c r="J41" s="20"/>
      <c r="K41" s="20"/>
      <c r="L41" s="20"/>
      <c r="M41" s="20"/>
      <c r="N41" s="20"/>
      <c r="O41" s="20"/>
      <c r="P41" s="20"/>
      <c r="Q41" s="216">
        <v>-762863.21</v>
      </c>
      <c r="R41" s="20"/>
      <c r="S41" s="20"/>
      <c r="T41" s="20"/>
      <c r="U41" s="20"/>
      <c r="V41" s="20"/>
      <c r="W41" s="20"/>
      <c r="X41" s="20"/>
      <c r="Y41" s="20"/>
      <c r="Z41" s="20"/>
      <c r="AA41" s="20"/>
      <c r="AB41" s="20"/>
      <c r="AC41" s="20"/>
      <c r="AD41" s="20"/>
      <c r="AE41" s="20"/>
      <c r="AF41" s="20"/>
      <c r="AG41" s="20"/>
    </row>
    <row r="42" spans="1:71">
      <c r="A42" s="237">
        <f t="shared" si="8"/>
        <v>38</v>
      </c>
      <c r="C42" s="2" t="s">
        <v>150</v>
      </c>
      <c r="D42" s="20"/>
      <c r="E42" s="20"/>
      <c r="F42" s="20"/>
      <c r="G42" s="20"/>
      <c r="H42" s="20"/>
      <c r="I42" s="20"/>
      <c r="J42" s="20"/>
      <c r="K42" s="20"/>
      <c r="L42" s="20"/>
      <c r="M42" s="20"/>
      <c r="N42" s="20"/>
      <c r="O42" s="20"/>
      <c r="P42" s="20"/>
      <c r="Q42" s="216">
        <v>-154639.31</v>
      </c>
      <c r="R42" s="20"/>
      <c r="S42" s="20"/>
      <c r="T42" s="20"/>
      <c r="U42" s="20"/>
      <c r="V42" s="20"/>
      <c r="W42" s="20"/>
      <c r="X42" s="20"/>
      <c r="Y42" s="20"/>
      <c r="Z42" s="20"/>
      <c r="AA42" s="20"/>
      <c r="AB42" s="20"/>
      <c r="AC42" s="20"/>
      <c r="AD42" s="20"/>
      <c r="AE42" s="20"/>
      <c r="AF42" s="20"/>
      <c r="AG42" s="20"/>
    </row>
    <row r="43" spans="1:71">
      <c r="A43" s="237">
        <f t="shared" si="8"/>
        <v>39</v>
      </c>
      <c r="C43" s="215" t="s">
        <v>320</v>
      </c>
      <c r="D43" s="20"/>
      <c r="E43" s="20"/>
      <c r="F43" s="20"/>
      <c r="G43" s="20"/>
      <c r="H43" s="20">
        <v>-651869</v>
      </c>
      <c r="I43" s="20"/>
      <c r="J43" s="20"/>
      <c r="K43" s="20"/>
      <c r="L43" s="20"/>
      <c r="M43" s="20"/>
      <c r="N43" s="20"/>
      <c r="O43" s="20"/>
      <c r="P43" s="20"/>
      <c r="Q43" s="20"/>
      <c r="R43" s="20"/>
      <c r="S43" s="20"/>
      <c r="T43" s="20"/>
      <c r="U43" s="20"/>
      <c r="V43" s="20"/>
      <c r="W43" s="20"/>
      <c r="X43" s="20"/>
      <c r="Y43" s="20"/>
      <c r="Z43" s="20"/>
      <c r="AA43" s="20"/>
      <c r="AB43" s="20">
        <v>-195482.4</v>
      </c>
      <c r="AC43" s="20"/>
      <c r="AD43" s="20"/>
      <c r="AE43" s="20"/>
      <c r="AF43" s="20"/>
      <c r="AG43" s="20"/>
    </row>
    <row r="44" spans="1:71">
      <c r="A44" s="237">
        <f t="shared" si="8"/>
        <v>40</v>
      </c>
      <c r="C44" s="215" t="s">
        <v>365</v>
      </c>
      <c r="D44" s="20"/>
      <c r="E44" s="20"/>
      <c r="F44" s="20"/>
      <c r="G44" s="20"/>
      <c r="H44" s="20"/>
      <c r="I44" s="20"/>
      <c r="J44" s="20"/>
      <c r="K44" s="20"/>
      <c r="L44" s="20"/>
      <c r="M44" s="20"/>
      <c r="N44" s="20"/>
      <c r="O44" s="20"/>
      <c r="P44" s="20"/>
      <c r="Q44" s="20"/>
      <c r="R44" s="20"/>
      <c r="S44" s="20"/>
      <c r="T44" s="20"/>
      <c r="U44" s="20"/>
      <c r="V44" s="20"/>
      <c r="W44" s="20"/>
      <c r="X44" s="20"/>
      <c r="Y44" s="20"/>
      <c r="Z44" s="20"/>
      <c r="AA44" s="20"/>
      <c r="AB44" s="20">
        <v>-644.83000000000004</v>
      </c>
      <c r="AC44" s="20"/>
      <c r="AD44" s="20"/>
      <c r="AE44" s="20"/>
      <c r="AF44" s="20"/>
      <c r="AG44" s="20"/>
    </row>
    <row r="45" spans="1:71">
      <c r="A45" s="237">
        <f t="shared" si="8"/>
        <v>41</v>
      </c>
      <c r="C45" s="215" t="s">
        <v>319</v>
      </c>
      <c r="D45" s="20"/>
      <c r="E45" s="20"/>
      <c r="F45" s="20"/>
      <c r="G45" s="20"/>
      <c r="H45" s="20"/>
      <c r="I45" s="20"/>
      <c r="J45" s="20"/>
      <c r="K45" s="20"/>
      <c r="L45" s="20"/>
      <c r="M45" s="20"/>
      <c r="N45" s="20"/>
      <c r="O45" s="20"/>
      <c r="P45" s="20"/>
      <c r="Q45" s="20"/>
      <c r="R45" s="20"/>
      <c r="S45" s="20"/>
      <c r="T45" s="20"/>
      <c r="U45" s="216">
        <v>-464004.12</v>
      </c>
      <c r="V45" s="20"/>
      <c r="W45" s="20"/>
      <c r="X45" s="20"/>
      <c r="Y45" s="20"/>
      <c r="Z45" s="20"/>
      <c r="AA45" s="20"/>
      <c r="AB45" s="20"/>
      <c r="AC45" s="20"/>
      <c r="AD45" s="20"/>
      <c r="AE45" s="20"/>
      <c r="AF45" s="20"/>
      <c r="AG45" s="20"/>
    </row>
    <row r="46" spans="1:71">
      <c r="A46" s="237">
        <f t="shared" si="8"/>
        <v>42</v>
      </c>
      <c r="C46" s="215" t="s">
        <v>368</v>
      </c>
      <c r="D46" s="20"/>
      <c r="E46" s="20"/>
      <c r="F46" s="20"/>
      <c r="G46" s="20"/>
      <c r="H46" s="20"/>
      <c r="I46" s="20"/>
      <c r="J46" s="20"/>
      <c r="K46" s="20"/>
      <c r="L46" s="20"/>
      <c r="M46" s="20"/>
      <c r="N46" s="20"/>
      <c r="O46" s="20"/>
      <c r="P46" s="20"/>
      <c r="Q46" s="20"/>
      <c r="R46" s="20"/>
      <c r="S46" s="20"/>
      <c r="T46" s="20"/>
      <c r="U46" s="216"/>
      <c r="V46" s="20"/>
      <c r="W46" s="20"/>
      <c r="X46" s="20"/>
      <c r="Y46" s="20"/>
      <c r="Z46" s="20"/>
      <c r="AA46" s="20"/>
      <c r="AB46" s="20">
        <v>-1204.83</v>
      </c>
      <c r="AC46" s="20"/>
      <c r="AD46" s="20"/>
      <c r="AE46" s="20"/>
      <c r="AF46" s="20"/>
      <c r="AG46" s="20"/>
    </row>
    <row r="47" spans="1:71">
      <c r="A47" s="237">
        <f t="shared" si="8"/>
        <v>43</v>
      </c>
      <c r="C47" s="215" t="s">
        <v>367</v>
      </c>
      <c r="D47" s="20"/>
      <c r="E47" s="20"/>
      <c r="F47" s="20"/>
      <c r="G47" s="20"/>
      <c r="H47" s="20"/>
      <c r="I47" s="20"/>
      <c r="J47" s="20"/>
      <c r="K47" s="20"/>
      <c r="L47" s="20"/>
      <c r="M47" s="20"/>
      <c r="N47" s="20"/>
      <c r="O47" s="20"/>
      <c r="P47" s="20"/>
      <c r="Q47" s="20"/>
      <c r="R47" s="20"/>
      <c r="S47" s="20"/>
      <c r="T47" s="20"/>
      <c r="U47" s="216"/>
      <c r="V47" s="20"/>
      <c r="W47" s="20"/>
      <c r="X47" s="20"/>
      <c r="Y47" s="20"/>
      <c r="Z47" s="20"/>
      <c r="AA47" s="20"/>
      <c r="AB47" s="20">
        <v>-4756.34</v>
      </c>
      <c r="AC47" s="20"/>
      <c r="AD47" s="20"/>
      <c r="AE47" s="20"/>
      <c r="AF47" s="20"/>
      <c r="AG47" s="20"/>
    </row>
    <row r="48" spans="1:71">
      <c r="A48" s="237">
        <f t="shared" si="8"/>
        <v>44</v>
      </c>
      <c r="C48" s="215" t="s">
        <v>369</v>
      </c>
      <c r="D48" s="20"/>
      <c r="E48" s="20"/>
      <c r="F48" s="20"/>
      <c r="G48" s="20"/>
      <c r="H48" s="20"/>
      <c r="I48" s="20"/>
      <c r="J48" s="20"/>
      <c r="K48" s="20"/>
      <c r="L48" s="20"/>
      <c r="M48" s="20"/>
      <c r="N48" s="20"/>
      <c r="O48" s="20"/>
      <c r="P48" s="20"/>
      <c r="Q48" s="20"/>
      <c r="R48" s="20"/>
      <c r="S48" s="20"/>
      <c r="T48" s="20"/>
      <c r="U48" s="216"/>
      <c r="V48" s="20"/>
      <c r="W48" s="20"/>
      <c r="X48" s="20"/>
      <c r="Y48" s="20"/>
      <c r="Z48" s="20"/>
      <c r="AA48" s="20"/>
      <c r="AB48" s="20">
        <v>-5000</v>
      </c>
      <c r="AC48" s="20"/>
      <c r="AD48" s="20"/>
      <c r="AE48" s="20"/>
      <c r="AF48" s="20"/>
      <c r="AG48" s="20"/>
    </row>
    <row r="49" spans="1:71">
      <c r="A49" s="237">
        <f t="shared" si="8"/>
        <v>45</v>
      </c>
      <c r="C49" s="215" t="s">
        <v>376</v>
      </c>
      <c r="D49" s="20"/>
      <c r="E49" s="20"/>
      <c r="F49" s="20"/>
      <c r="G49" s="20"/>
      <c r="H49" s="20"/>
      <c r="I49" s="20"/>
      <c r="J49" s="20"/>
      <c r="K49" s="20"/>
      <c r="L49" s="20"/>
      <c r="M49" s="20"/>
      <c r="N49" s="20"/>
      <c r="O49" s="20"/>
      <c r="P49" s="20"/>
      <c r="Q49" s="20"/>
      <c r="R49" s="20"/>
      <c r="S49" s="20"/>
      <c r="T49" s="20"/>
      <c r="U49" s="216"/>
      <c r="V49" s="20"/>
      <c r="W49" s="20"/>
      <c r="X49" s="20"/>
      <c r="Y49" s="20"/>
      <c r="Z49" s="20"/>
      <c r="AA49" s="20"/>
      <c r="AB49" s="20"/>
      <c r="AC49" s="20"/>
      <c r="AD49" s="20"/>
      <c r="AE49" s="20">
        <v>-411028.47999999998</v>
      </c>
      <c r="AF49" s="20"/>
      <c r="AG49" s="20"/>
    </row>
    <row r="50" spans="1:71">
      <c r="A50" s="237">
        <f t="shared" si="8"/>
        <v>46</v>
      </c>
      <c r="C50" s="215" t="s">
        <v>377</v>
      </c>
      <c r="D50" s="20"/>
      <c r="E50" s="20"/>
      <c r="F50" s="20"/>
      <c r="G50" s="20"/>
      <c r="H50" s="20"/>
      <c r="I50" s="20"/>
      <c r="J50" s="20"/>
      <c r="K50" s="20"/>
      <c r="L50" s="20"/>
      <c r="M50" s="20"/>
      <c r="N50" s="20"/>
      <c r="O50" s="20"/>
      <c r="P50" s="20"/>
      <c r="Q50" s="20"/>
      <c r="R50" s="20"/>
      <c r="S50" s="20"/>
      <c r="T50" s="20"/>
      <c r="U50" s="216"/>
      <c r="V50" s="20"/>
      <c r="W50" s="20"/>
      <c r="X50" s="20"/>
      <c r="Y50" s="20"/>
      <c r="Z50" s="20"/>
      <c r="AA50" s="20"/>
      <c r="AB50" s="20"/>
      <c r="AC50" s="20"/>
      <c r="AD50" s="20"/>
      <c r="AE50" s="20">
        <v>-157612</v>
      </c>
      <c r="AF50" s="20"/>
      <c r="AG50" s="20"/>
    </row>
    <row r="51" spans="1:71" ht="13.5" thickBot="1">
      <c r="A51" s="237">
        <f t="shared" si="8"/>
        <v>47</v>
      </c>
      <c r="C51" s="3" t="s">
        <v>129</v>
      </c>
      <c r="D51" s="52">
        <f t="shared" ref="D51:AS51" si="9">SUM(D5:D50)</f>
        <v>10750282.300000001</v>
      </c>
      <c r="E51" s="52">
        <f t="shared" si="9"/>
        <v>0</v>
      </c>
      <c r="F51" s="52">
        <f t="shared" si="9"/>
        <v>383381</v>
      </c>
      <c r="G51" s="52">
        <f t="shared" si="9"/>
        <v>4579607.57</v>
      </c>
      <c r="H51" s="52">
        <f t="shared" si="9"/>
        <v>19719894.529999997</v>
      </c>
      <c r="I51" s="52">
        <f t="shared" si="9"/>
        <v>54606.11</v>
      </c>
      <c r="J51" s="52">
        <f t="shared" si="9"/>
        <v>-49598.2</v>
      </c>
      <c r="K51" s="52">
        <f t="shared" si="9"/>
        <v>0</v>
      </c>
      <c r="L51" s="52">
        <f t="shared" si="9"/>
        <v>167105.60000000001</v>
      </c>
      <c r="M51" s="52">
        <f t="shared" si="9"/>
        <v>1256.4500000000003</v>
      </c>
      <c r="N51" s="52">
        <f t="shared" si="9"/>
        <v>909649.35</v>
      </c>
      <c r="O51" s="52">
        <f t="shared" si="9"/>
        <v>-85401.47</v>
      </c>
      <c r="P51" s="52">
        <f t="shared" si="9"/>
        <v>2464964.9200000004</v>
      </c>
      <c r="Q51" s="52">
        <f t="shared" si="9"/>
        <v>29623073.130000003</v>
      </c>
      <c r="R51" s="52">
        <f t="shared" si="9"/>
        <v>928339.97</v>
      </c>
      <c r="S51" s="52">
        <f t="shared" si="9"/>
        <v>-90949.73</v>
      </c>
      <c r="T51" s="52">
        <f t="shared" si="9"/>
        <v>1561224.3499999999</v>
      </c>
      <c r="U51" s="52">
        <f t="shared" si="9"/>
        <v>22674018.179999996</v>
      </c>
      <c r="V51" s="52">
        <f t="shared" si="9"/>
        <v>54085.869999999995</v>
      </c>
      <c r="W51" s="52">
        <f t="shared" si="9"/>
        <v>64508.26</v>
      </c>
      <c r="X51" s="52">
        <f t="shared" si="9"/>
        <v>195458.72999999998</v>
      </c>
      <c r="Y51" s="52">
        <f t="shared" si="9"/>
        <v>-3347.989999999998</v>
      </c>
      <c r="Z51" s="52">
        <f t="shared" si="9"/>
        <v>23787.43</v>
      </c>
      <c r="AA51" s="52">
        <f t="shared" si="9"/>
        <v>232931.84999999992</v>
      </c>
      <c r="AB51" s="52">
        <f t="shared" si="9"/>
        <v>14473953.15</v>
      </c>
      <c r="AC51" s="52">
        <f t="shared" si="9"/>
        <v>581154.96000000008</v>
      </c>
      <c r="AD51" s="52">
        <f t="shared" si="9"/>
        <v>28672145.890000001</v>
      </c>
      <c r="AE51" s="52">
        <f t="shared" si="9"/>
        <v>12052490.879999999</v>
      </c>
      <c r="AF51" s="52">
        <f t="shared" si="9"/>
        <v>0</v>
      </c>
      <c r="AG51" s="52">
        <f t="shared" si="9"/>
        <v>0</v>
      </c>
      <c r="AH51" s="52">
        <f t="shared" si="9"/>
        <v>0</v>
      </c>
      <c r="AI51" s="52">
        <f t="shared" si="9"/>
        <v>0</v>
      </c>
      <c r="AJ51" s="52">
        <f t="shared" si="9"/>
        <v>0</v>
      </c>
      <c r="AK51" s="52">
        <f t="shared" si="9"/>
        <v>0</v>
      </c>
      <c r="AL51" s="52">
        <f t="shared" si="9"/>
        <v>0</v>
      </c>
      <c r="AM51" s="52">
        <f t="shared" si="9"/>
        <v>0</v>
      </c>
      <c r="AN51" s="52">
        <f t="shared" si="9"/>
        <v>0</v>
      </c>
      <c r="AO51" s="52">
        <f t="shared" si="9"/>
        <v>0</v>
      </c>
      <c r="AP51" s="52">
        <f t="shared" si="9"/>
        <v>0</v>
      </c>
      <c r="AQ51" s="52">
        <f t="shared" si="9"/>
        <v>0</v>
      </c>
      <c r="AR51" s="52">
        <f t="shared" si="9"/>
        <v>0</v>
      </c>
      <c r="AS51" s="52">
        <f t="shared" si="9"/>
        <v>0</v>
      </c>
    </row>
    <row r="52" spans="1:71" s="19" customFormat="1" ht="13.5" thickTop="1">
      <c r="A52" s="237">
        <f t="shared" si="8"/>
        <v>48</v>
      </c>
      <c r="C52" s="248" t="s">
        <v>296</v>
      </c>
      <c r="D52" s="249"/>
      <c r="E52" s="249"/>
      <c r="F52" s="249"/>
      <c r="G52" s="249"/>
      <c r="H52" s="20">
        <v>-18718.990000000002</v>
      </c>
      <c r="I52" s="20"/>
      <c r="J52" s="20"/>
      <c r="K52" s="20"/>
      <c r="L52" s="20"/>
      <c r="M52" s="249"/>
      <c r="N52" s="249"/>
      <c r="O52" s="249"/>
      <c r="P52" s="249"/>
      <c r="Q52" s="20">
        <v>-109249.52</v>
      </c>
      <c r="R52" s="20"/>
      <c r="S52" s="20"/>
      <c r="T52" s="20"/>
      <c r="U52" s="20">
        <v>-10382.19</v>
      </c>
      <c r="V52" s="249"/>
      <c r="W52" s="249"/>
      <c r="X52" s="249"/>
      <c r="Y52" s="20">
        <v>-21068.9</v>
      </c>
      <c r="Z52" s="20">
        <v>-13725.11</v>
      </c>
      <c r="AA52" s="249"/>
      <c r="AB52" s="249">
        <v>0</v>
      </c>
      <c r="AC52" s="249"/>
      <c r="AD52" s="249"/>
      <c r="AE52" s="20">
        <v>-14148</v>
      </c>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row>
    <row r="53" spans="1:71">
      <c r="A53" s="237">
        <f t="shared" si="8"/>
        <v>49</v>
      </c>
      <c r="C53" s="2" t="s">
        <v>130</v>
      </c>
      <c r="D53" s="20">
        <v>-10100000</v>
      </c>
    </row>
    <row r="54" spans="1:71">
      <c r="A54" s="237">
        <f t="shared" si="8"/>
        <v>50</v>
      </c>
      <c r="C54" s="2" t="s">
        <v>131</v>
      </c>
      <c r="D54" s="20">
        <f>SUM(D53,D51)</f>
        <v>650282.30000000075</v>
      </c>
    </row>
    <row r="56" spans="1:71">
      <c r="A56" s="69">
        <f>A54+1</f>
        <v>51</v>
      </c>
      <c r="C56" s="2" t="s">
        <v>132</v>
      </c>
      <c r="D56" s="1">
        <f>D51</f>
        <v>10750282.300000001</v>
      </c>
      <c r="E56" s="1">
        <f>D56+E51</f>
        <v>10750282.300000001</v>
      </c>
      <c r="F56" s="1">
        <f t="shared" ref="F56:AG56" si="10">E56+F51</f>
        <v>11133663.300000001</v>
      </c>
      <c r="G56" s="1">
        <f t="shared" si="10"/>
        <v>15713270.870000001</v>
      </c>
      <c r="H56" s="1">
        <f t="shared" si="10"/>
        <v>35433165.399999999</v>
      </c>
      <c r="I56" s="1">
        <f t="shared" si="10"/>
        <v>35487771.509999998</v>
      </c>
      <c r="J56" s="1">
        <f t="shared" si="10"/>
        <v>35438173.309999995</v>
      </c>
      <c r="K56" s="1">
        <f t="shared" si="10"/>
        <v>35438173.309999995</v>
      </c>
      <c r="L56" s="1">
        <f t="shared" si="10"/>
        <v>35605278.909999996</v>
      </c>
      <c r="M56" s="1">
        <f t="shared" si="10"/>
        <v>35606535.359999999</v>
      </c>
      <c r="N56" s="1">
        <f t="shared" si="10"/>
        <v>36516184.710000001</v>
      </c>
      <c r="O56" s="1">
        <f>N56+O51</f>
        <v>36430783.240000002</v>
      </c>
      <c r="P56" s="1">
        <f t="shared" si="10"/>
        <v>38895748.160000004</v>
      </c>
      <c r="Q56" s="1">
        <f t="shared" si="10"/>
        <v>68518821.290000007</v>
      </c>
      <c r="R56" s="1">
        <f t="shared" si="10"/>
        <v>69447161.260000005</v>
      </c>
      <c r="S56" s="1">
        <f t="shared" si="10"/>
        <v>69356211.530000001</v>
      </c>
      <c r="T56" s="1">
        <f t="shared" si="10"/>
        <v>70917435.879999995</v>
      </c>
      <c r="U56" s="1">
        <f t="shared" si="10"/>
        <v>93591454.059999987</v>
      </c>
      <c r="V56" s="1">
        <f t="shared" si="10"/>
        <v>93645539.929999992</v>
      </c>
      <c r="W56" s="1">
        <f t="shared" si="10"/>
        <v>93710048.189999998</v>
      </c>
      <c r="X56" s="1">
        <f t="shared" si="10"/>
        <v>93905506.920000002</v>
      </c>
      <c r="Y56" s="1">
        <f t="shared" si="10"/>
        <v>93902158.930000007</v>
      </c>
      <c r="Z56" s="1">
        <f t="shared" si="10"/>
        <v>93925946.360000014</v>
      </c>
      <c r="AA56" s="1">
        <f t="shared" si="10"/>
        <v>94158878.210000008</v>
      </c>
      <c r="AB56" s="1">
        <f>AA56+AB51</f>
        <v>108632831.36000001</v>
      </c>
      <c r="AC56" s="1">
        <f t="shared" si="10"/>
        <v>109213986.32000001</v>
      </c>
      <c r="AD56" s="1">
        <f>AC56+AD51</f>
        <v>137886132.21000001</v>
      </c>
      <c r="AE56" s="1">
        <f>AD56+AE51</f>
        <v>149938623.09</v>
      </c>
      <c r="AF56" s="1">
        <f>AE56+AF51</f>
        <v>149938623.09</v>
      </c>
      <c r="AG56" s="1">
        <f t="shared" si="10"/>
        <v>149938623.09</v>
      </c>
      <c r="AH56" s="1">
        <f t="shared" ref="AH56" si="11">AG56+AH51</f>
        <v>149938623.09</v>
      </c>
      <c r="AI56" s="1">
        <f t="shared" ref="AI56" si="12">AH56+AI51</f>
        <v>149938623.09</v>
      </c>
      <c r="AJ56" s="1">
        <f t="shared" ref="AJ56" si="13">AI56+AJ51</f>
        <v>149938623.09</v>
      </c>
      <c r="AK56" s="1">
        <f t="shared" ref="AK56" si="14">AJ56+AK51</f>
        <v>149938623.09</v>
      </c>
      <c r="AL56" s="1">
        <f t="shared" ref="AL56" si="15">AK56+AL51</f>
        <v>149938623.09</v>
      </c>
      <c r="AM56" s="1">
        <f t="shared" ref="AM56" si="16">AL56+AM51</f>
        <v>149938623.09</v>
      </c>
      <c r="AN56" s="1">
        <f t="shared" ref="AN56" si="17">AM56+AN51</f>
        <v>149938623.09</v>
      </c>
      <c r="AO56" s="1">
        <f t="shared" ref="AO56" si="18">AN56+AO51</f>
        <v>149938623.09</v>
      </c>
      <c r="AP56" s="1">
        <f t="shared" ref="AP56" si="19">AO56+AP51</f>
        <v>149938623.09</v>
      </c>
      <c r="AQ56" s="1">
        <f t="shared" ref="AQ56" si="20">AP56+AQ51</f>
        <v>149938623.09</v>
      </c>
      <c r="AR56" s="1">
        <f t="shared" ref="AR56" si="21">AQ56+AR51</f>
        <v>149938623.09</v>
      </c>
      <c r="AS56" s="1">
        <f t="shared" ref="AS56" si="22">AR56+AS51</f>
        <v>149938623.09</v>
      </c>
    </row>
    <row r="57" spans="1:71">
      <c r="A57" s="69">
        <f>A56+1</f>
        <v>52</v>
      </c>
      <c r="C57" s="2" t="s">
        <v>133</v>
      </c>
      <c r="D57" s="1">
        <f>D54</f>
        <v>650282.30000000075</v>
      </c>
      <c r="E57" s="1">
        <f>D57+E51</f>
        <v>650282.30000000075</v>
      </c>
      <c r="F57" s="1">
        <f t="shared" ref="F57:AD57" si="23">E57+F51</f>
        <v>1033663.3000000007</v>
      </c>
      <c r="G57" s="1">
        <f t="shared" si="23"/>
        <v>5613270.870000001</v>
      </c>
      <c r="H57" s="1">
        <f t="shared" si="23"/>
        <v>25333165.399999999</v>
      </c>
      <c r="I57" s="1">
        <f t="shared" si="23"/>
        <v>25387771.509999998</v>
      </c>
      <c r="J57" s="1">
        <f t="shared" si="23"/>
        <v>25338173.309999999</v>
      </c>
      <c r="K57" s="1">
        <f t="shared" si="23"/>
        <v>25338173.309999999</v>
      </c>
      <c r="L57" s="1">
        <f t="shared" si="23"/>
        <v>25505278.91</v>
      </c>
      <c r="M57" s="1">
        <f t="shared" si="23"/>
        <v>25506535.359999999</v>
      </c>
      <c r="N57" s="1">
        <f t="shared" si="23"/>
        <v>26416184.710000001</v>
      </c>
      <c r="O57" s="1">
        <f t="shared" si="23"/>
        <v>26330783.240000002</v>
      </c>
      <c r="P57" s="1">
        <f t="shared" si="23"/>
        <v>28795748.160000004</v>
      </c>
      <c r="Q57" s="1">
        <f t="shared" si="23"/>
        <v>58418821.290000007</v>
      </c>
      <c r="R57" s="1">
        <f t="shared" si="23"/>
        <v>59347161.260000005</v>
      </c>
      <c r="S57" s="1">
        <f t="shared" si="23"/>
        <v>59256211.530000009</v>
      </c>
      <c r="T57" s="1">
        <f t="shared" si="23"/>
        <v>60817435.88000001</v>
      </c>
      <c r="U57" s="1">
        <f t="shared" si="23"/>
        <v>83491454.060000002</v>
      </c>
      <c r="V57" s="1">
        <f t="shared" si="23"/>
        <v>83545539.930000007</v>
      </c>
      <c r="W57" s="1">
        <f t="shared" si="23"/>
        <v>83610048.190000013</v>
      </c>
      <c r="X57" s="1">
        <f t="shared" si="23"/>
        <v>83805506.920000017</v>
      </c>
      <c r="Y57" s="1">
        <f t="shared" si="23"/>
        <v>83802158.930000022</v>
      </c>
      <c r="Z57" s="1">
        <f t="shared" si="23"/>
        <v>83825946.360000029</v>
      </c>
      <c r="AA57" s="1">
        <f t="shared" si="23"/>
        <v>84058878.210000023</v>
      </c>
      <c r="AB57" s="1">
        <f t="shared" si="23"/>
        <v>98532831.360000029</v>
      </c>
      <c r="AC57" s="1">
        <f t="shared" si="23"/>
        <v>99113986.320000023</v>
      </c>
      <c r="AD57" s="1">
        <f t="shared" si="23"/>
        <v>127786132.21000002</v>
      </c>
      <c r="AE57" s="1">
        <f>AD57+AE51</f>
        <v>139838623.09000003</v>
      </c>
      <c r="AF57" s="1">
        <f>AE57+AF51</f>
        <v>139838623.09000003</v>
      </c>
      <c r="AG57" s="1">
        <f>AF57+AG51</f>
        <v>139838623.09000003</v>
      </c>
      <c r="AH57" s="1">
        <f>AG57+AH51</f>
        <v>139838623.09000003</v>
      </c>
      <c r="AI57" s="1">
        <f t="shared" ref="AI57:AS57" si="24">AH57+AI51</f>
        <v>139838623.09000003</v>
      </c>
      <c r="AJ57" s="1">
        <f t="shared" si="24"/>
        <v>139838623.09000003</v>
      </c>
      <c r="AK57" s="1">
        <f t="shared" si="24"/>
        <v>139838623.09000003</v>
      </c>
      <c r="AL57" s="1">
        <f t="shared" si="24"/>
        <v>139838623.09000003</v>
      </c>
      <c r="AM57" s="1">
        <f t="shared" si="24"/>
        <v>139838623.09000003</v>
      </c>
      <c r="AN57" s="1">
        <f t="shared" si="24"/>
        <v>139838623.09000003</v>
      </c>
      <c r="AO57" s="1">
        <f t="shared" si="24"/>
        <v>139838623.09000003</v>
      </c>
      <c r="AP57" s="1">
        <f t="shared" si="24"/>
        <v>139838623.09000003</v>
      </c>
      <c r="AQ57" s="1">
        <f t="shared" si="24"/>
        <v>139838623.09000003</v>
      </c>
      <c r="AR57" s="1">
        <f t="shared" si="24"/>
        <v>139838623.09000003</v>
      </c>
      <c r="AS57" s="1">
        <f t="shared" si="24"/>
        <v>139838623.09000003</v>
      </c>
    </row>
    <row r="58" spans="1:71">
      <c r="A58" s="69">
        <f t="shared" ref="A58:A69" si="25">A57+1</f>
        <v>53</v>
      </c>
      <c r="C58" s="2" t="s">
        <v>134</v>
      </c>
      <c r="D58" s="25">
        <f t="shared" ref="D58:AS58" si="26">0.021/12</f>
        <v>1.75E-3</v>
      </c>
      <c r="E58" s="25">
        <f t="shared" si="26"/>
        <v>1.75E-3</v>
      </c>
      <c r="F58" s="25">
        <f t="shared" si="26"/>
        <v>1.75E-3</v>
      </c>
      <c r="G58" s="25">
        <f t="shared" si="26"/>
        <v>1.75E-3</v>
      </c>
      <c r="H58" s="25">
        <f t="shared" si="26"/>
        <v>1.75E-3</v>
      </c>
      <c r="I58" s="25">
        <f t="shared" si="26"/>
        <v>1.75E-3</v>
      </c>
      <c r="J58" s="25">
        <f t="shared" si="26"/>
        <v>1.75E-3</v>
      </c>
      <c r="K58" s="25">
        <f t="shared" si="26"/>
        <v>1.75E-3</v>
      </c>
      <c r="L58" s="25">
        <f t="shared" si="26"/>
        <v>1.75E-3</v>
      </c>
      <c r="M58" s="25">
        <f t="shared" si="26"/>
        <v>1.75E-3</v>
      </c>
      <c r="N58" s="25">
        <f t="shared" si="26"/>
        <v>1.75E-3</v>
      </c>
      <c r="O58" s="25">
        <f t="shared" si="26"/>
        <v>1.75E-3</v>
      </c>
      <c r="P58" s="25">
        <f t="shared" si="26"/>
        <v>1.75E-3</v>
      </c>
      <c r="Q58" s="25">
        <f t="shared" si="26"/>
        <v>1.75E-3</v>
      </c>
      <c r="R58" s="25">
        <f t="shared" si="26"/>
        <v>1.75E-3</v>
      </c>
      <c r="S58" s="25">
        <f t="shared" si="26"/>
        <v>1.75E-3</v>
      </c>
      <c r="T58" s="25">
        <f t="shared" si="26"/>
        <v>1.75E-3</v>
      </c>
      <c r="U58" s="25">
        <f t="shared" si="26"/>
        <v>1.75E-3</v>
      </c>
      <c r="V58" s="25">
        <f t="shared" si="26"/>
        <v>1.75E-3</v>
      </c>
      <c r="W58" s="25">
        <f t="shared" si="26"/>
        <v>1.75E-3</v>
      </c>
      <c r="X58" s="25">
        <f t="shared" si="26"/>
        <v>1.75E-3</v>
      </c>
      <c r="Y58" s="25">
        <f t="shared" si="26"/>
        <v>1.75E-3</v>
      </c>
      <c r="Z58" s="25">
        <f t="shared" si="26"/>
        <v>1.75E-3</v>
      </c>
      <c r="AA58" s="25">
        <f t="shared" si="26"/>
        <v>1.75E-3</v>
      </c>
      <c r="AB58" s="25">
        <f t="shared" si="26"/>
        <v>1.75E-3</v>
      </c>
      <c r="AC58" s="25">
        <f t="shared" si="26"/>
        <v>1.75E-3</v>
      </c>
      <c r="AD58" s="25">
        <f t="shared" si="26"/>
        <v>1.75E-3</v>
      </c>
      <c r="AE58" s="25">
        <f>0.021/12</f>
        <v>1.75E-3</v>
      </c>
      <c r="AF58" s="25">
        <f t="shared" si="26"/>
        <v>1.75E-3</v>
      </c>
      <c r="AG58" s="25">
        <f t="shared" si="26"/>
        <v>1.75E-3</v>
      </c>
      <c r="AH58" s="25">
        <f t="shared" si="26"/>
        <v>1.75E-3</v>
      </c>
      <c r="AI58" s="25">
        <f t="shared" si="26"/>
        <v>1.75E-3</v>
      </c>
      <c r="AJ58" s="25">
        <f t="shared" si="26"/>
        <v>1.75E-3</v>
      </c>
      <c r="AK58" s="25">
        <f t="shared" si="26"/>
        <v>1.75E-3</v>
      </c>
      <c r="AL58" s="25">
        <f t="shared" si="26"/>
        <v>1.75E-3</v>
      </c>
      <c r="AM58" s="25">
        <f t="shared" si="26"/>
        <v>1.75E-3</v>
      </c>
      <c r="AN58" s="25">
        <f t="shared" si="26"/>
        <v>1.75E-3</v>
      </c>
      <c r="AO58" s="25">
        <f t="shared" si="26"/>
        <v>1.75E-3</v>
      </c>
      <c r="AP58" s="25">
        <f t="shared" si="26"/>
        <v>1.75E-3</v>
      </c>
      <c r="AQ58" s="25">
        <f t="shared" si="26"/>
        <v>1.75E-3</v>
      </c>
      <c r="AR58" s="25">
        <f t="shared" si="26"/>
        <v>1.75E-3</v>
      </c>
      <c r="AS58" s="25">
        <f t="shared" si="26"/>
        <v>1.75E-3</v>
      </c>
    </row>
    <row r="59" spans="1:71">
      <c r="A59" s="69">
        <f t="shared" si="25"/>
        <v>54</v>
      </c>
      <c r="C59" s="2" t="s">
        <v>135</v>
      </c>
      <c r="D59" s="44">
        <f>D57*D58</f>
        <v>1137.9940250000013</v>
      </c>
      <c r="E59" s="44">
        <f t="shared" ref="E59:AC59" si="27">E57*E58</f>
        <v>1137.9940250000013</v>
      </c>
      <c r="F59" s="44">
        <f t="shared" si="27"/>
        <v>1808.9107750000014</v>
      </c>
      <c r="G59" s="44">
        <f t="shared" si="27"/>
        <v>9823.2240225000023</v>
      </c>
      <c r="H59" s="44">
        <f>H57*H58</f>
        <v>44333.039449999997</v>
      </c>
      <c r="I59" s="44">
        <f t="shared" si="27"/>
        <v>44428.600142499999</v>
      </c>
      <c r="J59" s="44">
        <f t="shared" si="27"/>
        <v>44341.803292500001</v>
      </c>
      <c r="K59" s="44">
        <f t="shared" si="27"/>
        <v>44341.803292500001</v>
      </c>
      <c r="L59" s="44">
        <f t="shared" si="27"/>
        <v>44634.238092500003</v>
      </c>
      <c r="M59" s="44">
        <f t="shared" si="27"/>
        <v>44636.436880000001</v>
      </c>
      <c r="N59" s="44">
        <f t="shared" si="27"/>
        <v>46228.323242500002</v>
      </c>
      <c r="O59" s="44">
        <f t="shared" si="27"/>
        <v>46078.870670000004</v>
      </c>
      <c r="P59" s="44">
        <f t="shared" si="27"/>
        <v>50392.559280000009</v>
      </c>
      <c r="Q59" s="44">
        <f>Q57*Q58</f>
        <v>102232.93725750002</v>
      </c>
      <c r="R59" s="44">
        <f t="shared" si="27"/>
        <v>103857.53220500001</v>
      </c>
      <c r="S59" s="44">
        <f t="shared" si="27"/>
        <v>103698.37017750002</v>
      </c>
      <c r="T59" s="44">
        <f t="shared" si="27"/>
        <v>106430.51279000002</v>
      </c>
      <c r="U59" s="44">
        <f t="shared" si="27"/>
        <v>146110.044605</v>
      </c>
      <c r="V59" s="44">
        <f t="shared" si="27"/>
        <v>146204.69487750001</v>
      </c>
      <c r="W59" s="44">
        <f t="shared" si="27"/>
        <v>146317.58433250003</v>
      </c>
      <c r="X59" s="44">
        <f t="shared" si="27"/>
        <v>146659.63711000004</v>
      </c>
      <c r="Y59" s="44">
        <f t="shared" si="27"/>
        <v>146653.77812750003</v>
      </c>
      <c r="Z59" s="44">
        <f t="shared" si="27"/>
        <v>146695.40613000005</v>
      </c>
      <c r="AA59" s="44">
        <f t="shared" si="27"/>
        <v>147103.03686750005</v>
      </c>
      <c r="AB59" s="44">
        <f t="shared" si="27"/>
        <v>172432.45488000006</v>
      </c>
      <c r="AC59" s="44">
        <f t="shared" si="27"/>
        <v>173449.47606000004</v>
      </c>
      <c r="AD59" s="44">
        <f>AD57*AD58</f>
        <v>223625.73136750003</v>
      </c>
      <c r="AE59" s="44">
        <f>AE57*AE58</f>
        <v>244717.59040750007</v>
      </c>
      <c r="AF59" s="44">
        <f>AF57*AF58</f>
        <v>244717.59040750007</v>
      </c>
      <c r="AG59" s="44">
        <f>AG57*AG58</f>
        <v>244717.59040750007</v>
      </c>
      <c r="AH59" s="44">
        <f t="shared" ref="AH59:AS59" si="28">AH57*AH58</f>
        <v>244717.59040750007</v>
      </c>
      <c r="AI59" s="44">
        <f t="shared" si="28"/>
        <v>244717.59040750007</v>
      </c>
      <c r="AJ59" s="44">
        <f t="shared" si="28"/>
        <v>244717.59040750007</v>
      </c>
      <c r="AK59" s="44">
        <f t="shared" si="28"/>
        <v>244717.59040750007</v>
      </c>
      <c r="AL59" s="44">
        <f t="shared" si="28"/>
        <v>244717.59040750007</v>
      </c>
      <c r="AM59" s="44">
        <f t="shared" si="28"/>
        <v>244717.59040750007</v>
      </c>
      <c r="AN59" s="44">
        <f t="shared" si="28"/>
        <v>244717.59040750007</v>
      </c>
      <c r="AO59" s="44">
        <f t="shared" si="28"/>
        <v>244717.59040750007</v>
      </c>
      <c r="AP59" s="44">
        <f t="shared" si="28"/>
        <v>244717.59040750007</v>
      </c>
      <c r="AQ59" s="44">
        <f t="shared" si="28"/>
        <v>244717.59040750007</v>
      </c>
      <c r="AR59" s="44">
        <f t="shared" si="28"/>
        <v>244717.59040750007</v>
      </c>
      <c r="AS59" s="44">
        <f t="shared" si="28"/>
        <v>244717.59040750007</v>
      </c>
    </row>
    <row r="60" spans="1:71">
      <c r="A60" s="69">
        <f t="shared" si="25"/>
        <v>55</v>
      </c>
      <c r="C60" s="2" t="s">
        <v>272</v>
      </c>
      <c r="D60" s="1">
        <f>Calculations!H102</f>
        <v>1287254.1387708341</v>
      </c>
      <c r="E60" s="1">
        <f>Calculations!I102</f>
        <v>1287254.1387708341</v>
      </c>
      <c r="F60" s="1">
        <f>Calculations!J102</f>
        <v>1287254.1387708341</v>
      </c>
      <c r="G60" s="1">
        <f>Calculations!K102</f>
        <v>1287254.1387708341</v>
      </c>
      <c r="H60" s="1">
        <f>Calculations!L102</f>
        <v>1287254.1387708341</v>
      </c>
      <c r="I60" s="1">
        <f>Calculations!M102</f>
        <v>1287254.1387708341</v>
      </c>
      <c r="J60" s="1">
        <f>Calculations!N102</f>
        <v>4963704.2995125828</v>
      </c>
      <c r="K60" s="1">
        <f>Calculations!O102</f>
        <v>4963704.2995125828</v>
      </c>
      <c r="L60" s="1">
        <f>Calculations!P102</f>
        <v>4963704.2995125828</v>
      </c>
      <c r="M60" s="1">
        <f>Calculations!Q102</f>
        <v>4963704.2995125828</v>
      </c>
      <c r="N60" s="1">
        <f>Calculations!R102</f>
        <v>4963704.2995125828</v>
      </c>
      <c r="O60" s="1">
        <f>Calculations!S102</f>
        <v>4963704.2995125828</v>
      </c>
      <c r="P60" s="1">
        <f>Calculations!T102</f>
        <v>4963704.2995125828</v>
      </c>
      <c r="Q60" s="1">
        <f>Calculations!U102</f>
        <v>4963704.2995125828</v>
      </c>
      <c r="R60" s="1">
        <f>Calculations!V102</f>
        <v>4963704.2995125828</v>
      </c>
      <c r="S60" s="1">
        <f>Calculations!W102</f>
        <v>4963704.2995125828</v>
      </c>
      <c r="T60" s="1">
        <f>Calculations!X102</f>
        <v>4963704.2995125828</v>
      </c>
      <c r="U60" s="1">
        <f>Calculations!Y102</f>
        <v>4963704.2995125828</v>
      </c>
      <c r="V60" s="1">
        <f>Calculations!Z102</f>
        <v>2557910.3916915832</v>
      </c>
      <c r="W60" s="1">
        <f>Calculations!AA102</f>
        <v>2557910.3916915832</v>
      </c>
      <c r="X60" s="1">
        <f>Calculations!AB102</f>
        <v>2557910.3916915832</v>
      </c>
      <c r="Y60" s="1">
        <f>Calculations!AC102</f>
        <v>2557910.3916915832</v>
      </c>
      <c r="Z60" s="1">
        <f>Calculations!AD102</f>
        <v>2557910.3916915832</v>
      </c>
      <c r="AA60" s="1">
        <f>Calculations!AE102</f>
        <v>2557910.3916915832</v>
      </c>
      <c r="AB60" s="1">
        <f>Calculations!AF102</f>
        <v>2557910.3916915832</v>
      </c>
      <c r="AC60" s="1">
        <f>Calculations!AG102</f>
        <v>2557910.3916915832</v>
      </c>
      <c r="AD60" s="1">
        <f>Calculations!AH102</f>
        <v>2557910.3916915832</v>
      </c>
      <c r="AE60" s="1">
        <f>Calculations!AI102</f>
        <v>2557910.3916915832</v>
      </c>
      <c r="AF60" s="1">
        <f>Calculations!AJ102</f>
        <v>2557910.3916915832</v>
      </c>
      <c r="AG60" s="1">
        <f>Calculations!AK102</f>
        <v>2557910.3916915832</v>
      </c>
      <c r="AH60" s="1">
        <f>Calculations!AL102</f>
        <v>251129.41921758323</v>
      </c>
      <c r="AI60" s="1">
        <f>Calculations!AM102</f>
        <v>251129.41921758323</v>
      </c>
      <c r="AJ60" s="1">
        <f>Calculations!AN102</f>
        <v>251129.41921758323</v>
      </c>
      <c r="AK60" s="1">
        <f>Calculations!AO102</f>
        <v>251129.41921758323</v>
      </c>
      <c r="AL60" s="1">
        <f>Calculations!AP102</f>
        <v>251129.41921758323</v>
      </c>
      <c r="AM60" s="1">
        <f>Calculations!AQ102</f>
        <v>251129.41921758323</v>
      </c>
      <c r="AN60" s="1">
        <f>Calculations!AR102</f>
        <v>251129.41921758323</v>
      </c>
      <c r="AO60" s="1">
        <f>Calculations!AS102</f>
        <v>251129.41921758323</v>
      </c>
      <c r="AP60" s="1">
        <f>Calculations!AT102</f>
        <v>251129.41921758323</v>
      </c>
      <c r="AQ60" s="1">
        <f>Calculations!AU102</f>
        <v>251129.41921758323</v>
      </c>
      <c r="AR60" s="1">
        <f>Calculations!AV102</f>
        <v>251129.41921758323</v>
      </c>
      <c r="AS60" s="1">
        <f>Calculations!AW102</f>
        <v>251129.41921758323</v>
      </c>
    </row>
    <row r="61" spans="1:71">
      <c r="A61" s="69">
        <f t="shared" si="25"/>
        <v>56</v>
      </c>
      <c r="C61" s="2" t="s">
        <v>151</v>
      </c>
      <c r="D61" s="1">
        <f>D59-D60</f>
        <v>-1286116.1447458342</v>
      </c>
      <c r="E61" s="1">
        <f t="shared" ref="E61:S61" si="29">E59-E60</f>
        <v>-1286116.1447458342</v>
      </c>
      <c r="F61" s="1">
        <f t="shared" si="29"/>
        <v>-1285445.2279958341</v>
      </c>
      <c r="G61" s="1">
        <f t="shared" si="29"/>
        <v>-1277430.9147483341</v>
      </c>
      <c r="H61" s="1">
        <f t="shared" si="29"/>
        <v>-1242921.099320834</v>
      </c>
      <c r="I61" s="1">
        <f t="shared" si="29"/>
        <v>-1242825.5386283342</v>
      </c>
      <c r="J61" s="1">
        <f t="shared" si="29"/>
        <v>-4919362.496220083</v>
      </c>
      <c r="K61" s="1">
        <f t="shared" si="29"/>
        <v>-4919362.496220083</v>
      </c>
      <c r="L61" s="1">
        <f t="shared" si="29"/>
        <v>-4919070.061420083</v>
      </c>
      <c r="M61" s="1">
        <f t="shared" si="29"/>
        <v>-4919067.8626325829</v>
      </c>
      <c r="N61" s="1">
        <f t="shared" si="29"/>
        <v>-4917475.9762700824</v>
      </c>
      <c r="O61" s="1">
        <f t="shared" si="29"/>
        <v>-4917625.4288425827</v>
      </c>
      <c r="P61" s="1">
        <f t="shared" si="29"/>
        <v>-4913311.7402325831</v>
      </c>
      <c r="Q61" s="1">
        <f t="shared" si="29"/>
        <v>-4861471.3622550825</v>
      </c>
      <c r="R61" s="1">
        <f t="shared" si="29"/>
        <v>-4859846.7673075832</v>
      </c>
      <c r="S61" s="1">
        <f t="shared" si="29"/>
        <v>-4860005.9293350829</v>
      </c>
      <c r="T61" s="1">
        <f>T59-T60</f>
        <v>-4857273.7867225828</v>
      </c>
      <c r="U61" s="1">
        <f t="shared" ref="U61" si="30">U59-U60</f>
        <v>-4817594.2549075829</v>
      </c>
      <c r="V61" s="1">
        <f t="shared" ref="V61" si="31">V59-V60</f>
        <v>-2411705.696814083</v>
      </c>
      <c r="W61" s="1">
        <f t="shared" ref="W61" si="32">W59-W60</f>
        <v>-2411592.8073590831</v>
      </c>
      <c r="X61" s="1">
        <f t="shared" ref="X61" si="33">X59-X60</f>
        <v>-2411250.7545815832</v>
      </c>
      <c r="Y61" s="1">
        <f t="shared" ref="Y61" si="34">Y59-Y60</f>
        <v>-2411256.6135640834</v>
      </c>
      <c r="Z61" s="1">
        <f t="shared" ref="Z61" si="35">Z59-Z60</f>
        <v>-2411214.9855615832</v>
      </c>
      <c r="AA61" s="1">
        <f t="shared" ref="AA61" si="36">AA59-AA60</f>
        <v>-2410807.3548240829</v>
      </c>
      <c r="AB61" s="1">
        <f t="shared" ref="AB61" si="37">AB59-AB60</f>
        <v>-2385477.9368115831</v>
      </c>
      <c r="AC61" s="1">
        <f t="shared" ref="AC61" si="38">AC59-AC60</f>
        <v>-2384460.915631583</v>
      </c>
      <c r="AD61" s="1">
        <f t="shared" ref="AD61" si="39">AD59-AD60</f>
        <v>-2334284.6603240832</v>
      </c>
      <c r="AE61" s="1">
        <f t="shared" ref="AE61" si="40">AE59-AE60</f>
        <v>-2313192.8012840832</v>
      </c>
      <c r="AF61" s="1">
        <f>AF59-AF60</f>
        <v>-2313192.8012840832</v>
      </c>
      <c r="AG61" s="1">
        <f t="shared" ref="AG61:AS61" si="41">AG59-AG60</f>
        <v>-2313192.8012840832</v>
      </c>
      <c r="AH61" s="1">
        <f t="shared" si="41"/>
        <v>-6411.828810083156</v>
      </c>
      <c r="AI61" s="1">
        <f t="shared" si="41"/>
        <v>-6411.828810083156</v>
      </c>
      <c r="AJ61" s="1">
        <f t="shared" si="41"/>
        <v>-6411.828810083156</v>
      </c>
      <c r="AK61" s="1">
        <f t="shared" si="41"/>
        <v>-6411.828810083156</v>
      </c>
      <c r="AL61" s="1">
        <f t="shared" si="41"/>
        <v>-6411.828810083156</v>
      </c>
      <c r="AM61" s="1">
        <f t="shared" si="41"/>
        <v>-6411.828810083156</v>
      </c>
      <c r="AN61" s="1">
        <f t="shared" si="41"/>
        <v>-6411.828810083156</v>
      </c>
      <c r="AO61" s="1">
        <f t="shared" si="41"/>
        <v>-6411.828810083156</v>
      </c>
      <c r="AP61" s="1">
        <f t="shared" si="41"/>
        <v>-6411.828810083156</v>
      </c>
      <c r="AQ61" s="1">
        <f t="shared" si="41"/>
        <v>-6411.828810083156</v>
      </c>
      <c r="AR61" s="1">
        <f t="shared" si="41"/>
        <v>-6411.828810083156</v>
      </c>
      <c r="AS61" s="1">
        <f t="shared" si="41"/>
        <v>-6411.828810083156</v>
      </c>
    </row>
    <row r="62" spans="1:71">
      <c r="A62" s="69">
        <f t="shared" si="25"/>
        <v>57</v>
      </c>
      <c r="C62" s="2" t="s">
        <v>273</v>
      </c>
      <c r="D62" s="1">
        <f t="shared" ref="D62:AS62" si="42">D61*0.38</f>
        <v>-488724.13500341697</v>
      </c>
      <c r="E62" s="1">
        <f t="shared" si="42"/>
        <v>-488724.13500341697</v>
      </c>
      <c r="F62" s="1">
        <f t="shared" si="42"/>
        <v>-488469.18663841696</v>
      </c>
      <c r="G62" s="1">
        <f t="shared" si="42"/>
        <v>-485423.74760436697</v>
      </c>
      <c r="H62" s="1">
        <f t="shared" si="42"/>
        <v>-472310.01774191693</v>
      </c>
      <c r="I62" s="1">
        <f t="shared" si="42"/>
        <v>-472273.70467876701</v>
      </c>
      <c r="J62" s="1">
        <f t="shared" si="42"/>
        <v>-1869357.7485636314</v>
      </c>
      <c r="K62" s="1">
        <f t="shared" si="42"/>
        <v>-1869357.7485636314</v>
      </c>
      <c r="L62" s="1">
        <f t="shared" si="42"/>
        <v>-1869246.6233396316</v>
      </c>
      <c r="M62" s="1">
        <f t="shared" si="42"/>
        <v>-1869245.7878003814</v>
      </c>
      <c r="N62" s="1">
        <f t="shared" si="42"/>
        <v>-1868640.8709826313</v>
      </c>
      <c r="O62" s="1">
        <f t="shared" si="42"/>
        <v>-1868697.6629601815</v>
      </c>
      <c r="P62" s="1">
        <f t="shared" si="42"/>
        <v>-1867058.4612883816</v>
      </c>
      <c r="Q62" s="1">
        <f t="shared" si="42"/>
        <v>-1847359.1176569313</v>
      </c>
      <c r="R62" s="1">
        <f t="shared" si="42"/>
        <v>-1846741.7715768816</v>
      </c>
      <c r="S62" s="1">
        <f t="shared" si="42"/>
        <v>-1846802.2531473315</v>
      </c>
      <c r="T62" s="1">
        <f t="shared" si="42"/>
        <v>-1845764.0389545814</v>
      </c>
      <c r="U62" s="1">
        <f t="shared" si="42"/>
        <v>-1830685.8168648814</v>
      </c>
      <c r="V62" s="1">
        <f t="shared" si="42"/>
        <v>-916448.16478935152</v>
      </c>
      <c r="W62" s="1">
        <f t="shared" si="42"/>
        <v>-916405.26679645153</v>
      </c>
      <c r="X62" s="1">
        <f t="shared" si="42"/>
        <v>-916275.28674100165</v>
      </c>
      <c r="Y62" s="1">
        <f t="shared" si="42"/>
        <v>-916277.51315435173</v>
      </c>
      <c r="Z62" s="1">
        <f t="shared" si="42"/>
        <v>-916261.6945134016</v>
      </c>
      <c r="AA62" s="1">
        <f t="shared" si="42"/>
        <v>-916106.79483315151</v>
      </c>
      <c r="AB62" s="1">
        <f t="shared" si="42"/>
        <v>-906481.61598840158</v>
      </c>
      <c r="AC62" s="1">
        <f t="shared" si="42"/>
        <v>-906095.14794000157</v>
      </c>
      <c r="AD62" s="1">
        <f t="shared" si="42"/>
        <v>-887028.17092315166</v>
      </c>
      <c r="AE62" s="1">
        <f>AE61*0.38</f>
        <v>-879013.26448795164</v>
      </c>
      <c r="AF62" s="1">
        <f>AF61*0.38</f>
        <v>-879013.26448795164</v>
      </c>
      <c r="AG62" s="1">
        <f t="shared" si="42"/>
        <v>-879013.26448795164</v>
      </c>
      <c r="AH62" s="1">
        <f t="shared" si="42"/>
        <v>-2436.4949478315993</v>
      </c>
      <c r="AI62" s="1">
        <f t="shared" si="42"/>
        <v>-2436.4949478315993</v>
      </c>
      <c r="AJ62" s="1">
        <f t="shared" si="42"/>
        <v>-2436.4949478315993</v>
      </c>
      <c r="AK62" s="1">
        <f t="shared" si="42"/>
        <v>-2436.4949478315993</v>
      </c>
      <c r="AL62" s="1">
        <f t="shared" si="42"/>
        <v>-2436.4949478315993</v>
      </c>
      <c r="AM62" s="1">
        <f t="shared" si="42"/>
        <v>-2436.4949478315993</v>
      </c>
      <c r="AN62" s="1">
        <f t="shared" si="42"/>
        <v>-2436.4949478315993</v>
      </c>
      <c r="AO62" s="1">
        <f t="shared" si="42"/>
        <v>-2436.4949478315993</v>
      </c>
      <c r="AP62" s="1">
        <f t="shared" si="42"/>
        <v>-2436.4949478315993</v>
      </c>
      <c r="AQ62" s="1">
        <f t="shared" si="42"/>
        <v>-2436.4949478315993</v>
      </c>
      <c r="AR62" s="1">
        <f t="shared" si="42"/>
        <v>-2436.4949478315993</v>
      </c>
      <c r="AS62" s="1">
        <f t="shared" si="42"/>
        <v>-2436.4949478315993</v>
      </c>
    </row>
    <row r="63" spans="1:71">
      <c r="A63" s="69">
        <f t="shared" si="25"/>
        <v>58</v>
      </c>
      <c r="C63" s="2" t="s">
        <v>152</v>
      </c>
      <c r="D63" s="1">
        <f>-Calculations!H107</f>
        <v>-3423663.5714009185</v>
      </c>
      <c r="E63" s="1">
        <f>D63+E62</f>
        <v>-3912387.7064043353</v>
      </c>
      <c r="F63" s="1">
        <f t="shared" ref="F63:AF63" si="43">E63+F62</f>
        <v>-4400856.8930427525</v>
      </c>
      <c r="G63" s="1">
        <f t="shared" si="43"/>
        <v>-4886280.6406471198</v>
      </c>
      <c r="H63" s="1">
        <f t="shared" si="43"/>
        <v>-5358590.6583890365</v>
      </c>
      <c r="I63" s="1">
        <f t="shared" si="43"/>
        <v>-5830864.3630678039</v>
      </c>
      <c r="J63" s="1">
        <f t="shared" si="43"/>
        <v>-7700222.1116314353</v>
      </c>
      <c r="K63" s="1">
        <f t="shared" si="43"/>
        <v>-9569579.8601950668</v>
      </c>
      <c r="L63" s="1">
        <f t="shared" si="43"/>
        <v>-11438826.483534697</v>
      </c>
      <c r="M63" s="1">
        <f t="shared" si="43"/>
        <v>-13308072.271335078</v>
      </c>
      <c r="N63" s="1">
        <f t="shared" si="43"/>
        <v>-15176713.14231771</v>
      </c>
      <c r="O63" s="1">
        <f t="shared" si="43"/>
        <v>-17045410.805277891</v>
      </c>
      <c r="P63" s="1">
        <f t="shared" si="43"/>
        <v>-18912469.266566273</v>
      </c>
      <c r="Q63" s="1">
        <f t="shared" si="43"/>
        <v>-20759828.384223204</v>
      </c>
      <c r="R63" s="1">
        <f t="shared" si="43"/>
        <v>-22606570.155800086</v>
      </c>
      <c r="S63" s="1">
        <f t="shared" si="43"/>
        <v>-24453372.408947416</v>
      </c>
      <c r="T63" s="1">
        <f t="shared" si="43"/>
        <v>-26299136.447901998</v>
      </c>
      <c r="U63" s="1">
        <f t="shared" si="43"/>
        <v>-28129822.264766879</v>
      </c>
      <c r="V63" s="1">
        <f t="shared" si="43"/>
        <v>-29046270.429556232</v>
      </c>
      <c r="W63" s="1">
        <f t="shared" si="43"/>
        <v>-29962675.696352683</v>
      </c>
      <c r="X63" s="1">
        <f t="shared" si="43"/>
        <v>-30878950.983093686</v>
      </c>
      <c r="Y63" s="1">
        <f t="shared" si="43"/>
        <v>-31795228.496248037</v>
      </c>
      <c r="Z63" s="1">
        <f t="shared" si="43"/>
        <v>-32711490.19076144</v>
      </c>
      <c r="AA63" s="1">
        <f t="shared" si="43"/>
        <v>-33627596.985594593</v>
      </c>
      <c r="AB63" s="1">
        <f t="shared" si="43"/>
        <v>-34534078.601582997</v>
      </c>
      <c r="AC63" s="1">
        <f t="shared" si="43"/>
        <v>-35440173.749522999</v>
      </c>
      <c r="AD63" s="1">
        <f t="shared" si="43"/>
        <v>-36327201.92044615</v>
      </c>
      <c r="AE63" s="1">
        <f>AD63+AE62</f>
        <v>-37206215.184934102</v>
      </c>
      <c r="AF63" s="1">
        <f t="shared" si="43"/>
        <v>-38085228.449422054</v>
      </c>
      <c r="AG63" s="1">
        <f>AF63+AG62</f>
        <v>-38964241.713910006</v>
      </c>
      <c r="AH63" s="1">
        <f t="shared" ref="AH63:AS63" si="44">AG63+AH62</f>
        <v>-38966678.208857834</v>
      </c>
      <c r="AI63" s="1">
        <f t="shared" si="44"/>
        <v>-38969114.703805663</v>
      </c>
      <c r="AJ63" s="1">
        <f t="shared" si="44"/>
        <v>-38971551.198753491</v>
      </c>
      <c r="AK63" s="1">
        <f t="shared" si="44"/>
        <v>-38973987.693701319</v>
      </c>
      <c r="AL63" s="1">
        <f t="shared" si="44"/>
        <v>-38976424.188649148</v>
      </c>
      <c r="AM63" s="1">
        <f t="shared" si="44"/>
        <v>-38978860.683596976</v>
      </c>
      <c r="AN63" s="1">
        <f t="shared" si="44"/>
        <v>-38981297.178544804</v>
      </c>
      <c r="AO63" s="1">
        <f t="shared" si="44"/>
        <v>-38983733.673492633</v>
      </c>
      <c r="AP63" s="1">
        <f t="shared" si="44"/>
        <v>-38986170.168440461</v>
      </c>
      <c r="AQ63" s="1">
        <f t="shared" si="44"/>
        <v>-38988606.66338829</v>
      </c>
      <c r="AR63" s="1">
        <f t="shared" si="44"/>
        <v>-38991043.158336118</v>
      </c>
      <c r="AS63" s="1">
        <f t="shared" si="44"/>
        <v>-38993479.653283946</v>
      </c>
    </row>
    <row r="64" spans="1:71">
      <c r="A64" s="69">
        <f t="shared" si="25"/>
        <v>59</v>
      </c>
      <c r="C64" s="2" t="s">
        <v>136</v>
      </c>
      <c r="D64" s="1">
        <f>D59</f>
        <v>1137.9940250000013</v>
      </c>
      <c r="E64" s="1">
        <f>D64+E59+SUM(E39:E50)+E52</f>
        <v>2275.9880500000027</v>
      </c>
      <c r="F64" s="1">
        <f t="shared" ref="F64:AS64" si="45">E64+F59+SUM(F39:F50)+F52</f>
        <v>4084.8988250000039</v>
      </c>
      <c r="G64" s="1">
        <f t="shared" si="45"/>
        <v>13908.122847500006</v>
      </c>
      <c r="H64" s="1">
        <f t="shared" si="45"/>
        <v>-612346.82770249993</v>
      </c>
      <c r="I64" s="1">
        <f t="shared" si="45"/>
        <v>-567918.22755999991</v>
      </c>
      <c r="J64" s="1">
        <f t="shared" si="45"/>
        <v>-523576.42426749994</v>
      </c>
      <c r="K64" s="1">
        <f t="shared" si="45"/>
        <v>-479234.62097499997</v>
      </c>
      <c r="L64" s="1">
        <f t="shared" si="45"/>
        <v>-434600.38288249995</v>
      </c>
      <c r="M64" s="1">
        <f t="shared" si="45"/>
        <v>-389963.94600249996</v>
      </c>
      <c r="N64" s="1">
        <f t="shared" si="45"/>
        <v>-343735.62275999994</v>
      </c>
      <c r="O64" s="1">
        <f t="shared" si="45"/>
        <v>-297656.75208999997</v>
      </c>
      <c r="P64" s="1">
        <f t="shared" si="45"/>
        <v>-247264.19280999995</v>
      </c>
      <c r="Q64" s="1">
        <f t="shared" si="45"/>
        <v>-1524473.5155525</v>
      </c>
      <c r="R64" s="1">
        <f t="shared" si="45"/>
        <v>-1420615.9833475</v>
      </c>
      <c r="S64" s="1">
        <f t="shared" si="45"/>
        <v>-1316917.61317</v>
      </c>
      <c r="T64" s="1">
        <f>S64+T59+SUM(T39:T50)+T52</f>
        <v>-1210487.10038</v>
      </c>
      <c r="U64" s="1">
        <f t="shared" si="45"/>
        <v>-1538763.3657749998</v>
      </c>
      <c r="V64" s="1">
        <f t="shared" si="45"/>
        <v>-1392558.6708974999</v>
      </c>
      <c r="W64" s="1">
        <f t="shared" si="45"/>
        <v>-1246241.0865649998</v>
      </c>
      <c r="X64" s="1">
        <f t="shared" si="45"/>
        <v>-1099581.4494549998</v>
      </c>
      <c r="Y64" s="1">
        <f t="shared" si="45"/>
        <v>-973996.5713274997</v>
      </c>
      <c r="Z64" s="1">
        <f t="shared" si="45"/>
        <v>-841026.27519749966</v>
      </c>
      <c r="AA64" s="1">
        <f t="shared" si="45"/>
        <v>-693923.23832999961</v>
      </c>
      <c r="AB64" s="1">
        <f t="shared" si="45"/>
        <v>-738482.55344999954</v>
      </c>
      <c r="AC64" s="1">
        <f t="shared" si="45"/>
        <v>-565033.07738999953</v>
      </c>
      <c r="AD64" s="1">
        <f t="shared" si="45"/>
        <v>-341407.34602249949</v>
      </c>
      <c r="AE64" s="1">
        <f>AD64+AE59+SUM(AE39:AE50)+AE52</f>
        <v>-679478.23561499943</v>
      </c>
      <c r="AF64" s="1">
        <f>AE64+AF59+SUM(AF39:AF50)+AF52</f>
        <v>-434760.64520749939</v>
      </c>
      <c r="AG64" s="1">
        <f t="shared" si="45"/>
        <v>-190043.05479999931</v>
      </c>
      <c r="AH64" s="1">
        <f t="shared" si="45"/>
        <v>54674.535607500758</v>
      </c>
      <c r="AI64" s="1">
        <f t="shared" si="45"/>
        <v>299392.12601500086</v>
      </c>
      <c r="AJ64" s="1">
        <f t="shared" si="45"/>
        <v>544109.7164225009</v>
      </c>
      <c r="AK64" s="1">
        <f t="shared" si="45"/>
        <v>788827.30683000095</v>
      </c>
      <c r="AL64" s="1">
        <f t="shared" si="45"/>
        <v>1033544.897237501</v>
      </c>
      <c r="AM64" s="1">
        <f t="shared" si="45"/>
        <v>1278262.4876450012</v>
      </c>
      <c r="AN64" s="1">
        <f t="shared" si="45"/>
        <v>1522980.0780525012</v>
      </c>
      <c r="AO64" s="1">
        <f t="shared" si="45"/>
        <v>1767697.6684600012</v>
      </c>
      <c r="AP64" s="1">
        <f t="shared" si="45"/>
        <v>2012415.2588675013</v>
      </c>
      <c r="AQ64" s="1">
        <f t="shared" si="45"/>
        <v>2257132.8492750013</v>
      </c>
      <c r="AR64" s="1">
        <f t="shared" si="45"/>
        <v>2501850.4396825014</v>
      </c>
      <c r="AS64" s="1">
        <f t="shared" si="45"/>
        <v>2746568.0300900014</v>
      </c>
    </row>
    <row r="65" spans="1:71">
      <c r="A65" s="69">
        <f t="shared" si="25"/>
        <v>60</v>
      </c>
      <c r="C65" s="215" t="s">
        <v>356</v>
      </c>
      <c r="D65" s="20"/>
      <c r="E65" s="20">
        <f t="shared" ref="E65:AB65" si="46">((D63/2)+SUM(E63:O63)+(P63/2))/12</f>
        <v>-9149655.9462355431</v>
      </c>
      <c r="F65" s="20">
        <f t="shared" si="46"/>
        <v>-10496999.545109887</v>
      </c>
      <c r="G65" s="20">
        <f t="shared" si="46"/>
        <v>-11957547.625967227</v>
      </c>
      <c r="H65" s="20">
        <f t="shared" si="46"/>
        <v>-13531414.502261296</v>
      </c>
      <c r="I65" s="20">
        <f t="shared" si="46"/>
        <v>-15219232.73383685</v>
      </c>
      <c r="J65" s="20">
        <f t="shared" si="46"/>
        <v>-17020878.720970683</v>
      </c>
      <c r="K65" s="20">
        <f t="shared" si="46"/>
        <v>-18839420.646788348</v>
      </c>
      <c r="L65" s="20">
        <f t="shared" si="46"/>
        <v>-20578551.653208442</v>
      </c>
      <c r="M65" s="20">
        <f t="shared" si="46"/>
        <v>-22238269.167196635</v>
      </c>
      <c r="N65" s="20">
        <f t="shared" si="46"/>
        <v>-23818572.5307163</v>
      </c>
      <c r="O65" s="20">
        <f t="shared" si="46"/>
        <v>-25319486.417106163</v>
      </c>
      <c r="P65" s="20">
        <f t="shared" si="46"/>
        <v>-26741026.551637847</v>
      </c>
      <c r="Q65" s="20">
        <f t="shared" si="46"/>
        <v>-28082851.364776734</v>
      </c>
      <c r="R65" s="20">
        <f t="shared" si="46"/>
        <v>-29345432.810623262</v>
      </c>
      <c r="S65" s="20">
        <f t="shared" si="46"/>
        <v>-30528806.857704341</v>
      </c>
      <c r="T65" s="20">
        <f t="shared" si="46"/>
        <v>-31631868.296897378</v>
      </c>
      <c r="U65" s="20">
        <f t="shared" si="46"/>
        <v>-32654323.912626814</v>
      </c>
      <c r="V65" s="20">
        <f t="shared" si="46"/>
        <v>-33596845.223071121</v>
      </c>
      <c r="W65" s="20">
        <f t="shared" si="46"/>
        <v>-34461629.690922983</v>
      </c>
      <c r="X65" s="20">
        <f t="shared" si="46"/>
        <v>-35250248.307037756</v>
      </c>
      <c r="Y65" s="20">
        <f t="shared" si="46"/>
        <v>-35962708.274667457</v>
      </c>
      <c r="Z65" s="20">
        <f t="shared" si="46"/>
        <v>-36599014.916880496</v>
      </c>
      <c r="AA65" s="20">
        <f t="shared" si="46"/>
        <v>-37159168.800019711</v>
      </c>
      <c r="AB65" s="20">
        <f t="shared" si="46"/>
        <v>-37643177.037348472</v>
      </c>
      <c r="AC65" s="20">
        <f>((AB63/2)+SUM(AC63:AM63)+(AN63/2))/12</f>
        <v>-38051447.13213864</v>
      </c>
      <c r="AD65" s="20">
        <f>((AC63/2)+SUM(AD63:AN63)+(AO63/2))/12</f>
        <v>-38384396.236344121</v>
      </c>
      <c r="AE65" s="20">
        <f>((AD63/2)+SUM(AE63:AO63)+(AP63/2))/12</f>
        <v>-38642834.910175942</v>
      </c>
      <c r="AF65" s="20">
        <f>((AE63/2)+SUM(AF63:AP63)+(AQ63/2))/12</f>
        <v>-38827891.565444626</v>
      </c>
      <c r="AG65" s="20">
        <f>((AF63/2)+SUM(AG63:AQ63)+(AR63/2))/12</f>
        <v>-38939900.156584978</v>
      </c>
      <c r="AH65" s="20">
        <f t="shared" ref="AH65:AS65" si="47">((AG63/2)+SUM(AH63:AR63)+(AS63/2))/12</f>
        <v>-38978860.683596976</v>
      </c>
      <c r="AI65" s="20">
        <f t="shared" si="47"/>
        <v>-37356467.339035146</v>
      </c>
      <c r="AJ65" s="20">
        <f t="shared" si="47"/>
        <v>-34109142.63434083</v>
      </c>
      <c r="AK65" s="20">
        <f t="shared" si="47"/>
        <v>-30861614.888400868</v>
      </c>
      <c r="AL65" s="20">
        <f t="shared" si="47"/>
        <v>-27613884.101215247</v>
      </c>
      <c r="AM65" s="20">
        <f t="shared" si="47"/>
        <v>-24365950.272783983</v>
      </c>
      <c r="AN65" s="20">
        <f t="shared" si="47"/>
        <v>-21117813.403107062</v>
      </c>
      <c r="AO65" s="20">
        <f t="shared" si="47"/>
        <v>-17869473.492184486</v>
      </c>
      <c r="AP65" s="20">
        <f t="shared" si="47"/>
        <v>-14620930.540016258</v>
      </c>
      <c r="AQ65" s="20">
        <f t="shared" si="47"/>
        <v>-11372184.546602383</v>
      </c>
      <c r="AR65" s="20">
        <f t="shared" si="47"/>
        <v>-8123235.5119428495</v>
      </c>
      <c r="AS65" s="20">
        <f t="shared" si="47"/>
        <v>-4874083.4360376671</v>
      </c>
    </row>
    <row r="66" spans="1:71" s="5" customFormat="1">
      <c r="A66" s="237">
        <f>A65+1</f>
        <v>61</v>
      </c>
      <c r="C66" s="234" t="s">
        <v>137</v>
      </c>
      <c r="D66" s="7"/>
      <c r="E66" s="216">
        <f t="shared" ref="E66:AC66" si="48">((D64/2)+SUM(E64:O64)+(P64/2))/12</f>
        <v>-312652.24115916662</v>
      </c>
      <c r="F66" s="216">
        <f t="shared" si="48"/>
        <v>-386616.8949273958</v>
      </c>
      <c r="G66" s="216">
        <f t="shared" si="48"/>
        <v>-509593.99433468748</v>
      </c>
      <c r="H66" s="216">
        <f t="shared" si="48"/>
        <v>-624407.60342593747</v>
      </c>
      <c r="I66" s="216">
        <f t="shared" si="48"/>
        <v>-704781.18712156254</v>
      </c>
      <c r="J66" s="216">
        <f t="shared" si="48"/>
        <v>-770155.57924208324</v>
      </c>
      <c r="K66" s="216">
        <f t="shared" si="48"/>
        <v>-846815.05361062486</v>
      </c>
      <c r="L66" s="216">
        <f t="shared" si="48"/>
        <v>-914981.24995312479</v>
      </c>
      <c r="M66" s="216">
        <f t="shared" si="48"/>
        <v>-974647.39712656231</v>
      </c>
      <c r="N66" s="216">
        <f t="shared" si="48"/>
        <v>-1026689.6342889583</v>
      </c>
      <c r="O66" s="216">
        <f t="shared" si="48"/>
        <v>-1071744.7708623956</v>
      </c>
      <c r="P66" s="216">
        <f t="shared" si="48"/>
        <v>-1108976.3183072915</v>
      </c>
      <c r="Q66" s="216">
        <f t="shared" si="48"/>
        <v>-1145954.8535939583</v>
      </c>
      <c r="R66" s="216">
        <f t="shared" si="48"/>
        <v>-1126445.6003638541</v>
      </c>
      <c r="S66" s="216">
        <f t="shared" si="48"/>
        <v>-1041501.8888852081</v>
      </c>
      <c r="T66" s="216">
        <f t="shared" si="48"/>
        <v>-969974.88826520822</v>
      </c>
      <c r="U66" s="216">
        <f t="shared" si="48"/>
        <v>-911092.97856822889</v>
      </c>
      <c r="V66" s="216">
        <f t="shared" si="48"/>
        <v>-822574.36331208295</v>
      </c>
      <c r="W66" s="216">
        <f t="shared" si="48"/>
        <v>-706076.30008374946</v>
      </c>
      <c r="X66" s="216">
        <f t="shared" si="48"/>
        <v>-581373.53262187436</v>
      </c>
      <c r="Y66" s="216">
        <f t="shared" si="48"/>
        <v>-448485.01685281197</v>
      </c>
      <c r="Z66" s="216">
        <f t="shared" si="48"/>
        <v>-306546.89001802017</v>
      </c>
      <c r="AA66" s="216">
        <f t="shared" si="48"/>
        <v>-154988.76290999926</v>
      </c>
      <c r="AB66" s="216">
        <f t="shared" si="48"/>
        <v>5292.7745237508107</v>
      </c>
      <c r="AC66" s="216">
        <f t="shared" si="48"/>
        <v>181694.78941864669</v>
      </c>
      <c r="AD66" s="216">
        <f>((AC64/2)+SUM(AD64:AN64)+(AO64/2))/12</f>
        <v>373119.51347500086</v>
      </c>
      <c r="AE66" s="216">
        <f>((AD64/2)+SUM(AE64:AO64)+(AP64/2))/12</f>
        <v>568392.56975583418</v>
      </c>
      <c r="AF66" s="216">
        <f>((AE64/2)+SUM(AF64:AP64)+(AQ64/2))/12</f>
        <v>788827.30683000095</v>
      </c>
      <c r="AG66" s="216">
        <f t="shared" ref="AG66" si="49">((AF64/2)+SUM(AG64:AQ64)+(AR64/2))/12</f>
        <v>1033544.8972375011</v>
      </c>
      <c r="AH66" s="216">
        <f t="shared" ref="AH66" si="50">((AG64/2)+SUM(AH64:AR64)+(AS64/2))/12</f>
        <v>1278262.4876450012</v>
      </c>
      <c r="AI66" s="216">
        <f t="shared" ref="AI66" si="51">((AH64/2)+SUM(AI64:AS64)+(AT64/2))/12</f>
        <v>1398343.1771984387</v>
      </c>
      <c r="AJ66" s="216">
        <f t="shared" ref="AJ66" si="52">((AI64/2)+SUM(AJ64:AT64)+(AU64/2))/12</f>
        <v>1383590.3996308343</v>
      </c>
      <c r="AK66" s="216">
        <f t="shared" ref="AK66" si="53">((AJ64/2)+SUM(AK64:AU64)+(AV64/2))/12</f>
        <v>1348444.4895292718</v>
      </c>
      <c r="AL66" s="216">
        <f t="shared" ref="AL66" si="54">((AK64/2)+SUM(AL64:AV64)+(AW64/2))/12</f>
        <v>1292905.4468937509</v>
      </c>
      <c r="AM66" s="216">
        <f t="shared" ref="AM66" si="55">((AL64/2)+SUM(AM64:AW64)+(AX64/2))/12</f>
        <v>1216973.2717242716</v>
      </c>
      <c r="AN66" s="216">
        <f t="shared" ref="AN66" si="56">((AM64/2)+SUM(AN64:AX64)+(AY64/2))/12</f>
        <v>1120647.9640208341</v>
      </c>
      <c r="AO66" s="216">
        <f t="shared" ref="AO66" si="57">((AN64/2)+SUM(AO64:AY64)+(AZ64/2))/12</f>
        <v>1003929.523783438</v>
      </c>
      <c r="AP66" s="216">
        <f t="shared" ref="AP66" si="58">((AO64/2)+SUM(AP64:AZ64)+(BA64/2))/12</f>
        <v>866817.95101208379</v>
      </c>
      <c r="AQ66" s="216">
        <f t="shared" ref="AQ66" si="59">((AP64/2)+SUM(AQ64:BA64)+(BB64/2))/12</f>
        <v>709313.24570677115</v>
      </c>
      <c r="AR66" s="216">
        <f t="shared" ref="AR66" si="60">((AQ64/2)+SUM(AR64:BB64)+(BC64/2))/12</f>
        <v>531415.40786750021</v>
      </c>
      <c r="AS66" s="216">
        <f t="shared" ref="AS66" si="61">((AR64/2)+SUM(AS64:BC64)+(BD64/2))/12</f>
        <v>333124.43749427103</v>
      </c>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row>
    <row r="67" spans="1:71">
      <c r="A67" s="69">
        <f t="shared" si="25"/>
        <v>62</v>
      </c>
      <c r="C67" s="2" t="s">
        <v>138</v>
      </c>
      <c r="E67" s="20">
        <f t="shared" ref="E67:AC67" si="62">((D56/2)+SUM(E56:O56)+(P56/2))/12</f>
        <v>29031358.120833326</v>
      </c>
      <c r="F67" s="20">
        <f t="shared" si="62"/>
        <v>32611108.32291666</v>
      </c>
      <c r="G67" s="20">
        <f t="shared" si="62"/>
        <v>37447859.862500004</v>
      </c>
      <c r="H67" s="20">
        <f t="shared" si="62"/>
        <v>42112711.471666671</v>
      </c>
      <c r="I67" s="20">
        <f t="shared" si="62"/>
        <v>45826345.269166671</v>
      </c>
      <c r="J67" s="20">
        <f t="shared" si="62"/>
        <v>49725843.312083334</v>
      </c>
      <c r="K67" s="20">
        <f t="shared" si="62"/>
        <v>54572137.027499996</v>
      </c>
      <c r="L67" s="20">
        <f t="shared" si="62"/>
        <v>59425438.75666666</v>
      </c>
      <c r="M67" s="20">
        <f t="shared" si="62"/>
        <v>64282609.710416667</v>
      </c>
      <c r="N67" s="20">
        <f t="shared" si="62"/>
        <v>69140770.192916662</v>
      </c>
      <c r="O67" s="20">
        <f t="shared" si="62"/>
        <v>73961827.910416663</v>
      </c>
      <c r="P67" s="20">
        <f t="shared" si="62"/>
        <v>78759238.602916658</v>
      </c>
      <c r="Q67" s="20">
        <f t="shared" si="62"/>
        <v>84070287.693333343</v>
      </c>
      <c r="R67" s="20">
        <f t="shared" si="62"/>
        <v>88671631.369583338</v>
      </c>
      <c r="S67" s="20">
        <f t="shared" si="62"/>
        <v>93218887.035416678</v>
      </c>
      <c r="T67" s="20">
        <f t="shared" si="62"/>
        <v>99428111.306666687</v>
      </c>
      <c r="U67" s="20">
        <f t="shared" si="62"/>
        <v>106078261.25541669</v>
      </c>
      <c r="V67" s="20">
        <f t="shared" si="62"/>
        <v>111718609.43208335</v>
      </c>
      <c r="W67" s="20">
        <f t="shared" si="62"/>
        <v>116411953.27333333</v>
      </c>
      <c r="X67" s="20">
        <f t="shared" si="62"/>
        <v>121100355.69250001</v>
      </c>
      <c r="Y67" s="20">
        <f t="shared" si="62"/>
        <v>125777926.15375</v>
      </c>
      <c r="Z67" s="20">
        <f t="shared" si="62"/>
        <v>130447492.00083333</v>
      </c>
      <c r="AA67" s="20">
        <f t="shared" si="62"/>
        <v>135116206.20458335</v>
      </c>
      <c r="AB67" s="20">
        <f t="shared" si="62"/>
        <v>139774223.77166668</v>
      </c>
      <c r="AC67" s="20">
        <f t="shared" si="62"/>
        <v>143819454.46375</v>
      </c>
      <c r="AD67" s="20">
        <f>((AC56/2)+SUM(AD56:AN56)+(AO56/2))/12</f>
        <v>147237388.98458335</v>
      </c>
      <c r="AE67" s="20">
        <f t="shared" ref="AE67" si="63">((AD56/2)+SUM(AE56:AO56)+(AP56/2))/12</f>
        <v>149436435.97</v>
      </c>
      <c r="AF67" s="20">
        <f>((AE56/2)+SUM(AF56:AP56)+(AQ56/2))/12</f>
        <v>149938623.09</v>
      </c>
      <c r="AG67" s="20">
        <f t="shared" ref="AG67" si="64">((AF56/2)+SUM(AG56:AQ56)+(AR56/2))/12</f>
        <v>149938623.09</v>
      </c>
      <c r="AH67" s="20">
        <f>((AG56/2)+SUM(AH56:AR56)+(AS56/2))/12</f>
        <v>149938623.09</v>
      </c>
      <c r="AI67" s="20">
        <f t="shared" ref="AI67" si="65">((AH56/2)+SUM(AI56:AS56)+(AT56/2))/12</f>
        <v>143691180.46124998</v>
      </c>
      <c r="AJ67" s="20">
        <f t="shared" ref="AJ67" si="66">((AI56/2)+SUM(AJ56:AT56)+(AU56/2))/12</f>
        <v>131196295.20375</v>
      </c>
      <c r="AK67" s="20">
        <f t="shared" ref="AK67" si="67">((AJ56/2)+SUM(AK56:AU56)+(AV56/2))/12</f>
        <v>118701409.94625001</v>
      </c>
      <c r="AL67" s="20">
        <f t="shared" ref="AL67" si="68">((AK56/2)+SUM(AL56:AV56)+(AW56/2))/12</f>
        <v>106206524.68875001</v>
      </c>
      <c r="AM67" s="20">
        <f t="shared" ref="AM67" si="69">((AL56/2)+SUM(AM56:AW56)+(AX56/2))/12</f>
        <v>93711639.431250021</v>
      </c>
      <c r="AN67" s="20">
        <f t="shared" ref="AN67" si="70">((AM56/2)+SUM(AN56:AX56)+(AY56/2))/12</f>
        <v>81216754.173749998</v>
      </c>
      <c r="AO67" s="20">
        <f t="shared" ref="AO67" si="71">((AN56/2)+SUM(AO56:AY56)+(AZ56/2))/12</f>
        <v>68721868.916250005</v>
      </c>
      <c r="AP67" s="20">
        <f t="shared" ref="AP67" si="72">((AO56/2)+SUM(AP56:AZ56)+(BA56/2))/12</f>
        <v>56226983.658749998</v>
      </c>
      <c r="AQ67" s="20">
        <f t="shared" ref="AQ67" si="73">((AP56/2)+SUM(AQ56:BA56)+(BB56/2))/12</f>
        <v>43732098.401249997</v>
      </c>
      <c r="AR67" s="20">
        <f t="shared" ref="AR67" si="74">((AQ56/2)+SUM(AR56:BB56)+(BC56/2))/12</f>
        <v>31237213.143750001</v>
      </c>
      <c r="AS67" s="20">
        <f t="shared" ref="AS67" si="75">((AR56/2)+SUM(AS56:BC56)+(BD56/2))/12</f>
        <v>18742327.88625</v>
      </c>
    </row>
    <row r="68" spans="1:71">
      <c r="A68" s="69">
        <f t="shared" si="25"/>
        <v>63</v>
      </c>
      <c r="C68" s="2" t="s">
        <v>139</v>
      </c>
      <c r="D68" s="20">
        <v>-10100000</v>
      </c>
    </row>
    <row r="69" spans="1:71">
      <c r="A69" s="69">
        <f t="shared" si="25"/>
        <v>64</v>
      </c>
      <c r="C69" s="2" t="s">
        <v>140</v>
      </c>
      <c r="D69" s="20">
        <f>LOOKUP('Exhibit 1.1 Page 5'!C44,'Exhibit 1.1'!D3:AS3,'Exhibit 1.1'!D67:AS67)+D68</f>
        <v>139838623.09</v>
      </c>
    </row>
    <row r="71" spans="1:71">
      <c r="B71" s="215" t="s">
        <v>292</v>
      </c>
    </row>
  </sheetData>
  <sortState ref="B5:AS38">
    <sortCondition ref="B5:B38"/>
  </sortState>
  <mergeCells count="1">
    <mergeCell ref="A1:Q1"/>
  </mergeCells>
  <pageMargins left="0.25" right="0.25" top="0.24" bottom="0.21" header="0.17" footer="0.17"/>
  <pageSetup scale="85" fitToWidth="0" orientation="portrait" r:id="rId1"/>
  <headerFooter>
    <oddHeader>&amp;RQuestar Gas Company
Docket 12-057-XX
Exhibit 1.1</oddHeader>
  </headerFooter>
  <colBreaks count="2" manualBreakCount="2">
    <brk id="12" max="70" man="1"/>
    <brk id="21" max="70"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A1:H44"/>
  <sheetViews>
    <sheetView workbookViewId="0">
      <selection sqref="A1:E1"/>
    </sheetView>
  </sheetViews>
  <sheetFormatPr defaultRowHeight="12.75"/>
  <cols>
    <col min="1" max="1" width="3.5703125" style="69" customWidth="1"/>
    <col min="2" max="2" width="54" bestFit="1" customWidth="1"/>
    <col min="3" max="3" width="19.42578125" customWidth="1"/>
    <col min="4" max="4" width="2.42578125" customWidth="1"/>
    <col min="5" max="5" width="19.7109375" bestFit="1" customWidth="1"/>
    <col min="6" max="6" width="1.7109375" customWidth="1"/>
    <col min="7" max="7" width="15.28515625" customWidth="1"/>
    <col min="8" max="8" width="11.28515625" bestFit="1" customWidth="1"/>
  </cols>
  <sheetData>
    <row r="1" spans="1:8">
      <c r="A1" s="271" t="s">
        <v>153</v>
      </c>
      <c r="B1" s="271"/>
      <c r="C1" s="271"/>
      <c r="D1" s="271"/>
      <c r="E1" s="271"/>
      <c r="F1" s="214"/>
      <c r="G1" s="214"/>
    </row>
    <row r="2" spans="1:8">
      <c r="A2" s="271"/>
      <c r="B2" s="271"/>
      <c r="C2" s="271"/>
      <c r="D2" s="271"/>
      <c r="E2" s="271"/>
      <c r="F2" s="214"/>
      <c r="G2" s="214"/>
    </row>
    <row r="3" spans="1:8">
      <c r="A3" s="24"/>
      <c r="B3" s="53"/>
      <c r="C3" s="53"/>
      <c r="D3" s="53"/>
      <c r="E3" s="53"/>
      <c r="F3" s="53"/>
      <c r="G3" s="53"/>
    </row>
    <row r="4" spans="1:8">
      <c r="A4" s="68"/>
      <c r="B4" s="55"/>
      <c r="C4" s="55" t="s">
        <v>154</v>
      </c>
    </row>
    <row r="5" spans="1:8">
      <c r="A5" s="68"/>
      <c r="B5" s="56"/>
      <c r="C5" s="57" t="s">
        <v>155</v>
      </c>
    </row>
    <row r="6" spans="1:8">
      <c r="A6" s="68">
        <v>1</v>
      </c>
      <c r="B6" s="58" t="s">
        <v>156</v>
      </c>
      <c r="C6" s="59">
        <f ca="1">LOOKUP(C43,'Exhibit 1.1'!D3:AS3,'Exhibit 1.1'!O56:AS56)</f>
        <v>149938623.09</v>
      </c>
      <c r="D6" s="54"/>
    </row>
    <row r="7" spans="1:8">
      <c r="A7" s="68">
        <f t="shared" ref="A7:A20" si="0">A6+1</f>
        <v>2</v>
      </c>
      <c r="B7" s="58" t="s">
        <v>158</v>
      </c>
      <c r="C7" s="60">
        <v>-10100000</v>
      </c>
      <c r="D7" s="54" t="s">
        <v>157</v>
      </c>
    </row>
    <row r="8" spans="1:8">
      <c r="A8" s="68">
        <f t="shared" si="0"/>
        <v>3</v>
      </c>
      <c r="B8" s="58" t="s">
        <v>160</v>
      </c>
      <c r="C8" s="61">
        <f ca="1">SUM(C6:C7)</f>
        <v>139838623.09</v>
      </c>
      <c r="D8" s="54" t="s">
        <v>159</v>
      </c>
    </row>
    <row r="9" spans="1:8">
      <c r="A9" s="68">
        <f t="shared" si="0"/>
        <v>4</v>
      </c>
      <c r="B9" s="58" t="s">
        <v>161</v>
      </c>
      <c r="C9" s="235">
        <f>-LOOKUP(C44,'Exhibit 1.1'!D3:AS3,'Exhibit 1.1'!D66:AS66)</f>
        <v>-1033544.8972375011</v>
      </c>
      <c r="D9" s="54"/>
    </row>
    <row r="10" spans="1:8">
      <c r="A10" s="68">
        <f t="shared" si="0"/>
        <v>5</v>
      </c>
      <c r="B10" s="58" t="s">
        <v>163</v>
      </c>
      <c r="C10" s="236">
        <f>LOOKUP(C44,'Exhibit 1.1'!D3:AS3,'Exhibit 1.1'!D65:AS65)</f>
        <v>-38939900.156584978</v>
      </c>
      <c r="D10" s="54" t="s">
        <v>162</v>
      </c>
    </row>
    <row r="11" spans="1:8">
      <c r="A11" s="68">
        <f t="shared" si="0"/>
        <v>6</v>
      </c>
      <c r="B11" s="58" t="s">
        <v>165</v>
      </c>
      <c r="C11" s="61">
        <f ca="1">SUM(C8:C10)</f>
        <v>99865178.036177516</v>
      </c>
      <c r="D11" s="54"/>
      <c r="H11" s="9"/>
    </row>
    <row r="12" spans="1:8">
      <c r="A12" s="68">
        <f t="shared" si="0"/>
        <v>7</v>
      </c>
      <c r="B12" s="58" t="s">
        <v>166</v>
      </c>
      <c r="C12" s="62">
        <v>0.1179</v>
      </c>
      <c r="D12" s="54" t="s">
        <v>164</v>
      </c>
    </row>
    <row r="13" spans="1:8">
      <c r="A13" s="68">
        <f t="shared" si="0"/>
        <v>8</v>
      </c>
      <c r="B13" s="58" t="s">
        <v>167</v>
      </c>
      <c r="C13" s="59">
        <f ca="1">C11*C12</f>
        <v>11774104.49046533</v>
      </c>
      <c r="D13" s="54"/>
    </row>
    <row r="14" spans="1:8">
      <c r="A14" s="68">
        <f t="shared" si="0"/>
        <v>9</v>
      </c>
      <c r="B14" s="58" t="s">
        <v>168</v>
      </c>
      <c r="C14" s="59">
        <f ca="1">C8*0.021</f>
        <v>2936611.0848900001</v>
      </c>
      <c r="D14" s="54" t="s">
        <v>293</v>
      </c>
    </row>
    <row r="15" spans="1:8">
      <c r="A15" s="68">
        <f t="shared" si="0"/>
        <v>10</v>
      </c>
      <c r="B15" s="58" t="s">
        <v>169</v>
      </c>
      <c r="C15" s="61">
        <f ca="1">C11*0.012</f>
        <v>1198382.1364341301</v>
      </c>
      <c r="D15" s="54"/>
    </row>
    <row r="16" spans="1:8" ht="13.5" thickBot="1">
      <c r="A16" s="68">
        <f t="shared" si="0"/>
        <v>11</v>
      </c>
      <c r="B16" s="58" t="s">
        <v>170</v>
      </c>
      <c r="C16" s="63">
        <f ca="1">SUM(C13:C15)</f>
        <v>15909097.711789461</v>
      </c>
    </row>
    <row r="17" spans="1:4" ht="13.5" thickTop="1">
      <c r="A17" s="68">
        <f t="shared" si="0"/>
        <v>12</v>
      </c>
      <c r="B17" s="58" t="s">
        <v>321</v>
      </c>
      <c r="C17" s="218"/>
    </row>
    <row r="18" spans="1:4">
      <c r="A18" s="68">
        <f t="shared" si="0"/>
        <v>13</v>
      </c>
      <c r="B18" s="219" t="s">
        <v>316</v>
      </c>
      <c r="C18" s="220">
        <v>0</v>
      </c>
    </row>
    <row r="19" spans="1:4">
      <c r="A19" s="68">
        <f t="shared" si="0"/>
        <v>14</v>
      </c>
      <c r="B19" s="221" t="s">
        <v>317</v>
      </c>
      <c r="C19" s="220">
        <v>0</v>
      </c>
    </row>
    <row r="20" spans="1:4" ht="13.5" thickBot="1">
      <c r="A20" s="68">
        <f t="shared" si="0"/>
        <v>15</v>
      </c>
      <c r="B20" s="222" t="s">
        <v>318</v>
      </c>
      <c r="C20" s="63">
        <f ca="1">SUM(C16:C19)</f>
        <v>15909097.711789461</v>
      </c>
    </row>
    <row r="21" spans="1:4" ht="13.5" thickTop="1">
      <c r="A21" s="68">
        <v>16</v>
      </c>
      <c r="B21" s="222" t="s">
        <v>383</v>
      </c>
      <c r="C21" s="59">
        <v>10763058.860355582</v>
      </c>
      <c r="D21" s="54" t="s">
        <v>384</v>
      </c>
    </row>
    <row r="22" spans="1:4">
      <c r="A22" s="68">
        <v>17</v>
      </c>
      <c r="B22" s="222" t="s">
        <v>386</v>
      </c>
      <c r="C22" s="59">
        <f ca="1">C20-C21</f>
        <v>5146038.8514338788</v>
      </c>
    </row>
    <row r="32" spans="1:4">
      <c r="B32" s="64" t="s">
        <v>274</v>
      </c>
    </row>
    <row r="33" spans="2:7">
      <c r="B33" s="64" t="s">
        <v>370</v>
      </c>
    </row>
    <row r="34" spans="2:7">
      <c r="B34" s="56" t="s">
        <v>371</v>
      </c>
    </row>
    <row r="35" spans="2:7">
      <c r="B35" s="56" t="s">
        <v>294</v>
      </c>
      <c r="C35" s="66"/>
      <c r="D35" s="4"/>
      <c r="E35" s="66"/>
      <c r="F35" s="4"/>
      <c r="G35" s="66"/>
    </row>
    <row r="36" spans="2:7">
      <c r="B36" s="56" t="s">
        <v>295</v>
      </c>
      <c r="C36" s="65"/>
      <c r="D36" s="4"/>
      <c r="E36" s="65"/>
      <c r="F36" s="4"/>
      <c r="G36" s="67"/>
    </row>
    <row r="37" spans="2:7">
      <c r="B37" s="56" t="s">
        <v>171</v>
      </c>
      <c r="C37" s="65"/>
      <c r="D37" s="4"/>
      <c r="E37" s="65"/>
      <c r="F37" s="4"/>
      <c r="G37" s="67"/>
    </row>
    <row r="38" spans="2:7">
      <c r="B38" s="56" t="s">
        <v>387</v>
      </c>
    </row>
    <row r="39" spans="2:7">
      <c r="C39" s="9"/>
    </row>
    <row r="43" spans="2:7">
      <c r="B43" t="s">
        <v>357</v>
      </c>
      <c r="C43" s="231">
        <v>41213</v>
      </c>
    </row>
    <row r="44" spans="2:7">
      <c r="B44" s="215" t="s">
        <v>358</v>
      </c>
      <c r="C44" s="257">
        <v>41274</v>
      </c>
    </row>
  </sheetData>
  <mergeCells count="2">
    <mergeCell ref="A1:E1"/>
    <mergeCell ref="A2:E2"/>
  </mergeCells>
  <pageMargins left="0.7" right="0.7" top="0.89124999999999999" bottom="0.75" header="0.3" footer="0.3"/>
  <pageSetup scale="93" orientation="portrait" r:id="rId1"/>
  <headerFooter scaleWithDoc="0">
    <oddHeader>&amp;RQuestar Gas Company
Docket 12-057-15
Exhibit 1.1 Page 5 of 5</oddHeader>
  </headerFooter>
</worksheet>
</file>

<file path=xl/worksheets/sheet4.xml><?xml version="1.0" encoding="utf-8"?>
<worksheet xmlns="http://schemas.openxmlformats.org/spreadsheetml/2006/main" xmlns:r="http://schemas.openxmlformats.org/officeDocument/2006/relationships">
  <sheetPr codeName="Sheet4"/>
  <dimension ref="A1:H21"/>
  <sheetViews>
    <sheetView workbookViewId="0"/>
  </sheetViews>
  <sheetFormatPr defaultRowHeight="12.75"/>
  <cols>
    <col min="1" max="1" width="3.28515625" customWidth="1"/>
    <col min="2" max="2" width="5.7109375" customWidth="1"/>
    <col min="3" max="3" width="18.28515625" customWidth="1"/>
    <col min="4" max="4" width="3.85546875" customWidth="1"/>
    <col min="5" max="5" width="14" bestFit="1" customWidth="1"/>
    <col min="6" max="6" width="3.85546875" customWidth="1"/>
    <col min="7" max="7" width="16" bestFit="1" customWidth="1"/>
    <col min="8" max="8" width="3.85546875" customWidth="1"/>
  </cols>
  <sheetData>
    <row r="1" spans="1:8">
      <c r="A1" s="71"/>
      <c r="B1" s="272" t="s">
        <v>172</v>
      </c>
      <c r="C1" s="272"/>
      <c r="D1" s="272"/>
      <c r="E1" s="272"/>
      <c r="F1" s="272"/>
      <c r="G1" s="272"/>
      <c r="H1" s="72"/>
    </row>
    <row r="2" spans="1:8">
      <c r="A2" s="71"/>
      <c r="B2" s="73"/>
      <c r="C2" s="72"/>
      <c r="D2" s="72"/>
      <c r="E2" s="73"/>
      <c r="F2" s="72"/>
      <c r="G2" s="73"/>
      <c r="H2" s="72"/>
    </row>
    <row r="3" spans="1:8">
      <c r="A3" s="71"/>
      <c r="B3" s="73"/>
      <c r="C3" s="72"/>
      <c r="D3" s="72"/>
      <c r="E3" s="73"/>
      <c r="F3" s="72"/>
      <c r="G3" s="73"/>
      <c r="H3" s="72"/>
    </row>
    <row r="4" spans="1:8">
      <c r="A4" s="71"/>
      <c r="B4" s="73"/>
      <c r="C4" s="74" t="s">
        <v>173</v>
      </c>
      <c r="D4" s="74"/>
      <c r="E4" s="74" t="s">
        <v>174</v>
      </c>
      <c r="F4" s="74"/>
      <c r="G4" s="74" t="s">
        <v>175</v>
      </c>
      <c r="H4" s="74"/>
    </row>
    <row r="5" spans="1:8">
      <c r="A5" s="71"/>
      <c r="B5" s="73"/>
      <c r="C5" s="75" t="s">
        <v>176</v>
      </c>
      <c r="D5" s="73"/>
      <c r="E5" s="73"/>
      <c r="F5" s="73"/>
      <c r="G5" s="74" t="s">
        <v>88</v>
      </c>
      <c r="H5" s="73"/>
    </row>
    <row r="6" spans="1:8">
      <c r="A6" s="71"/>
      <c r="B6" s="73"/>
      <c r="C6" s="76" t="s">
        <v>177</v>
      </c>
      <c r="D6" s="74"/>
      <c r="E6" s="74" t="s">
        <v>178</v>
      </c>
      <c r="F6" s="74"/>
      <c r="G6" s="74" t="s">
        <v>179</v>
      </c>
      <c r="H6" s="74"/>
    </row>
    <row r="7" spans="1:8">
      <c r="A7" s="71"/>
      <c r="B7" s="73"/>
      <c r="C7" s="77" t="s">
        <v>180</v>
      </c>
      <c r="D7" s="78"/>
      <c r="E7" s="78" t="s">
        <v>181</v>
      </c>
      <c r="F7" s="78"/>
      <c r="G7" s="78" t="s">
        <v>154</v>
      </c>
      <c r="H7" s="78"/>
    </row>
    <row r="8" spans="1:8">
      <c r="A8" s="71"/>
      <c r="B8" s="73"/>
      <c r="C8" s="79" t="s">
        <v>157</v>
      </c>
      <c r="D8" s="73"/>
      <c r="E8" s="80"/>
      <c r="F8" s="73"/>
      <c r="G8" s="81"/>
      <c r="H8" s="73"/>
    </row>
    <row r="9" spans="1:8">
      <c r="A9" s="82">
        <v>1</v>
      </c>
      <c r="B9" s="73" t="s">
        <v>182</v>
      </c>
      <c r="C9" s="83">
        <v>239318631.93504602</v>
      </c>
      <c r="D9" s="84"/>
      <c r="E9" s="85">
        <f>C9/$C$17</f>
        <v>0.92690027429994493</v>
      </c>
      <c r="F9" s="84"/>
      <c r="G9" s="84">
        <f ca="1">E9*$G$17</f>
        <v>14746147.032922277</v>
      </c>
      <c r="H9" s="84"/>
    </row>
    <row r="10" spans="1:8">
      <c r="A10" s="82">
        <v>2</v>
      </c>
      <c r="B10" s="73" t="s">
        <v>183</v>
      </c>
      <c r="C10" s="86">
        <v>4423772.2729999106</v>
      </c>
      <c r="D10" s="87"/>
      <c r="E10" s="85">
        <f>C10/$C$17</f>
        <v>1.7133625159603139E-2</v>
      </c>
      <c r="F10" s="87"/>
      <c r="G10" s="84">
        <f t="shared" ref="G10:G15" ca="1" si="0">E10*$G$17</f>
        <v>272580.51682130061</v>
      </c>
      <c r="H10" s="87"/>
    </row>
    <row r="11" spans="1:8">
      <c r="A11" s="82">
        <v>3</v>
      </c>
      <c r="B11" s="73" t="s">
        <v>184</v>
      </c>
      <c r="C11" s="86">
        <v>2164923.8462406527</v>
      </c>
      <c r="D11" s="87"/>
      <c r="E11" s="85">
        <f t="shared" ref="E11:E15" si="1">C11/$C$17</f>
        <v>8.3849238594326699E-3</v>
      </c>
      <c r="F11" s="87"/>
      <c r="G11" s="84">
        <f t="shared" ca="1" si="0"/>
        <v>133396.57298562914</v>
      </c>
      <c r="H11" s="87"/>
    </row>
    <row r="12" spans="1:8">
      <c r="A12" s="82">
        <v>4</v>
      </c>
      <c r="B12" s="73" t="s">
        <v>185</v>
      </c>
      <c r="C12" s="86">
        <v>560034.6692479694</v>
      </c>
      <c r="D12" s="87"/>
      <c r="E12" s="85">
        <f t="shared" si="1"/>
        <v>2.1690592343195027E-3</v>
      </c>
      <c r="F12" s="87"/>
      <c r="G12" s="84">
        <f t="shared" ca="1" si="0"/>
        <v>34507.7753014482</v>
      </c>
      <c r="H12" s="87"/>
    </row>
    <row r="13" spans="1:8">
      <c r="A13" s="82">
        <v>5</v>
      </c>
      <c r="B13" s="73" t="s">
        <v>186</v>
      </c>
      <c r="C13" s="86">
        <v>6685487.87654055</v>
      </c>
      <c r="D13" s="87"/>
      <c r="E13" s="85">
        <f t="shared" si="1"/>
        <v>2.5893431265628635E-2</v>
      </c>
      <c r="F13" s="87"/>
      <c r="G13" s="84">
        <f t="shared" ca="1" si="0"/>
        <v>411941.12809839018</v>
      </c>
      <c r="H13" s="87"/>
    </row>
    <row r="14" spans="1:8">
      <c r="A14" s="82">
        <v>6</v>
      </c>
      <c r="B14" s="73" t="s">
        <v>187</v>
      </c>
      <c r="C14" s="86">
        <v>20090.830167618489</v>
      </c>
      <c r="D14" s="87"/>
      <c r="E14" s="85">
        <f t="shared" si="1"/>
        <v>7.7813398157538673E-5</v>
      </c>
      <c r="F14" s="87"/>
      <c r="G14" s="84">
        <f t="shared" ca="1" si="0"/>
        <v>1237.9409545746607</v>
      </c>
      <c r="H14" s="87"/>
    </row>
    <row r="15" spans="1:8">
      <c r="A15" s="82">
        <v>7</v>
      </c>
      <c r="B15" s="73" t="s">
        <v>188</v>
      </c>
      <c r="C15" s="88">
        <v>5019486.1378632095</v>
      </c>
      <c r="D15" s="87"/>
      <c r="E15" s="89">
        <f t="shared" si="1"/>
        <v>1.9440872782913711E-2</v>
      </c>
      <c r="F15" s="87"/>
      <c r="G15" s="90">
        <f t="shared" ca="1" si="0"/>
        <v>309286.74470584252</v>
      </c>
      <c r="H15" s="87"/>
    </row>
    <row r="16" spans="1:8">
      <c r="A16" s="82"/>
      <c r="B16" s="73"/>
      <c r="C16" s="91"/>
      <c r="D16" s="91"/>
      <c r="E16" s="91"/>
      <c r="F16" s="91"/>
      <c r="G16" s="91"/>
      <c r="H16" s="91"/>
    </row>
    <row r="17" spans="1:8">
      <c r="A17" s="82">
        <v>8</v>
      </c>
      <c r="B17" s="73" t="s">
        <v>189</v>
      </c>
      <c r="C17" s="91">
        <f>SUM(C9:C15)</f>
        <v>258192427.56810591</v>
      </c>
      <c r="D17" s="91"/>
      <c r="E17" s="92">
        <f>SUM(E9:E15)</f>
        <v>1</v>
      </c>
      <c r="F17" s="91"/>
      <c r="G17" s="91">
        <f ca="1">'Exhibit 1.1 Page 5'!C20</f>
        <v>15909097.711789461</v>
      </c>
      <c r="H17" s="91" t="s">
        <v>159</v>
      </c>
    </row>
    <row r="18" spans="1:8">
      <c r="A18" s="82"/>
      <c r="B18" s="73"/>
      <c r="C18" s="91"/>
      <c r="D18" s="91"/>
      <c r="E18" s="91"/>
      <c r="F18" s="91"/>
      <c r="G18" s="91"/>
      <c r="H18" s="91"/>
    </row>
    <row r="19" spans="1:8">
      <c r="A19" s="71"/>
      <c r="B19" s="73"/>
      <c r="C19" s="73"/>
      <c r="D19" s="73"/>
      <c r="E19" s="73"/>
      <c r="F19" s="73"/>
      <c r="G19" s="73"/>
      <c r="H19" s="73"/>
    </row>
    <row r="20" spans="1:8">
      <c r="A20" s="71"/>
      <c r="B20" s="71" t="s">
        <v>190</v>
      </c>
      <c r="C20" s="73"/>
      <c r="D20" s="73"/>
      <c r="E20" s="73"/>
      <c r="F20" s="73"/>
      <c r="G20" s="73"/>
      <c r="H20" s="73"/>
    </row>
    <row r="21" spans="1:8">
      <c r="A21" s="71"/>
      <c r="B21" s="73" t="s">
        <v>385</v>
      </c>
      <c r="C21" s="71"/>
      <c r="D21" s="71"/>
      <c r="E21" s="71"/>
      <c r="F21" s="71"/>
      <c r="G21" s="71"/>
      <c r="H21" s="71"/>
    </row>
  </sheetData>
  <mergeCells count="1">
    <mergeCell ref="B1:G1"/>
  </mergeCells>
  <pageMargins left="0.7" right="0.7" top="0.86458333333333337" bottom="0.75" header="0.3" footer="0.3"/>
  <pageSetup orientation="portrait" r:id="rId1"/>
  <headerFooter scaleWithDoc="0">
    <oddHeader>&amp;RQuestar Gas Company
Docket 12-057-15
Exhibit 1.2</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W72"/>
  <sheetViews>
    <sheetView workbookViewId="0"/>
  </sheetViews>
  <sheetFormatPr defaultRowHeight="12.75"/>
  <cols>
    <col min="1" max="1" width="4.42578125" style="5" customWidth="1"/>
    <col min="2" max="3" width="9.140625" style="5"/>
    <col min="4" max="4" width="7.42578125" style="5" bestFit="1" customWidth="1"/>
    <col min="5" max="5" width="9.140625" style="5" bestFit="1" customWidth="1"/>
    <col min="6" max="6" width="4.140625" style="5" customWidth="1"/>
    <col min="7" max="7" width="13.28515625" style="5" customWidth="1"/>
    <col min="8" max="8" width="9.5703125" style="5" bestFit="1" customWidth="1"/>
    <col min="9" max="9" width="13.28515625" style="5" customWidth="1"/>
    <col min="10" max="10" width="3" style="5" customWidth="1"/>
    <col min="11" max="11" width="15.28515625" style="5" customWidth="1"/>
    <col min="12" max="12" width="12.140625" style="5" bestFit="1" customWidth="1"/>
    <col min="13" max="15" width="13.7109375" style="5" customWidth="1"/>
    <col min="16" max="16" width="10.42578125" bestFit="1" customWidth="1"/>
    <col min="17" max="17" width="10.42578125" style="259" bestFit="1" customWidth="1"/>
    <col min="18" max="18" width="10.42578125" bestFit="1" customWidth="1"/>
    <col min="21" max="21" width="10.42578125" style="259" bestFit="1" customWidth="1"/>
    <col min="22" max="22" width="10.42578125" bestFit="1" customWidth="1"/>
    <col min="23" max="23" width="10.42578125" style="259" bestFit="1" customWidth="1"/>
  </cols>
  <sheetData>
    <row r="1" spans="1:23" ht="15.75">
      <c r="A1" s="93"/>
      <c r="B1" s="274" t="s">
        <v>191</v>
      </c>
      <c r="C1" s="274"/>
      <c r="D1" s="274"/>
      <c r="E1" s="274"/>
      <c r="F1" s="274"/>
      <c r="G1" s="274"/>
      <c r="H1" s="274"/>
      <c r="I1" s="274"/>
      <c r="J1" s="274"/>
      <c r="K1" s="274"/>
      <c r="L1" s="274"/>
      <c r="M1" s="274"/>
      <c r="N1" s="94"/>
      <c r="O1" s="94"/>
    </row>
    <row r="2" spans="1:23">
      <c r="A2" s="93"/>
      <c r="B2" s="95"/>
      <c r="C2" s="95"/>
      <c r="D2" s="95"/>
      <c r="E2" s="96"/>
      <c r="F2" s="96"/>
      <c r="G2" s="95"/>
      <c r="H2" s="95"/>
      <c r="I2" s="95"/>
      <c r="J2" s="97"/>
      <c r="K2" s="95"/>
      <c r="L2" s="95"/>
      <c r="M2" s="95"/>
      <c r="N2" s="95"/>
      <c r="O2" s="95"/>
    </row>
    <row r="3" spans="1:23">
      <c r="A3" s="93"/>
      <c r="B3" s="93"/>
      <c r="C3" s="93" t="s">
        <v>173</v>
      </c>
      <c r="D3" s="93" t="s">
        <v>174</v>
      </c>
      <c r="E3" s="223" t="s">
        <v>175</v>
      </c>
      <c r="F3" s="223"/>
      <c r="G3" s="93" t="s">
        <v>192</v>
      </c>
      <c r="H3" s="93" t="s">
        <v>193</v>
      </c>
      <c r="I3" s="93" t="s">
        <v>194</v>
      </c>
      <c r="J3" s="98"/>
      <c r="K3" s="98" t="s">
        <v>195</v>
      </c>
      <c r="L3" s="98" t="s">
        <v>196</v>
      </c>
      <c r="M3" s="98" t="s">
        <v>197</v>
      </c>
      <c r="N3" s="98" t="s">
        <v>198</v>
      </c>
      <c r="O3" s="98" t="s">
        <v>199</v>
      </c>
    </row>
    <row r="4" spans="1:23">
      <c r="A4" s="93"/>
      <c r="B4" s="99" t="s">
        <v>200</v>
      </c>
      <c r="C4" s="100"/>
      <c r="D4" s="100"/>
      <c r="E4" s="101"/>
      <c r="F4" s="101"/>
      <c r="G4" s="273" t="s">
        <v>201</v>
      </c>
      <c r="H4" s="273"/>
      <c r="I4" s="273"/>
      <c r="J4" s="100"/>
      <c r="K4" s="102" t="s">
        <v>202</v>
      </c>
      <c r="L4" s="103"/>
      <c r="M4" s="102" t="s">
        <v>202</v>
      </c>
      <c r="N4" s="102" t="s">
        <v>203</v>
      </c>
      <c r="O4" s="102" t="s">
        <v>204</v>
      </c>
    </row>
    <row r="5" spans="1:23">
      <c r="A5" s="93"/>
      <c r="B5" s="99"/>
      <c r="C5" s="100"/>
      <c r="D5" s="100"/>
      <c r="E5" s="101"/>
      <c r="F5" s="101"/>
      <c r="G5" s="232"/>
      <c r="H5" s="232"/>
      <c r="I5" s="232"/>
      <c r="J5" s="100"/>
      <c r="K5" s="102" t="s">
        <v>205</v>
      </c>
      <c r="L5" s="103" t="s">
        <v>206</v>
      </c>
      <c r="M5" s="102" t="s">
        <v>205</v>
      </c>
      <c r="N5" s="102"/>
      <c r="O5" s="102" t="s">
        <v>207</v>
      </c>
    </row>
    <row r="6" spans="1:23" ht="13.5" thickBot="1">
      <c r="A6" s="93"/>
      <c r="B6" s="104" t="s">
        <v>208</v>
      </c>
      <c r="C6" s="105"/>
      <c r="D6" s="105"/>
      <c r="E6" s="106" t="s">
        <v>209</v>
      </c>
      <c r="F6" s="107"/>
      <c r="G6" s="108" t="s">
        <v>209</v>
      </c>
      <c r="H6" s="108" t="s">
        <v>210</v>
      </c>
      <c r="I6" s="109" t="s">
        <v>211</v>
      </c>
      <c r="J6" s="100"/>
      <c r="K6" s="108" t="s">
        <v>154</v>
      </c>
      <c r="L6" s="108" t="s">
        <v>212</v>
      </c>
      <c r="M6" s="108" t="s">
        <v>213</v>
      </c>
      <c r="N6" s="108"/>
      <c r="O6" s="108"/>
    </row>
    <row r="7" spans="1:23">
      <c r="A7" s="93">
        <v>1</v>
      </c>
      <c r="B7" s="110" t="s">
        <v>214</v>
      </c>
      <c r="C7" s="110" t="s">
        <v>215</v>
      </c>
      <c r="D7" s="110" t="s">
        <v>216</v>
      </c>
      <c r="E7" s="111">
        <v>45</v>
      </c>
      <c r="F7" s="111"/>
      <c r="G7" s="112">
        <v>54147891</v>
      </c>
      <c r="H7" s="113">
        <v>2.2293799999999999</v>
      </c>
      <c r="I7" s="114">
        <f>ROUND(G7*H7,0)</f>
        <v>120716225</v>
      </c>
      <c r="J7" s="115"/>
      <c r="K7" s="112">
        <f ca="1">M7*G7</f>
        <v>9779355.6770919226</v>
      </c>
      <c r="L7" s="116">
        <f ca="1">L12</f>
        <v>8.1011112282920572E-2</v>
      </c>
      <c r="M7" s="117">
        <f ca="1">L7*H7</f>
        <v>0.18060455350129745</v>
      </c>
      <c r="N7" s="117">
        <v>0.12230000000000001</v>
      </c>
      <c r="O7" s="117">
        <f ca="1">M7-N7</f>
        <v>5.8304553501297443E-2</v>
      </c>
      <c r="Q7" s="258"/>
      <c r="R7" s="117"/>
      <c r="S7" s="117"/>
      <c r="T7" s="117"/>
      <c r="U7" s="258"/>
      <c r="V7" s="117"/>
      <c r="W7" s="258"/>
    </row>
    <row r="8" spans="1:23">
      <c r="A8" s="93">
        <f>A7+1</f>
        <v>2</v>
      </c>
      <c r="B8" s="110"/>
      <c r="C8" s="110" t="s">
        <v>217</v>
      </c>
      <c r="D8" s="110" t="s">
        <v>218</v>
      </c>
      <c r="E8" s="111">
        <v>155</v>
      </c>
      <c r="F8" s="111"/>
      <c r="G8" s="112">
        <v>15589646</v>
      </c>
      <c r="H8" s="113">
        <v>0.92557</v>
      </c>
      <c r="I8" s="114">
        <f>ROUND(G8*H8,0)</f>
        <v>14429309</v>
      </c>
      <c r="J8" s="118"/>
      <c r="K8" s="112">
        <f ca="1">M8*G8</f>
        <v>1168934.3430658672</v>
      </c>
      <c r="L8" s="116">
        <f ca="1">L12</f>
        <v>8.1011112282920572E-2</v>
      </c>
      <c r="M8" s="117">
        <f ca="1">L8*H8</f>
        <v>7.498145519570279E-2</v>
      </c>
      <c r="N8" s="117">
        <v>5.0770000000000003E-2</v>
      </c>
      <c r="O8" s="117">
        <f ca="1">M8-N8</f>
        <v>2.4211455195702787E-2</v>
      </c>
      <c r="Q8" s="258"/>
      <c r="R8" s="117"/>
      <c r="S8" s="117"/>
      <c r="T8" s="117"/>
      <c r="U8" s="258"/>
      <c r="V8" s="117"/>
      <c r="W8" s="258"/>
    </row>
    <row r="9" spans="1:23">
      <c r="A9" s="93"/>
      <c r="B9" s="119"/>
      <c r="C9" s="110"/>
      <c r="D9" s="110"/>
      <c r="E9" s="120"/>
      <c r="F9" s="120"/>
      <c r="G9" s="112"/>
      <c r="H9" s="113"/>
      <c r="I9" s="114"/>
      <c r="J9" s="118"/>
      <c r="K9" s="112"/>
      <c r="L9" s="113"/>
      <c r="M9" s="114"/>
      <c r="N9" s="114"/>
      <c r="O9" s="114"/>
      <c r="Q9" s="258"/>
      <c r="R9" s="117"/>
      <c r="S9" s="117"/>
      <c r="T9" s="117"/>
      <c r="U9" s="258"/>
      <c r="V9" s="117"/>
      <c r="W9" s="258"/>
    </row>
    <row r="10" spans="1:23">
      <c r="A10" s="93">
        <f>A8+1</f>
        <v>3</v>
      </c>
      <c r="B10" s="121" t="s">
        <v>219</v>
      </c>
      <c r="C10" s="110" t="s">
        <v>215</v>
      </c>
      <c r="D10" s="110" t="str">
        <f>D7</f>
        <v>First</v>
      </c>
      <c r="E10" s="120">
        <f>E7</f>
        <v>45</v>
      </c>
      <c r="F10" s="120"/>
      <c r="G10" s="112">
        <v>23215921</v>
      </c>
      <c r="H10" s="113">
        <v>1.87767</v>
      </c>
      <c r="I10" s="112">
        <f>ROUND(G10*H10,0)</f>
        <v>43591838</v>
      </c>
      <c r="J10" s="118"/>
      <c r="K10" s="112">
        <f ca="1">M10*G10</f>
        <v>3531423.3139508218</v>
      </c>
      <c r="L10" s="116">
        <f ca="1">L12</f>
        <v>8.1011112282920572E-2</v>
      </c>
      <c r="M10" s="117">
        <f t="shared" ref="M10:M11" ca="1" si="0">L10*H10</f>
        <v>0.15211213520027148</v>
      </c>
      <c r="N10" s="117">
        <v>0.10299999999999999</v>
      </c>
      <c r="O10" s="117">
        <f ca="1">M10-N10</f>
        <v>4.9112135200271481E-2</v>
      </c>
      <c r="Q10" s="258"/>
      <c r="R10" s="117"/>
      <c r="S10" s="117"/>
      <c r="T10" s="117"/>
      <c r="U10" s="258"/>
      <c r="V10" s="117"/>
      <c r="W10" s="258"/>
    </row>
    <row r="11" spans="1:23">
      <c r="A11" s="93">
        <f>A10+1</f>
        <v>4</v>
      </c>
      <c r="B11" s="121"/>
      <c r="C11" s="110" t="s">
        <v>217</v>
      </c>
      <c r="D11" s="110" t="str">
        <f>D8</f>
        <v>Next</v>
      </c>
      <c r="E11" s="120">
        <f>E8</f>
        <v>155</v>
      </c>
      <c r="F11" s="120"/>
      <c r="G11" s="112">
        <v>4718315</v>
      </c>
      <c r="H11" s="113">
        <v>0.69703999999999999</v>
      </c>
      <c r="I11" s="112">
        <f>ROUND(G11*H11,0)</f>
        <v>3288854</v>
      </c>
      <c r="J11" s="118"/>
      <c r="K11" s="112">
        <f ca="1">M11*G11</f>
        <v>266433.74397492834</v>
      </c>
      <c r="L11" s="116">
        <f ca="1">L12</f>
        <v>8.1011112282920572E-2</v>
      </c>
      <c r="M11" s="117">
        <f t="shared" ca="1" si="0"/>
        <v>5.6467985705686952E-2</v>
      </c>
      <c r="N11" s="117">
        <v>3.8240000000000003E-2</v>
      </c>
      <c r="O11" s="117">
        <f ca="1">M11-N11</f>
        <v>1.8227985705686948E-2</v>
      </c>
      <c r="Q11" s="258"/>
      <c r="R11" s="117"/>
      <c r="S11" s="117"/>
      <c r="T11" s="117"/>
      <c r="U11" s="258"/>
      <c r="V11" s="117"/>
      <c r="W11" s="258"/>
    </row>
    <row r="12" spans="1:23" ht="13.5" thickBot="1">
      <c r="A12" s="93">
        <f>A11+1</f>
        <v>5</v>
      </c>
      <c r="B12" s="122" t="s">
        <v>220</v>
      </c>
      <c r="C12" s="95"/>
      <c r="D12" s="110"/>
      <c r="E12" s="120"/>
      <c r="F12" s="120"/>
      <c r="G12" s="123">
        <f>SUM(G10:G11,G7:G8)</f>
        <v>97671773</v>
      </c>
      <c r="H12" s="124"/>
      <c r="I12" s="123">
        <f>SUM(I7:I11)</f>
        <v>182026226</v>
      </c>
      <c r="J12" s="125"/>
      <c r="K12" s="123">
        <f ca="1">'Exhibit 1.2'!G9</f>
        <v>14746147.032922277</v>
      </c>
      <c r="L12" s="126">
        <f ca="1">K12/I12</f>
        <v>8.1011112282920572E-2</v>
      </c>
      <c r="M12" s="123"/>
      <c r="N12" s="123"/>
      <c r="O12" s="123"/>
      <c r="Q12" s="258"/>
      <c r="R12" s="117"/>
      <c r="S12" s="117"/>
      <c r="T12" s="117"/>
      <c r="U12" s="258"/>
      <c r="V12" s="117"/>
      <c r="W12" s="258"/>
    </row>
    <row r="13" spans="1:23" ht="14.25" thickTop="1" thickBot="1">
      <c r="A13" s="93"/>
      <c r="B13" s="132"/>
      <c r="C13" s="132"/>
      <c r="D13" s="132"/>
      <c r="E13" s="133"/>
      <c r="F13" s="101"/>
      <c r="G13" s="134"/>
      <c r="H13" s="132"/>
      <c r="I13" s="134"/>
      <c r="J13" s="134"/>
      <c r="K13" s="134"/>
      <c r="L13" s="134"/>
      <c r="M13" s="134"/>
      <c r="N13" s="134"/>
      <c r="O13" s="134"/>
      <c r="Q13" s="258"/>
      <c r="R13" s="117"/>
      <c r="S13" s="117"/>
      <c r="T13" s="117"/>
      <c r="U13" s="258"/>
      <c r="V13" s="117"/>
      <c r="W13" s="258"/>
    </row>
    <row r="14" spans="1:23">
      <c r="A14" s="93"/>
      <c r="B14" s="100"/>
      <c r="C14" s="100"/>
      <c r="D14" s="100"/>
      <c r="E14" s="101"/>
      <c r="F14" s="101"/>
      <c r="G14" s="135"/>
      <c r="H14" s="100"/>
      <c r="I14" s="135"/>
      <c r="J14" s="135"/>
      <c r="K14" s="102" t="s">
        <v>202</v>
      </c>
      <c r="L14" s="135"/>
      <c r="M14" s="102" t="s">
        <v>202</v>
      </c>
      <c r="N14" s="102"/>
      <c r="O14" s="102"/>
      <c r="Q14" s="258"/>
      <c r="R14" s="117"/>
      <c r="S14" s="117"/>
      <c r="T14" s="117"/>
      <c r="U14" s="258"/>
      <c r="V14" s="117"/>
      <c r="W14" s="258"/>
    </row>
    <row r="15" spans="1:23">
      <c r="A15" s="93"/>
      <c r="B15" s="99" t="s">
        <v>221</v>
      </c>
      <c r="C15" s="100"/>
      <c r="D15" s="100"/>
      <c r="E15" s="101"/>
      <c r="F15" s="101"/>
      <c r="G15" s="273" t="s">
        <v>201</v>
      </c>
      <c r="H15" s="273"/>
      <c r="I15" s="273"/>
      <c r="J15" s="100"/>
      <c r="K15" s="102" t="s">
        <v>205</v>
      </c>
      <c r="L15" s="103" t="s">
        <v>222</v>
      </c>
      <c r="M15" s="102" t="s">
        <v>205</v>
      </c>
      <c r="N15" s="102"/>
      <c r="O15" s="102"/>
      <c r="Q15" s="258"/>
      <c r="R15" s="117"/>
      <c r="S15" s="117"/>
      <c r="T15" s="117"/>
      <c r="U15" s="258"/>
      <c r="V15" s="117"/>
      <c r="W15" s="258"/>
    </row>
    <row r="16" spans="1:23" ht="13.5" thickBot="1">
      <c r="A16" s="93"/>
      <c r="B16" s="104" t="s">
        <v>208</v>
      </c>
      <c r="C16" s="105"/>
      <c r="D16" s="105"/>
      <c r="E16" s="106" t="s">
        <v>209</v>
      </c>
      <c r="F16" s="107"/>
      <c r="G16" s="108" t="s">
        <v>209</v>
      </c>
      <c r="H16" s="108" t="s">
        <v>210</v>
      </c>
      <c r="I16" s="109" t="s">
        <v>211</v>
      </c>
      <c r="J16" s="100"/>
      <c r="K16" s="108" t="s">
        <v>154</v>
      </c>
      <c r="L16" s="108" t="s">
        <v>212</v>
      </c>
      <c r="M16" s="108" t="s">
        <v>213</v>
      </c>
      <c r="N16" s="108"/>
      <c r="O16" s="108"/>
      <c r="Q16" s="258"/>
      <c r="R16" s="117"/>
      <c r="S16" s="117"/>
      <c r="T16" s="117"/>
      <c r="U16" s="258"/>
      <c r="V16" s="117"/>
      <c r="W16" s="258"/>
    </row>
    <row r="17" spans="1:23">
      <c r="A17" s="93">
        <f>A12+1</f>
        <v>6</v>
      </c>
      <c r="B17" s="136" t="s">
        <v>223</v>
      </c>
      <c r="C17" s="110"/>
      <c r="D17" s="110" t="s">
        <v>224</v>
      </c>
      <c r="E17" s="120">
        <v>0</v>
      </c>
      <c r="F17" s="120"/>
      <c r="G17" s="112">
        <v>560400</v>
      </c>
      <c r="H17" s="113">
        <v>5.0114000000000001</v>
      </c>
      <c r="I17" s="112">
        <f>ROUND(G17*H17,0)</f>
        <v>2808389</v>
      </c>
      <c r="J17" s="118"/>
      <c r="K17" s="112">
        <f ca="1">'Exhibit 1.2'!G11</f>
        <v>133396.57298562914</v>
      </c>
      <c r="L17" s="137">
        <f ca="1">K17/I17</f>
        <v>4.7499321848087694E-2</v>
      </c>
      <c r="M17" s="117">
        <f t="shared" ref="M17" ca="1" si="1">L17*H17</f>
        <v>0.23803810150950669</v>
      </c>
      <c r="N17" s="117">
        <v>0.16103999999999999</v>
      </c>
      <c r="O17" s="117">
        <f ca="1">M17-N17</f>
        <v>7.69981015095067E-2</v>
      </c>
      <c r="Q17" s="258"/>
      <c r="R17" s="117"/>
      <c r="S17" s="117"/>
      <c r="T17" s="117"/>
      <c r="U17" s="258"/>
      <c r="V17" s="117"/>
      <c r="W17" s="258"/>
    </row>
    <row r="18" spans="1:23">
      <c r="A18" s="93"/>
      <c r="B18" s="136"/>
      <c r="C18" s="110"/>
      <c r="D18" s="110"/>
      <c r="E18" s="120"/>
      <c r="F18" s="120"/>
      <c r="G18" s="112"/>
      <c r="H18" s="113"/>
      <c r="I18" s="112"/>
      <c r="J18" s="118"/>
      <c r="K18" s="112"/>
      <c r="L18" s="138"/>
      <c r="M18" s="117"/>
      <c r="N18" s="117"/>
      <c r="O18" s="117"/>
      <c r="Q18" s="258"/>
      <c r="R18" s="117"/>
      <c r="S18" s="117"/>
      <c r="T18" s="117"/>
      <c r="U18" s="258"/>
      <c r="V18" s="117"/>
      <c r="W18" s="258"/>
    </row>
    <row r="19" spans="1:23" ht="13.5" thickBot="1">
      <c r="A19" s="93"/>
      <c r="B19" s="133"/>
      <c r="C19" s="133"/>
      <c r="D19" s="133"/>
      <c r="E19" s="133"/>
      <c r="F19" s="101"/>
      <c r="G19" s="139"/>
      <c r="H19" s="140"/>
      <c r="I19" s="140"/>
      <c r="J19" s="100"/>
      <c r="K19" s="139"/>
      <c r="L19" s="140"/>
      <c r="M19" s="140"/>
      <c r="N19" s="140"/>
      <c r="O19" s="140"/>
      <c r="Q19" s="258"/>
      <c r="R19" s="117"/>
      <c r="S19" s="117"/>
      <c r="T19" s="117"/>
      <c r="U19" s="258"/>
      <c r="V19" s="117"/>
      <c r="W19" s="258"/>
    </row>
    <row r="20" spans="1:23">
      <c r="A20" s="93"/>
      <c r="B20" s="101"/>
      <c r="C20" s="101"/>
      <c r="D20" s="101"/>
      <c r="E20" s="101"/>
      <c r="F20" s="101"/>
      <c r="G20" s="141"/>
      <c r="H20" s="142"/>
      <c r="I20" s="142"/>
      <c r="J20" s="100"/>
      <c r="K20" s="102" t="s">
        <v>202</v>
      </c>
      <c r="L20" s="142"/>
      <c r="M20" s="102" t="s">
        <v>202</v>
      </c>
      <c r="N20" s="102"/>
      <c r="O20" s="102"/>
      <c r="Q20" s="258"/>
      <c r="R20" s="117"/>
      <c r="S20" s="117"/>
      <c r="T20" s="117"/>
      <c r="U20" s="258"/>
      <c r="V20" s="117"/>
      <c r="W20" s="258"/>
    </row>
    <row r="21" spans="1:23">
      <c r="A21" s="93"/>
      <c r="B21" s="99" t="s">
        <v>225</v>
      </c>
      <c r="C21" s="101"/>
      <c r="D21" s="101"/>
      <c r="E21" s="101"/>
      <c r="F21" s="102"/>
      <c r="G21" s="273" t="s">
        <v>201</v>
      </c>
      <c r="H21" s="273"/>
      <c r="I21" s="273"/>
      <c r="J21" s="100"/>
      <c r="K21" s="102" t="s">
        <v>205</v>
      </c>
      <c r="L21" s="103" t="s">
        <v>222</v>
      </c>
      <c r="M21" s="102" t="s">
        <v>205</v>
      </c>
      <c r="N21" s="102"/>
      <c r="O21" s="102"/>
      <c r="Q21" s="258"/>
      <c r="R21" s="117"/>
      <c r="S21" s="117"/>
      <c r="T21" s="117"/>
      <c r="U21" s="258"/>
      <c r="V21" s="117"/>
      <c r="W21" s="258"/>
    </row>
    <row r="22" spans="1:23" ht="13.5" thickBot="1">
      <c r="A22" s="93"/>
      <c r="B22" s="104" t="s">
        <v>208</v>
      </c>
      <c r="C22" s="105"/>
      <c r="D22" s="105"/>
      <c r="E22" s="106" t="s">
        <v>209</v>
      </c>
      <c r="F22" s="107"/>
      <c r="G22" s="108" t="s">
        <v>209</v>
      </c>
      <c r="H22" s="108" t="s">
        <v>210</v>
      </c>
      <c r="I22" s="109" t="s">
        <v>211</v>
      </c>
      <c r="J22" s="100"/>
      <c r="K22" s="108" t="s">
        <v>154</v>
      </c>
      <c r="L22" s="108" t="s">
        <v>212</v>
      </c>
      <c r="M22" s="108" t="s">
        <v>213</v>
      </c>
      <c r="N22" s="108"/>
      <c r="O22" s="108"/>
      <c r="Q22" s="258"/>
      <c r="R22" s="117"/>
      <c r="S22" s="117"/>
      <c r="T22" s="117"/>
      <c r="U22" s="258"/>
      <c r="V22" s="117"/>
      <c r="W22" s="258"/>
    </row>
    <row r="23" spans="1:23">
      <c r="A23" s="93">
        <f>A17+1</f>
        <v>7</v>
      </c>
      <c r="B23" s="110" t="s">
        <v>214</v>
      </c>
      <c r="C23" s="110" t="s">
        <v>215</v>
      </c>
      <c r="D23" s="110" t="s">
        <v>216</v>
      </c>
      <c r="E23" s="120">
        <v>200</v>
      </c>
      <c r="F23" s="120"/>
      <c r="G23" s="112">
        <v>577735</v>
      </c>
      <c r="H23" s="113">
        <v>0.73760999999999999</v>
      </c>
      <c r="I23" s="112">
        <f>ROUND(G23*H23,0)</f>
        <v>426143</v>
      </c>
      <c r="J23" s="118"/>
      <c r="K23" s="112">
        <f ca="1">M23*G23</f>
        <v>38077.001522571532</v>
      </c>
      <c r="L23" s="143">
        <f ca="1">L30</f>
        <v>8.9352614954258613E-2</v>
      </c>
      <c r="M23" s="113">
        <f t="shared" ref="M23:M25" ca="1" si="2">L23*H23</f>
        <v>6.590738231641069E-2</v>
      </c>
      <c r="N23" s="113">
        <v>4.4609999999999997E-2</v>
      </c>
      <c r="O23" s="113">
        <f ca="1">M23-N23</f>
        <v>2.1297382316410693E-2</v>
      </c>
      <c r="Q23" s="258"/>
      <c r="R23" s="117"/>
      <c r="S23" s="117"/>
      <c r="T23" s="117"/>
      <c r="U23" s="258"/>
      <c r="V23" s="117"/>
      <c r="W23" s="258"/>
    </row>
    <row r="24" spans="1:23">
      <c r="A24" s="93">
        <f>A23+1</f>
        <v>8</v>
      </c>
      <c r="B24" s="119"/>
      <c r="C24" s="110" t="s">
        <v>217</v>
      </c>
      <c r="D24" s="110" t="s">
        <v>218</v>
      </c>
      <c r="E24" s="120">
        <v>1800</v>
      </c>
      <c r="F24" s="120"/>
      <c r="G24" s="112">
        <v>1295128</v>
      </c>
      <c r="H24" s="113">
        <v>0.59009</v>
      </c>
      <c r="I24" s="112">
        <f>ROUND(G24*H24,0)</f>
        <v>764242</v>
      </c>
      <c r="J24" s="118"/>
      <c r="K24" s="112">
        <f ca="1">M24*G24</f>
        <v>68287.028441897681</v>
      </c>
      <c r="L24" s="143">
        <f ca="1">L30</f>
        <v>8.9352614954258613E-2</v>
      </c>
      <c r="M24" s="113">
        <f t="shared" ca="1" si="2"/>
        <v>5.2726084558358463E-2</v>
      </c>
      <c r="N24" s="113">
        <v>3.569E-2</v>
      </c>
      <c r="O24" s="113">
        <f ca="1">M24-N24</f>
        <v>1.7036084558358464E-2</v>
      </c>
      <c r="Q24" s="258"/>
      <c r="R24" s="117"/>
      <c r="S24" s="117"/>
      <c r="T24" s="117"/>
      <c r="U24" s="258"/>
      <c r="V24" s="117"/>
      <c r="W24" s="258"/>
    </row>
    <row r="25" spans="1:23">
      <c r="A25" s="93">
        <f>A24+1</f>
        <v>9</v>
      </c>
      <c r="B25" s="119"/>
      <c r="C25" s="110" t="s">
        <v>226</v>
      </c>
      <c r="D25" s="110" t="s">
        <v>224</v>
      </c>
      <c r="E25" s="120">
        <v>2000</v>
      </c>
      <c r="F25" s="120"/>
      <c r="G25" s="112">
        <v>733759</v>
      </c>
      <c r="H25" s="113">
        <v>0.53108999999999995</v>
      </c>
      <c r="I25" s="112">
        <f>ROUND(G25*H25,0)</f>
        <v>389692</v>
      </c>
      <c r="J25" s="118"/>
      <c r="K25" s="112">
        <f ca="1">M25*G25</f>
        <v>34820.005241079452</v>
      </c>
      <c r="L25" s="143">
        <f ca="1">L30</f>
        <v>8.9352614954258613E-2</v>
      </c>
      <c r="M25" s="113">
        <f t="shared" ca="1" si="2"/>
        <v>4.7454280276057199E-2</v>
      </c>
      <c r="N25" s="113">
        <v>3.2120000000000003E-2</v>
      </c>
      <c r="O25" s="113">
        <f ca="1">M25-N25</f>
        <v>1.5334280276057197E-2</v>
      </c>
      <c r="Q25" s="258"/>
      <c r="R25" s="117"/>
      <c r="S25" s="117"/>
      <c r="T25" s="117"/>
      <c r="U25" s="258"/>
      <c r="V25" s="117"/>
      <c r="W25" s="258"/>
    </row>
    <row r="26" spans="1:23">
      <c r="A26" s="93"/>
      <c r="B26" s="119" t="s">
        <v>227</v>
      </c>
      <c r="C26" s="110"/>
      <c r="D26" s="110"/>
      <c r="E26" s="120"/>
      <c r="F26" s="120"/>
      <c r="G26" s="112"/>
      <c r="H26" s="144"/>
      <c r="I26" s="114"/>
      <c r="J26" s="118"/>
      <c r="K26" s="112"/>
      <c r="L26" s="143"/>
      <c r="M26" s="113"/>
      <c r="N26" s="113"/>
      <c r="O26" s="113"/>
      <c r="Q26" s="258"/>
      <c r="R26" s="117"/>
      <c r="S26" s="117"/>
      <c r="T26" s="117"/>
      <c r="U26" s="258"/>
      <c r="V26" s="117"/>
      <c r="W26" s="258"/>
    </row>
    <row r="27" spans="1:23">
      <c r="A27" s="93">
        <f>A25+1</f>
        <v>10</v>
      </c>
      <c r="B27" s="121" t="s">
        <v>219</v>
      </c>
      <c r="C27" s="110" t="s">
        <v>215</v>
      </c>
      <c r="D27" s="110" t="str">
        <f t="shared" ref="D27:E27" si="3">D23</f>
        <v>First</v>
      </c>
      <c r="E27" s="120">
        <f t="shared" si="3"/>
        <v>200</v>
      </c>
      <c r="F27" s="120"/>
      <c r="G27" s="112">
        <v>762745</v>
      </c>
      <c r="H27" s="113">
        <v>0.65959999999999996</v>
      </c>
      <c r="I27" s="112">
        <f>ROUND(G27*H27,0)</f>
        <v>503107</v>
      </c>
      <c r="J27" s="118"/>
      <c r="K27" s="112">
        <f ca="1">M27*G27</f>
        <v>44953.890489451434</v>
      </c>
      <c r="L27" s="143">
        <f ca="1">L30</f>
        <v>8.9352614954258613E-2</v>
      </c>
      <c r="M27" s="113">
        <f t="shared" ref="M27:M29" ca="1" si="4">L27*H27</f>
        <v>5.8936984823828975E-2</v>
      </c>
      <c r="N27" s="113">
        <v>3.9890000000000002E-2</v>
      </c>
      <c r="O27" s="113">
        <f ca="1">M27-N27</f>
        <v>1.9046984823828973E-2</v>
      </c>
      <c r="Q27" s="258"/>
      <c r="R27" s="117"/>
      <c r="S27" s="117"/>
      <c r="T27" s="117"/>
      <c r="U27" s="258"/>
      <c r="V27" s="117"/>
      <c r="W27" s="258"/>
    </row>
    <row r="28" spans="1:23">
      <c r="A28" s="93">
        <f>A27+1</f>
        <v>11</v>
      </c>
      <c r="B28" s="121"/>
      <c r="C28" s="110" t="s">
        <v>217</v>
      </c>
      <c r="D28" s="110" t="str">
        <f>D24</f>
        <v>Next</v>
      </c>
      <c r="E28" s="120">
        <f>E24</f>
        <v>1800</v>
      </c>
      <c r="F28" s="120"/>
      <c r="G28" s="112">
        <v>1376980</v>
      </c>
      <c r="H28" s="113">
        <v>0.51587000000000005</v>
      </c>
      <c r="I28" s="112">
        <f>ROUND(G28*H28,0)</f>
        <v>710343</v>
      </c>
      <c r="J28" s="118"/>
      <c r="K28" s="112">
        <f ca="1">M28*G28</f>
        <v>63470.9753104068</v>
      </c>
      <c r="L28" s="143">
        <f ca="1">L30</f>
        <v>8.9352614954258613E-2</v>
      </c>
      <c r="M28" s="113">
        <f t="shared" ca="1" si="4"/>
        <v>4.6094333476453399E-2</v>
      </c>
      <c r="N28" s="113">
        <v>3.1199999999999999E-2</v>
      </c>
      <c r="O28" s="113">
        <f ca="1">M28-N28</f>
        <v>1.48943334764534E-2</v>
      </c>
      <c r="Q28" s="258"/>
      <c r="R28" s="117"/>
      <c r="S28" s="117"/>
      <c r="T28" s="117"/>
      <c r="U28" s="258"/>
      <c r="V28" s="117"/>
      <c r="W28" s="258"/>
    </row>
    <row r="29" spans="1:23">
      <c r="A29" s="93">
        <f>A28+1</f>
        <v>12</v>
      </c>
      <c r="B29" s="121"/>
      <c r="C29" s="110" t="s">
        <v>226</v>
      </c>
      <c r="D29" s="110" t="str">
        <f>D25</f>
        <v>All Over</v>
      </c>
      <c r="E29" s="120">
        <f>E25</f>
        <v>2000</v>
      </c>
      <c r="F29" s="120"/>
      <c r="G29" s="112">
        <v>573539</v>
      </c>
      <c r="H29" s="113">
        <v>0.44824999999999998</v>
      </c>
      <c r="I29" s="112">
        <f>ROUND(G29*H29,0)</f>
        <v>257089</v>
      </c>
      <c r="J29" s="118"/>
      <c r="K29" s="112">
        <f ca="1">M29*G29</f>
        <v>22971.561626213301</v>
      </c>
      <c r="L29" s="143">
        <f ca="1">L30</f>
        <v>8.9352614954258613E-2</v>
      </c>
      <c r="M29" s="113">
        <f t="shared" ca="1" si="4"/>
        <v>4.0052309653246423E-2</v>
      </c>
      <c r="N29" s="113">
        <v>2.7109999999999999E-2</v>
      </c>
      <c r="O29" s="113">
        <f ca="1">M29-N29</f>
        <v>1.2942309653246425E-2</v>
      </c>
      <c r="Q29" s="258"/>
      <c r="R29" s="117"/>
      <c r="S29" s="117"/>
      <c r="T29" s="117"/>
      <c r="U29" s="258"/>
      <c r="V29" s="117"/>
      <c r="W29" s="258"/>
    </row>
    <row r="30" spans="1:23">
      <c r="A30" s="93">
        <f>A29+1</f>
        <v>13</v>
      </c>
      <c r="B30" s="122" t="s">
        <v>220</v>
      </c>
      <c r="C30" s="95"/>
      <c r="D30" s="110"/>
      <c r="E30" s="120"/>
      <c r="F30" s="120"/>
      <c r="G30" s="145">
        <f>SUM(G23:G29)</f>
        <v>5319886</v>
      </c>
      <c r="H30" s="146"/>
      <c r="I30" s="145">
        <f>SUM(I23:I29)</f>
        <v>3050616</v>
      </c>
      <c r="J30" s="118"/>
      <c r="K30" s="145">
        <f ca="1">'Exhibit 1.2'!G10</f>
        <v>272580.51682130061</v>
      </c>
      <c r="L30" s="137">
        <f ca="1">K30/I30</f>
        <v>8.9352614954258613E-2</v>
      </c>
      <c r="M30" s="145"/>
      <c r="N30" s="145"/>
      <c r="O30" s="145"/>
      <c r="Q30" s="258"/>
      <c r="R30" s="117"/>
      <c r="S30" s="117"/>
      <c r="T30" s="117"/>
      <c r="U30" s="258"/>
      <c r="V30" s="117"/>
      <c r="W30" s="258"/>
    </row>
    <row r="31" spans="1:23">
      <c r="A31" s="93"/>
      <c r="B31" s="122"/>
      <c r="C31" s="95"/>
      <c r="D31" s="110"/>
      <c r="E31" s="120"/>
      <c r="F31" s="120"/>
      <c r="G31" s="147"/>
      <c r="H31" s="148"/>
      <c r="I31" s="147"/>
      <c r="J31" s="118"/>
      <c r="K31" s="147"/>
      <c r="L31" s="138"/>
      <c r="M31" s="147"/>
      <c r="N31" s="147"/>
      <c r="O31" s="147"/>
      <c r="Q31" s="258"/>
      <c r="R31" s="117"/>
      <c r="S31" s="117"/>
      <c r="T31" s="117"/>
      <c r="U31" s="258"/>
      <c r="V31" s="117"/>
      <c r="W31" s="258"/>
    </row>
    <row r="32" spans="1:23" ht="13.5" thickBot="1">
      <c r="A32" s="93"/>
      <c r="B32" s="132"/>
      <c r="C32" s="132"/>
      <c r="D32" s="132"/>
      <c r="E32" s="133"/>
      <c r="F32" s="101"/>
      <c r="G32" s="134"/>
      <c r="H32" s="132"/>
      <c r="I32" s="134"/>
      <c r="J32" s="135"/>
      <c r="K32" s="134"/>
      <c r="L32" s="132"/>
      <c r="M32" s="134"/>
      <c r="N32" s="134"/>
      <c r="O32" s="134"/>
      <c r="Q32" s="258"/>
      <c r="R32" s="117"/>
      <c r="S32" s="117"/>
      <c r="T32" s="117"/>
      <c r="U32" s="258"/>
      <c r="V32" s="117"/>
      <c r="W32" s="258"/>
    </row>
    <row r="33" spans="1:23">
      <c r="A33" s="93"/>
      <c r="B33" s="100"/>
      <c r="C33" s="100"/>
      <c r="D33" s="100"/>
      <c r="E33" s="101"/>
      <c r="F33" s="101"/>
      <c r="G33" s="135"/>
      <c r="H33" s="100"/>
      <c r="I33" s="135"/>
      <c r="J33" s="135"/>
      <c r="K33" s="102" t="s">
        <v>202</v>
      </c>
      <c r="L33" s="100"/>
      <c r="M33" s="102" t="s">
        <v>202</v>
      </c>
      <c r="N33" s="102"/>
      <c r="O33" s="102"/>
      <c r="Q33" s="258"/>
      <c r="R33" s="117"/>
      <c r="S33" s="117"/>
      <c r="T33" s="117"/>
      <c r="U33" s="258"/>
      <c r="V33" s="117"/>
      <c r="W33" s="258"/>
    </row>
    <row r="34" spans="1:23">
      <c r="A34" s="93"/>
      <c r="B34" s="99" t="s">
        <v>228</v>
      </c>
      <c r="C34" s="100"/>
      <c r="D34" s="100"/>
      <c r="E34" s="103"/>
      <c r="F34" s="103"/>
      <c r="G34" s="273" t="s">
        <v>201</v>
      </c>
      <c r="H34" s="273"/>
      <c r="I34" s="273"/>
      <c r="J34" s="100"/>
      <c r="K34" s="102" t="s">
        <v>205</v>
      </c>
      <c r="L34" s="103" t="s">
        <v>222</v>
      </c>
      <c r="M34" s="102" t="s">
        <v>205</v>
      </c>
      <c r="N34" s="102"/>
      <c r="O34" s="102"/>
      <c r="Q34" s="258"/>
      <c r="R34" s="117"/>
      <c r="S34" s="117"/>
      <c r="T34" s="117"/>
      <c r="U34" s="258"/>
      <c r="V34" s="117"/>
      <c r="W34" s="258"/>
    </row>
    <row r="35" spans="1:23" ht="13.5" thickBot="1">
      <c r="A35" s="93"/>
      <c r="B35" s="104" t="s">
        <v>208</v>
      </c>
      <c r="C35" s="105"/>
      <c r="D35" s="105"/>
      <c r="E35" s="106" t="s">
        <v>209</v>
      </c>
      <c r="F35" s="107"/>
      <c r="G35" s="108" t="s">
        <v>209</v>
      </c>
      <c r="H35" s="108" t="s">
        <v>210</v>
      </c>
      <c r="I35" s="109" t="s">
        <v>211</v>
      </c>
      <c r="J35" s="100"/>
      <c r="K35" s="108" t="s">
        <v>154</v>
      </c>
      <c r="L35" s="108" t="s">
        <v>212</v>
      </c>
      <c r="M35" s="108" t="s">
        <v>213</v>
      </c>
      <c r="N35" s="108"/>
      <c r="O35" s="108"/>
      <c r="Q35" s="258"/>
      <c r="R35" s="117"/>
      <c r="S35" s="117"/>
      <c r="T35" s="117"/>
      <c r="U35" s="258"/>
      <c r="V35" s="117"/>
      <c r="W35" s="258"/>
    </row>
    <row r="36" spans="1:23">
      <c r="A36" s="93">
        <f>A30+1</f>
        <v>14</v>
      </c>
      <c r="B36" s="110"/>
      <c r="C36" s="110" t="s">
        <v>215</v>
      </c>
      <c r="D36" s="110" t="s">
        <v>216</v>
      </c>
      <c r="E36" s="149">
        <v>2000</v>
      </c>
      <c r="F36" s="150"/>
      <c r="G36" s="112">
        <v>1336854</v>
      </c>
      <c r="H36" s="113">
        <v>0.23780999999999999</v>
      </c>
      <c r="I36" s="112">
        <f>ROUND(G36*H36,0)</f>
        <v>317917</v>
      </c>
      <c r="J36" s="118"/>
      <c r="K36" s="112">
        <f ca="1">M36*G36</f>
        <v>17903.640776361197</v>
      </c>
      <c r="L36" s="116">
        <f ca="1">L39</f>
        <v>5.6315411607904903E-2</v>
      </c>
      <c r="M36" s="113">
        <f t="shared" ref="M36:M38" ca="1" si="5">L36*H36</f>
        <v>1.3392368034475865E-2</v>
      </c>
      <c r="N36" s="113">
        <v>9.0699999999999999E-3</v>
      </c>
      <c r="O36" s="113">
        <f ca="1">M36-N36</f>
        <v>4.3223680344758649E-3</v>
      </c>
      <c r="Q36" s="258"/>
      <c r="R36" s="117"/>
      <c r="S36" s="117"/>
      <c r="T36" s="117"/>
      <c r="U36" s="258"/>
      <c r="V36" s="117"/>
      <c r="W36" s="258"/>
    </row>
    <row r="37" spans="1:23">
      <c r="A37" s="93">
        <f>A36+1</f>
        <v>15</v>
      </c>
      <c r="B37" s="119"/>
      <c r="C37" s="110" t="s">
        <v>217</v>
      </c>
      <c r="D37" s="110" t="s">
        <v>218</v>
      </c>
      <c r="E37" s="149">
        <v>18000</v>
      </c>
      <c r="F37" s="150"/>
      <c r="G37" s="112">
        <v>1339544</v>
      </c>
      <c r="H37" s="113">
        <v>0.21878</v>
      </c>
      <c r="I37" s="112">
        <f>ROUND(G37*H37,0)</f>
        <v>293065</v>
      </c>
      <c r="J37" s="118"/>
      <c r="K37" s="112">
        <f ca="1">M37*G37</f>
        <v>16504.100674411045</v>
      </c>
      <c r="L37" s="116">
        <f ca="1">L39</f>
        <v>5.6315411607904903E-2</v>
      </c>
      <c r="M37" s="113">
        <f t="shared" ca="1" si="5"/>
        <v>1.2320685751577435E-2</v>
      </c>
      <c r="N37" s="113">
        <v>8.3400000000000002E-3</v>
      </c>
      <c r="O37" s="113">
        <f ca="1">M37-N37</f>
        <v>3.9806857515774351E-3</v>
      </c>
      <c r="Q37" s="258"/>
      <c r="R37" s="117"/>
      <c r="S37" s="117"/>
      <c r="T37" s="117"/>
      <c r="U37" s="258"/>
      <c r="V37" s="117"/>
      <c r="W37" s="258"/>
    </row>
    <row r="38" spans="1:23">
      <c r="A38" s="93">
        <f>A37+1</f>
        <v>16</v>
      </c>
      <c r="B38" s="119"/>
      <c r="C38" s="110" t="s">
        <v>226</v>
      </c>
      <c r="D38" s="110" t="s">
        <v>224</v>
      </c>
      <c r="E38" s="149">
        <v>20000</v>
      </c>
      <c r="F38" s="150"/>
      <c r="G38" s="112">
        <v>8829</v>
      </c>
      <c r="H38" s="113">
        <v>0.20127999999999999</v>
      </c>
      <c r="I38" s="112">
        <f>ROUND(G38*H38,0)</f>
        <v>1777</v>
      </c>
      <c r="J38" s="118"/>
      <c r="K38" s="112">
        <f ca="1">M38*G38</f>
        <v>100.0781810416688</v>
      </c>
      <c r="L38" s="116">
        <f ca="1">L39</f>
        <v>5.6315411607904903E-2</v>
      </c>
      <c r="M38" s="113">
        <f t="shared" ca="1" si="5"/>
        <v>1.1335166048439099E-2</v>
      </c>
      <c r="N38" s="113">
        <v>7.6699999999999997E-3</v>
      </c>
      <c r="O38" s="113">
        <f ca="1">M38-N38</f>
        <v>3.6651660484390992E-3</v>
      </c>
      <c r="Q38" s="258"/>
      <c r="R38" s="117"/>
      <c r="S38" s="117"/>
      <c r="T38" s="117"/>
      <c r="U38" s="258"/>
      <c r="V38" s="117"/>
      <c r="W38" s="258"/>
    </row>
    <row r="39" spans="1:23">
      <c r="A39" s="93">
        <f>A38+1</f>
        <v>17</v>
      </c>
      <c r="B39" s="122" t="s">
        <v>220</v>
      </c>
      <c r="C39" s="95"/>
      <c r="D39" s="110"/>
      <c r="E39" s="120"/>
      <c r="F39" s="120"/>
      <c r="G39" s="145">
        <f>SUM(G36:G38)</f>
        <v>2685227</v>
      </c>
      <c r="H39" s="146"/>
      <c r="I39" s="145">
        <f>SUM(I36:I38)</f>
        <v>612759</v>
      </c>
      <c r="J39" s="118"/>
      <c r="K39" s="145">
        <f ca="1">'Exhibit 1.2'!G12</f>
        <v>34507.7753014482</v>
      </c>
      <c r="L39" s="137">
        <f ca="1">K39/I39</f>
        <v>5.6315411607904903E-2</v>
      </c>
      <c r="M39" s="145"/>
      <c r="N39" s="145"/>
      <c r="O39" s="145"/>
      <c r="Q39" s="258"/>
      <c r="R39" s="117"/>
      <c r="S39" s="117"/>
      <c r="T39" s="117"/>
      <c r="U39" s="258"/>
      <c r="V39" s="117"/>
      <c r="W39" s="258"/>
    </row>
    <row r="40" spans="1:23">
      <c r="A40" s="93"/>
      <c r="B40" s="122"/>
      <c r="C40" s="95"/>
      <c r="D40" s="110"/>
      <c r="E40" s="120"/>
      <c r="F40" s="120"/>
      <c r="G40" s="147"/>
      <c r="H40" s="148"/>
      <c r="I40" s="147"/>
      <c r="J40" s="118"/>
      <c r="K40" s="147"/>
      <c r="L40" s="138"/>
      <c r="M40" s="147"/>
      <c r="N40" s="147"/>
      <c r="O40" s="147"/>
      <c r="Q40" s="258"/>
      <c r="R40" s="117"/>
      <c r="S40" s="117"/>
      <c r="T40" s="117"/>
      <c r="U40" s="258"/>
      <c r="V40" s="117"/>
      <c r="W40" s="258"/>
    </row>
    <row r="41" spans="1:23" ht="13.5" thickBot="1">
      <c r="A41" s="93"/>
      <c r="B41" s="151"/>
      <c r="C41" s="152"/>
      <c r="D41" s="152"/>
      <c r="E41" s="153"/>
      <c r="F41" s="128"/>
      <c r="G41" s="154"/>
      <c r="H41" s="155"/>
      <c r="I41" s="134"/>
      <c r="J41" s="118"/>
      <c r="K41" s="154"/>
      <c r="L41" s="155"/>
      <c r="M41" s="134"/>
      <c r="N41" s="134"/>
      <c r="O41" s="134"/>
      <c r="Q41" s="258"/>
      <c r="R41" s="117"/>
      <c r="S41" s="117"/>
      <c r="T41" s="117"/>
      <c r="U41" s="258"/>
      <c r="V41" s="117"/>
      <c r="W41" s="258"/>
    </row>
    <row r="42" spans="1:23">
      <c r="A42" s="93"/>
      <c r="B42" s="156"/>
      <c r="C42" s="127"/>
      <c r="D42" s="127"/>
      <c r="E42" s="128"/>
      <c r="F42" s="128"/>
      <c r="G42" s="157"/>
      <c r="H42" s="158"/>
      <c r="I42" s="135"/>
      <c r="J42" s="118"/>
      <c r="K42" s="102" t="s">
        <v>202</v>
      </c>
      <c r="L42" s="158"/>
      <c r="M42" s="102" t="s">
        <v>202</v>
      </c>
      <c r="N42" s="102"/>
      <c r="O42" s="102"/>
      <c r="Q42" s="258"/>
      <c r="R42" s="117"/>
      <c r="S42" s="117"/>
      <c r="T42" s="117"/>
      <c r="U42" s="258"/>
      <c r="V42" s="117"/>
      <c r="W42" s="258"/>
    </row>
    <row r="43" spans="1:23">
      <c r="A43" s="93"/>
      <c r="B43" s="99" t="s">
        <v>229</v>
      </c>
      <c r="C43" s="100"/>
      <c r="D43" s="100"/>
      <c r="E43" s="103"/>
      <c r="F43" s="103"/>
      <c r="G43" s="273" t="s">
        <v>201</v>
      </c>
      <c r="H43" s="273"/>
      <c r="I43" s="273"/>
      <c r="J43" s="100"/>
      <c r="K43" s="102" t="s">
        <v>205</v>
      </c>
      <c r="L43" s="103" t="s">
        <v>206</v>
      </c>
      <c r="M43" s="102" t="s">
        <v>205</v>
      </c>
      <c r="N43" s="102"/>
      <c r="O43" s="102"/>
      <c r="Q43" s="258"/>
      <c r="R43" s="117"/>
      <c r="S43" s="117"/>
      <c r="T43" s="117"/>
      <c r="U43" s="258"/>
      <c r="V43" s="117"/>
      <c r="W43" s="258"/>
    </row>
    <row r="44" spans="1:23" ht="13.5" thickBot="1">
      <c r="A44" s="93"/>
      <c r="B44" s="104" t="s">
        <v>208</v>
      </c>
      <c r="C44" s="105"/>
      <c r="D44" s="105"/>
      <c r="E44" s="106" t="s">
        <v>209</v>
      </c>
      <c r="F44" s="107"/>
      <c r="G44" s="108" t="s">
        <v>209</v>
      </c>
      <c r="H44" s="108" t="s">
        <v>210</v>
      </c>
      <c r="I44" s="109" t="s">
        <v>211</v>
      </c>
      <c r="J44" s="100"/>
      <c r="K44" s="108" t="s">
        <v>154</v>
      </c>
      <c r="L44" s="108" t="s">
        <v>212</v>
      </c>
      <c r="M44" s="108" t="s">
        <v>213</v>
      </c>
      <c r="N44" s="108"/>
      <c r="O44" s="108"/>
      <c r="Q44" s="258"/>
      <c r="R44" s="117"/>
      <c r="S44" s="117"/>
      <c r="T44" s="117"/>
      <c r="U44" s="258"/>
      <c r="V44" s="117"/>
      <c r="W44" s="258"/>
    </row>
    <row r="45" spans="1:23">
      <c r="A45" s="93">
        <f>A39+1</f>
        <v>18</v>
      </c>
      <c r="B45" s="110"/>
      <c r="C45" s="110" t="s">
        <v>215</v>
      </c>
      <c r="D45" s="110" t="s">
        <v>216</v>
      </c>
      <c r="E45" s="120">
        <v>10000</v>
      </c>
      <c r="F45" s="120"/>
      <c r="G45" s="112">
        <v>1729099</v>
      </c>
      <c r="H45" s="113">
        <v>0.20574999999999999</v>
      </c>
      <c r="I45" s="112">
        <f>ROUND(G45*H45,0)</f>
        <v>355762</v>
      </c>
      <c r="J45" s="118"/>
      <c r="K45" s="112">
        <f ca="1">M45*G45</f>
        <v>72132.59807297941</v>
      </c>
      <c r="L45" s="116">
        <f ca="1">L49</f>
        <v>0.20275513937528189</v>
      </c>
      <c r="M45" s="113">
        <f t="shared" ref="M45:M47" ca="1" si="6">L45*H45</f>
        <v>4.1716869926464249E-2</v>
      </c>
      <c r="N45" s="113">
        <v>2.8230000000000002E-2</v>
      </c>
      <c r="O45" s="113">
        <f ca="1">M45-N45</f>
        <v>1.3486869926464248E-2</v>
      </c>
      <c r="Q45" s="258"/>
      <c r="R45" s="117"/>
      <c r="S45" s="117"/>
      <c r="T45" s="117"/>
      <c r="U45" s="258"/>
      <c r="V45" s="117"/>
      <c r="W45" s="258"/>
    </row>
    <row r="46" spans="1:23">
      <c r="A46" s="93">
        <f>A45+1</f>
        <v>19</v>
      </c>
      <c r="B46" s="119"/>
      <c r="C46" s="110" t="s">
        <v>217</v>
      </c>
      <c r="D46" s="110" t="s">
        <v>218</v>
      </c>
      <c r="E46" s="120">
        <v>112500</v>
      </c>
      <c r="F46" s="120"/>
      <c r="G46" s="112">
        <v>4855336</v>
      </c>
      <c r="H46" s="113">
        <v>0.19081999999999999</v>
      </c>
      <c r="I46" s="112">
        <f>ROUND(G46*H46,0)</f>
        <v>926495</v>
      </c>
      <c r="J46" s="118"/>
      <c r="K46" s="112">
        <f ca="1">M46*G46</f>
        <v>187851.66655328943</v>
      </c>
      <c r="L46" s="116">
        <f ca="1">L49</f>
        <v>0.20275513937528189</v>
      </c>
      <c r="M46" s="113">
        <f t="shared" ca="1" si="6"/>
        <v>3.8689735695591289E-2</v>
      </c>
      <c r="N46" s="113">
        <v>2.6179999999999998E-2</v>
      </c>
      <c r="O46" s="113">
        <f ca="1">M46-N46</f>
        <v>1.250973569559129E-2</v>
      </c>
      <c r="Q46" s="258"/>
      <c r="R46" s="117"/>
      <c r="S46" s="117"/>
      <c r="T46" s="117"/>
      <c r="U46" s="258"/>
      <c r="V46" s="117"/>
      <c r="W46" s="258"/>
    </row>
    <row r="47" spans="1:23">
      <c r="A47" s="93">
        <f>A46+1</f>
        <v>20</v>
      </c>
      <c r="B47" s="119"/>
      <c r="C47" s="110" t="s">
        <v>226</v>
      </c>
      <c r="D47" s="110" t="s">
        <v>218</v>
      </c>
      <c r="E47" s="120">
        <v>477500</v>
      </c>
      <c r="F47" s="120"/>
      <c r="G47" s="112">
        <v>1916477</v>
      </c>
      <c r="H47" s="113">
        <v>0.12687999999999999</v>
      </c>
      <c r="I47" s="112">
        <f>ROUND(G47*H47,0)</f>
        <v>243163</v>
      </c>
      <c r="J47" s="118"/>
      <c r="K47" s="112">
        <f ca="1">M47*G47</f>
        <v>49302.467210704963</v>
      </c>
      <c r="L47" s="116">
        <f ca="1">L49</f>
        <v>0.20275513937528189</v>
      </c>
      <c r="M47" s="113">
        <f t="shared" ca="1" si="6"/>
        <v>2.5725572083935763E-2</v>
      </c>
      <c r="N47" s="113">
        <v>1.7409999999999998E-2</v>
      </c>
      <c r="O47" s="113">
        <f ca="1">M47-N47</f>
        <v>8.3155720839357648E-3</v>
      </c>
      <c r="Q47" s="258"/>
      <c r="R47" s="117"/>
      <c r="S47" s="117"/>
      <c r="T47" s="117"/>
      <c r="U47" s="258"/>
      <c r="V47" s="117"/>
      <c r="W47" s="258"/>
    </row>
    <row r="48" spans="1:23">
      <c r="A48" s="93">
        <f>A47+1</f>
        <v>21</v>
      </c>
      <c r="B48" s="119"/>
      <c r="C48" s="110" t="s">
        <v>230</v>
      </c>
      <c r="D48" s="110" t="s">
        <v>224</v>
      </c>
      <c r="E48" s="120">
        <v>600000</v>
      </c>
      <c r="F48" s="120"/>
      <c r="G48" s="112">
        <v>0</v>
      </c>
      <c r="H48" s="113">
        <v>2.8029999999999999E-2</v>
      </c>
      <c r="I48" s="112">
        <f>ROUND(G48*H48,0)</f>
        <v>0</v>
      </c>
      <c r="J48" s="118"/>
      <c r="K48" s="112">
        <f>M48*G48</f>
        <v>0</v>
      </c>
      <c r="L48" s="113"/>
      <c r="M48" s="113"/>
      <c r="N48" s="113"/>
      <c r="O48" s="113"/>
      <c r="Q48" s="258"/>
      <c r="R48" s="117"/>
      <c r="S48" s="117"/>
      <c r="T48" s="117"/>
      <c r="U48" s="258"/>
      <c r="V48" s="117"/>
      <c r="W48" s="258"/>
    </row>
    <row r="49" spans="1:23">
      <c r="A49" s="93">
        <f>A48+1</f>
        <v>22</v>
      </c>
      <c r="B49" s="122" t="s">
        <v>220</v>
      </c>
      <c r="C49" s="95"/>
      <c r="D49" s="110"/>
      <c r="E49" s="120"/>
      <c r="F49" s="120"/>
      <c r="G49" s="145">
        <f>SUM(G45:G48)</f>
        <v>8500912</v>
      </c>
      <c r="H49" s="146"/>
      <c r="I49" s="145">
        <f>SUM(I45:I48)</f>
        <v>1525420</v>
      </c>
      <c r="J49" s="118"/>
      <c r="K49" s="145">
        <f ca="1">'Exhibit 1.2'!G15</f>
        <v>309286.74470584252</v>
      </c>
      <c r="L49" s="137">
        <f ca="1">K49/I49</f>
        <v>0.20275513937528189</v>
      </c>
      <c r="M49" s="145"/>
      <c r="N49" s="145"/>
      <c r="O49" s="145"/>
      <c r="Q49" s="258"/>
      <c r="R49" s="117"/>
      <c r="S49" s="117"/>
      <c r="T49" s="117"/>
      <c r="U49" s="258"/>
      <c r="V49" s="117"/>
      <c r="W49" s="258"/>
    </row>
    <row r="50" spans="1:23">
      <c r="A50" s="93"/>
      <c r="B50" s="122"/>
      <c r="C50" s="95"/>
      <c r="D50" s="110"/>
      <c r="E50" s="120"/>
      <c r="F50" s="120"/>
      <c r="G50" s="147"/>
      <c r="H50" s="148"/>
      <c r="I50" s="147"/>
      <c r="J50" s="118"/>
      <c r="K50" s="147"/>
      <c r="L50" s="138"/>
      <c r="M50" s="147"/>
      <c r="N50" s="147"/>
      <c r="O50" s="147"/>
      <c r="Q50" s="258"/>
      <c r="R50" s="117"/>
      <c r="S50" s="117"/>
      <c r="T50" s="117"/>
      <c r="U50" s="258"/>
      <c r="V50" s="117"/>
      <c r="W50" s="258"/>
    </row>
    <row r="51" spans="1:23" ht="13.5" thickBot="1">
      <c r="A51" s="93"/>
      <c r="B51" s="151"/>
      <c r="C51" s="152"/>
      <c r="D51" s="152"/>
      <c r="E51" s="153"/>
      <c r="F51" s="159"/>
      <c r="G51" s="154"/>
      <c r="H51" s="155"/>
      <c r="I51" s="134"/>
      <c r="J51" s="118"/>
      <c r="K51" s="154"/>
      <c r="L51" s="155"/>
      <c r="M51" s="134"/>
      <c r="N51" s="134"/>
      <c r="O51" s="134"/>
      <c r="Q51" s="258"/>
      <c r="R51" s="117"/>
      <c r="S51" s="117"/>
      <c r="T51" s="117"/>
      <c r="U51" s="258"/>
      <c r="V51" s="117"/>
      <c r="W51" s="258"/>
    </row>
    <row r="52" spans="1:23">
      <c r="A52" s="93"/>
      <c r="B52" s="156"/>
      <c r="C52" s="127"/>
      <c r="D52" s="127"/>
      <c r="E52" s="128"/>
      <c r="F52" s="159"/>
      <c r="G52" s="157"/>
      <c r="H52" s="158"/>
      <c r="I52" s="135"/>
      <c r="J52" s="118"/>
      <c r="K52" s="102" t="s">
        <v>202</v>
      </c>
      <c r="L52" s="158"/>
      <c r="M52" s="102" t="s">
        <v>202</v>
      </c>
      <c r="N52" s="102"/>
      <c r="O52" s="102"/>
      <c r="Q52" s="258"/>
      <c r="R52" s="117"/>
      <c r="S52" s="117"/>
      <c r="T52" s="117"/>
      <c r="U52" s="258"/>
      <c r="V52" s="117"/>
      <c r="W52" s="258"/>
    </row>
    <row r="53" spans="1:23">
      <c r="A53" s="93"/>
      <c r="B53" s="99" t="s">
        <v>231</v>
      </c>
      <c r="C53" s="100"/>
      <c r="D53" s="100"/>
      <c r="E53" s="103"/>
      <c r="F53" s="159"/>
      <c r="G53" s="273" t="s">
        <v>201</v>
      </c>
      <c r="H53" s="273"/>
      <c r="I53" s="273"/>
      <c r="J53" s="118"/>
      <c r="K53" s="102" t="s">
        <v>205</v>
      </c>
      <c r="L53" s="103" t="s">
        <v>206</v>
      </c>
      <c r="M53" s="102" t="s">
        <v>205</v>
      </c>
      <c r="N53" s="102"/>
      <c r="O53" s="102"/>
      <c r="Q53" s="258"/>
      <c r="R53" s="117"/>
      <c r="S53" s="117"/>
      <c r="T53" s="117"/>
      <c r="U53" s="258"/>
      <c r="V53" s="117"/>
      <c r="W53" s="258"/>
    </row>
    <row r="54" spans="1:23" ht="13.5" thickBot="1">
      <c r="A54" s="93"/>
      <c r="B54" s="104" t="s">
        <v>208</v>
      </c>
      <c r="C54" s="105"/>
      <c r="D54" s="105"/>
      <c r="E54" s="106" t="s">
        <v>209</v>
      </c>
      <c r="F54" s="159"/>
      <c r="G54" s="108" t="s">
        <v>209</v>
      </c>
      <c r="H54" s="108" t="s">
        <v>210</v>
      </c>
      <c r="I54" s="109" t="s">
        <v>211</v>
      </c>
      <c r="J54" s="118"/>
      <c r="K54" s="108" t="s">
        <v>154</v>
      </c>
      <c r="L54" s="108" t="s">
        <v>212</v>
      </c>
      <c r="M54" s="108" t="s">
        <v>213</v>
      </c>
      <c r="N54" s="108"/>
      <c r="O54" s="108"/>
      <c r="Q54" s="258"/>
      <c r="R54" s="117"/>
      <c r="S54" s="117"/>
      <c r="T54" s="117"/>
      <c r="U54" s="258"/>
      <c r="V54" s="117"/>
      <c r="W54" s="258"/>
    </row>
    <row r="55" spans="1:23">
      <c r="A55" s="93">
        <f>A49+1</f>
        <v>23</v>
      </c>
      <c r="B55" s="110"/>
      <c r="C55" s="110" t="s">
        <v>215</v>
      </c>
      <c r="D55" s="110" t="s">
        <v>216</v>
      </c>
      <c r="E55" s="120">
        <v>20000</v>
      </c>
      <c r="F55" s="159"/>
      <c r="G55" s="112">
        <v>17848162</v>
      </c>
      <c r="H55" s="113">
        <v>0.20175000000000001</v>
      </c>
      <c r="I55" s="112">
        <f>ROUND(G55*H55,0)</f>
        <v>3600867</v>
      </c>
      <c r="J55" s="118"/>
      <c r="K55" s="112">
        <f ca="1">M55*G55</f>
        <v>220246.8125919071</v>
      </c>
      <c r="L55" s="160">
        <f ca="1">L60</f>
        <v>6.1164944984253004E-2</v>
      </c>
      <c r="M55" s="113">
        <f ca="1">L55*H55</f>
        <v>1.2340027650573045E-2</v>
      </c>
      <c r="N55" s="113">
        <v>8.1300000000000001E-3</v>
      </c>
      <c r="O55" s="113">
        <f ca="1">M55-N55</f>
        <v>4.210027650573045E-3</v>
      </c>
      <c r="P55" s="253"/>
      <c r="Q55" s="258"/>
      <c r="R55" s="117"/>
      <c r="S55" s="117"/>
      <c r="T55" s="117"/>
      <c r="U55" s="258"/>
      <c r="V55" s="117"/>
      <c r="W55" s="258"/>
    </row>
    <row r="56" spans="1:23">
      <c r="A56" s="93">
        <f>A55+1</f>
        <v>24</v>
      </c>
      <c r="B56" s="119"/>
      <c r="C56" s="110" t="s">
        <v>217</v>
      </c>
      <c r="D56" s="110" t="s">
        <v>218</v>
      </c>
      <c r="E56" s="120">
        <v>80000</v>
      </c>
      <c r="F56" s="159"/>
      <c r="G56" s="112">
        <v>9469993</v>
      </c>
      <c r="H56" s="113">
        <v>0.15131</v>
      </c>
      <c r="I56" s="112">
        <f>ROUND(G56*H56,0)</f>
        <v>1432905</v>
      </c>
      <c r="J56" s="118"/>
      <c r="K56" s="112">
        <f t="shared" ref="K56:K58" ca="1" si="7">M56*G56</f>
        <v>87643.533524047773</v>
      </c>
      <c r="L56" s="160">
        <f ca="1">L60</f>
        <v>6.1164944984253004E-2</v>
      </c>
      <c r="M56" s="113">
        <f t="shared" ref="M56:M59" ca="1" si="8">L56*H56</f>
        <v>9.2548678255673228E-3</v>
      </c>
      <c r="N56" s="113">
        <v>6.1000000000000004E-3</v>
      </c>
      <c r="O56" s="113">
        <f ca="1">M56-N56</f>
        <v>3.1548678255673224E-3</v>
      </c>
      <c r="P56" s="253"/>
      <c r="Q56" s="258"/>
      <c r="R56" s="117"/>
      <c r="S56" s="117"/>
      <c r="T56" s="117"/>
      <c r="U56" s="258"/>
      <c r="V56" s="117"/>
      <c r="W56" s="258"/>
    </row>
    <row r="57" spans="1:23">
      <c r="A57" s="93">
        <f>A56+1</f>
        <v>25</v>
      </c>
      <c r="B57" s="119"/>
      <c r="C57" s="110" t="s">
        <v>226</v>
      </c>
      <c r="D57" s="110" t="s">
        <v>218</v>
      </c>
      <c r="E57" s="120">
        <v>400000</v>
      </c>
      <c r="F57" s="159"/>
      <c r="G57" s="112">
        <v>5842322</v>
      </c>
      <c r="H57" s="113">
        <v>0.12105</v>
      </c>
      <c r="I57" s="112">
        <f>ROUND(G57*H57,0)</f>
        <v>707213</v>
      </c>
      <c r="J57" s="118"/>
      <c r="K57" s="112">
        <f t="shared" ca="1" si="7"/>
        <v>43256.649014130722</v>
      </c>
      <c r="L57" s="160">
        <f ca="1">L60</f>
        <v>6.1164944984253004E-2</v>
      </c>
      <c r="M57" s="113">
        <f t="shared" ca="1" si="8"/>
        <v>7.4040165903438261E-3</v>
      </c>
      <c r="N57" s="113">
        <v>4.8799999999999998E-3</v>
      </c>
      <c r="O57" s="113">
        <f ca="1">M57-N57</f>
        <v>2.5240165903438264E-3</v>
      </c>
      <c r="P57" s="253"/>
      <c r="Q57" s="258"/>
      <c r="R57" s="117"/>
      <c r="S57" s="117"/>
      <c r="T57" s="117"/>
      <c r="U57" s="258"/>
      <c r="V57" s="117"/>
      <c r="W57" s="258"/>
    </row>
    <row r="58" spans="1:23">
      <c r="A58" s="93">
        <f>A57+1</f>
        <v>26</v>
      </c>
      <c r="B58" s="119"/>
      <c r="C58" s="110" t="s">
        <v>230</v>
      </c>
      <c r="D58" s="110" t="s">
        <v>224</v>
      </c>
      <c r="E58" s="120">
        <v>500000</v>
      </c>
      <c r="F58" s="159"/>
      <c r="G58" s="112">
        <v>508023</v>
      </c>
      <c r="H58" s="161">
        <v>4.8419999999999998E-2</v>
      </c>
      <c r="I58" s="147">
        <f>ROUND(G58*H58,0)</f>
        <v>24598</v>
      </c>
      <c r="J58" s="118"/>
      <c r="K58" s="147">
        <f t="shared" ca="1" si="7"/>
        <v>1504.5642881104966</v>
      </c>
      <c r="L58" s="160">
        <f ca="1">L60</f>
        <v>6.1164944984253004E-2</v>
      </c>
      <c r="M58" s="161">
        <f t="shared" ca="1" si="8"/>
        <v>2.9616066361375305E-3</v>
      </c>
      <c r="N58" s="161">
        <v>1.9499999999999999E-3</v>
      </c>
      <c r="O58" s="161">
        <f ca="1">M58-N58</f>
        <v>1.0116066361375306E-3</v>
      </c>
      <c r="P58" s="253"/>
      <c r="Q58" s="258"/>
      <c r="R58" s="117"/>
      <c r="S58" s="117"/>
      <c r="T58" s="117"/>
      <c r="U58" s="258"/>
      <c r="V58" s="117"/>
      <c r="W58" s="258"/>
    </row>
    <row r="59" spans="1:23">
      <c r="A59" s="93">
        <f>A58+1</f>
        <v>27</v>
      </c>
      <c r="B59" s="162" t="s">
        <v>232</v>
      </c>
      <c r="C59" s="121"/>
      <c r="D59" s="156"/>
      <c r="E59" s="159"/>
      <c r="F59" s="159"/>
      <c r="G59" s="163">
        <v>50991</v>
      </c>
      <c r="H59" s="238">
        <v>19.010000000000002</v>
      </c>
      <c r="I59" s="163">
        <f>G59*H59</f>
        <v>969338.91</v>
      </c>
      <c r="J59" s="118"/>
      <c r="K59" s="163">
        <f ca="1">M59*G59</f>
        <v>59289.561101245774</v>
      </c>
      <c r="L59" s="164">
        <f ca="1">L60</f>
        <v>6.1164944984253004E-2</v>
      </c>
      <c r="M59" s="165">
        <f t="shared" ca="1" si="8"/>
        <v>1.1627456041506496</v>
      </c>
      <c r="N59" s="165">
        <v>0.76617999999999997</v>
      </c>
      <c r="O59" s="165">
        <f ca="1">M59-N59</f>
        <v>0.39656560415064968</v>
      </c>
      <c r="Q59" s="258"/>
      <c r="R59" s="117"/>
      <c r="S59" s="117"/>
      <c r="T59" s="117"/>
      <c r="U59" s="258"/>
      <c r="V59" s="117"/>
      <c r="W59" s="258"/>
    </row>
    <row r="60" spans="1:23">
      <c r="A60" s="93">
        <f>A59+1</f>
        <v>28</v>
      </c>
      <c r="B60" s="162" t="s">
        <v>233</v>
      </c>
      <c r="C60" s="121"/>
      <c r="D60" s="156"/>
      <c r="E60" s="159"/>
      <c r="F60" s="159"/>
      <c r="G60" s="147"/>
      <c r="H60" s="161"/>
      <c r="I60" s="147">
        <f>SUM(I55:I59)</f>
        <v>6734921.9100000001</v>
      </c>
      <c r="J60" s="118"/>
      <c r="K60" s="147">
        <f ca="1">'Exhibit 1.2'!G13</f>
        <v>411941.12809839018</v>
      </c>
      <c r="L60" s="138">
        <f ca="1">K60/I60</f>
        <v>6.1164944984253004E-2</v>
      </c>
      <c r="M60" s="166"/>
      <c r="N60" s="166"/>
      <c r="O60" s="166"/>
      <c r="Q60" s="258"/>
      <c r="R60" s="117"/>
      <c r="S60" s="117"/>
      <c r="T60" s="117"/>
      <c r="U60" s="258"/>
      <c r="V60" s="117"/>
      <c r="W60" s="258"/>
    </row>
    <row r="61" spans="1:23">
      <c r="A61" s="93"/>
      <c r="B61" s="162"/>
      <c r="C61" s="121"/>
      <c r="D61" s="156"/>
      <c r="E61" s="159"/>
      <c r="F61" s="159"/>
      <c r="G61" s="147"/>
      <c r="H61" s="161"/>
      <c r="I61" s="147"/>
      <c r="J61" s="118"/>
      <c r="K61" s="147"/>
      <c r="L61" s="138"/>
      <c r="M61" s="166"/>
      <c r="N61" s="166"/>
      <c r="O61" s="166"/>
      <c r="Q61" s="258"/>
      <c r="R61" s="117"/>
      <c r="S61" s="117"/>
      <c r="T61" s="117"/>
      <c r="U61" s="258"/>
      <c r="V61" s="117"/>
      <c r="W61" s="258"/>
    </row>
    <row r="62" spans="1:23" ht="13.5" thickBot="1">
      <c r="A62" s="93"/>
      <c r="B62" s="151"/>
      <c r="C62" s="167"/>
      <c r="D62" s="151"/>
      <c r="E62" s="168"/>
      <c r="F62" s="159"/>
      <c r="G62" s="169"/>
      <c r="H62" s="170"/>
      <c r="I62" s="134"/>
      <c r="J62" s="100"/>
      <c r="K62" s="134"/>
      <c r="L62" s="170"/>
      <c r="M62" s="134"/>
      <c r="N62" s="134"/>
      <c r="O62" s="134"/>
      <c r="Q62" s="258"/>
      <c r="R62" s="117"/>
      <c r="S62" s="117"/>
      <c r="T62" s="117"/>
      <c r="U62" s="258"/>
      <c r="V62" s="117"/>
      <c r="W62" s="258"/>
    </row>
    <row r="63" spans="1:23">
      <c r="A63" s="93"/>
      <c r="B63" s="156"/>
      <c r="C63" s="121"/>
      <c r="D63" s="156"/>
      <c r="E63" s="159"/>
      <c r="F63" s="159"/>
      <c r="G63" s="147"/>
      <c r="H63" s="166"/>
      <c r="I63" s="135"/>
      <c r="J63" s="100"/>
      <c r="K63" s="102" t="s">
        <v>202</v>
      </c>
      <c r="L63" s="166"/>
      <c r="M63" s="102" t="s">
        <v>202</v>
      </c>
      <c r="N63" s="102"/>
      <c r="O63" s="102"/>
      <c r="Q63" s="258"/>
      <c r="R63" s="117"/>
      <c r="S63" s="117"/>
      <c r="T63" s="117"/>
      <c r="U63" s="258"/>
      <c r="V63" s="117"/>
      <c r="W63" s="258"/>
    </row>
    <row r="64" spans="1:23">
      <c r="A64" s="93"/>
      <c r="B64" s="99" t="s">
        <v>234</v>
      </c>
      <c r="C64" s="100"/>
      <c r="D64" s="100"/>
      <c r="E64" s="103"/>
      <c r="F64" s="103"/>
      <c r="G64" s="273" t="s">
        <v>201</v>
      </c>
      <c r="H64" s="273"/>
      <c r="I64" s="273"/>
      <c r="J64" s="100"/>
      <c r="K64" s="102" t="s">
        <v>205</v>
      </c>
      <c r="L64" s="103" t="s">
        <v>222</v>
      </c>
      <c r="M64" s="102" t="s">
        <v>205</v>
      </c>
      <c r="N64" s="102"/>
      <c r="O64" s="102"/>
      <c r="Q64" s="258"/>
      <c r="R64" s="117"/>
      <c r="S64" s="117"/>
      <c r="T64" s="117"/>
      <c r="U64" s="258"/>
      <c r="V64" s="117"/>
      <c r="W64" s="258"/>
    </row>
    <row r="65" spans="1:23" ht="13.5" thickBot="1">
      <c r="A65" s="93"/>
      <c r="B65" s="104" t="s">
        <v>208</v>
      </c>
      <c r="C65" s="105"/>
      <c r="D65" s="105"/>
      <c r="E65" s="106" t="s">
        <v>209</v>
      </c>
      <c r="F65" s="107"/>
      <c r="G65" s="106" t="s">
        <v>209</v>
      </c>
      <c r="H65" s="106" t="s">
        <v>210</v>
      </c>
      <c r="I65" s="106" t="s">
        <v>211</v>
      </c>
      <c r="J65" s="100"/>
      <c r="K65" s="108" t="s">
        <v>154</v>
      </c>
      <c r="L65" s="108" t="s">
        <v>212</v>
      </c>
      <c r="M65" s="108" t="s">
        <v>213</v>
      </c>
      <c r="N65" s="108"/>
      <c r="O65" s="108"/>
      <c r="Q65" s="258"/>
      <c r="R65" s="117"/>
      <c r="S65" s="117"/>
      <c r="T65" s="117"/>
      <c r="U65" s="258"/>
      <c r="V65" s="117"/>
      <c r="W65" s="258"/>
    </row>
    <row r="66" spans="1:23">
      <c r="A66" s="93">
        <f>A60+1</f>
        <v>29</v>
      </c>
      <c r="B66" s="136" t="s">
        <v>223</v>
      </c>
      <c r="C66" s="110"/>
      <c r="D66" s="110" t="s">
        <v>224</v>
      </c>
      <c r="E66" s="120">
        <v>0</v>
      </c>
      <c r="F66" s="120"/>
      <c r="G66" s="112">
        <v>32270</v>
      </c>
      <c r="H66" s="239">
        <v>0.65141000000000004</v>
      </c>
      <c r="I66" s="171">
        <f>G66*H66</f>
        <v>21021.000700000001</v>
      </c>
      <c r="J66" s="118"/>
      <c r="K66" s="112">
        <f ca="1">'Exhibit 1.2'!G14</f>
        <v>1237.9409545746607</v>
      </c>
      <c r="L66" s="116">
        <f ca="1">K66/I66</f>
        <v>5.8890676625811669E-2</v>
      </c>
      <c r="M66" s="113">
        <f t="shared" ref="M66" ca="1" si="9">L66*H66</f>
        <v>3.8361975660819982E-2</v>
      </c>
      <c r="N66" s="113">
        <v>2.596E-2</v>
      </c>
      <c r="O66" s="113">
        <f ca="1">M66-N66</f>
        <v>1.2401975660819981E-2</v>
      </c>
      <c r="Q66" s="258"/>
      <c r="R66" s="117"/>
      <c r="S66" s="117"/>
      <c r="T66" s="117"/>
      <c r="U66" s="258"/>
      <c r="V66" s="117"/>
      <c r="W66" s="258"/>
    </row>
    <row r="67" spans="1:23">
      <c r="A67" s="93">
        <f>A66+1</f>
        <v>30</v>
      </c>
      <c r="B67" s="122" t="s">
        <v>220</v>
      </c>
      <c r="C67" s="95"/>
      <c r="D67" s="110"/>
      <c r="E67" s="120"/>
      <c r="F67" s="120"/>
      <c r="G67" s="150">
        <f>SUM(G66)</f>
        <v>32270</v>
      </c>
      <c r="H67" s="172"/>
      <c r="I67" s="150">
        <f>SUM(I66)</f>
        <v>21021.000700000001</v>
      </c>
      <c r="J67" s="118"/>
      <c r="K67" s="147"/>
      <c r="L67" s="148"/>
      <c r="M67" s="147"/>
      <c r="N67" s="147"/>
      <c r="O67" s="147"/>
    </row>
    <row r="68" spans="1:23">
      <c r="A68" s="93"/>
      <c r="B68" s="156"/>
      <c r="C68" s="127"/>
      <c r="D68" s="127"/>
      <c r="E68" s="128"/>
      <c r="F68" s="128"/>
      <c r="G68" s="129"/>
      <c r="H68" s="130"/>
      <c r="I68" s="131"/>
      <c r="J68" s="118"/>
      <c r="K68" s="129"/>
      <c r="L68" s="130"/>
      <c r="M68" s="131"/>
      <c r="N68" s="131"/>
      <c r="O68" s="131"/>
    </row>
    <row r="69" spans="1:23" ht="13.5" thickBot="1">
      <c r="A69" s="93">
        <f>A67+1</f>
        <v>31</v>
      </c>
      <c r="B69" s="95"/>
      <c r="C69" s="95"/>
      <c r="D69" s="95"/>
      <c r="E69" s="96"/>
      <c r="F69" s="96"/>
      <c r="G69" s="95"/>
      <c r="H69" s="95"/>
      <c r="I69" s="173" t="s">
        <v>88</v>
      </c>
      <c r="J69" s="97"/>
      <c r="K69" s="174">
        <f ca="1">SUM(K66,K60,K49,K39,K30,K17,K12)</f>
        <v>15909097.711789463</v>
      </c>
      <c r="L69" s="95"/>
      <c r="M69" s="252"/>
      <c r="N69" s="95"/>
      <c r="O69" s="95"/>
    </row>
    <row r="70" spans="1:23" ht="13.5" thickTop="1"/>
    <row r="72" spans="1:23">
      <c r="G72" s="216"/>
    </row>
  </sheetData>
  <mergeCells count="8">
    <mergeCell ref="G53:I53"/>
    <mergeCell ref="G64:I64"/>
    <mergeCell ref="B1:M1"/>
    <mergeCell ref="G4:I4"/>
    <mergeCell ref="G15:I15"/>
    <mergeCell ref="G21:I21"/>
    <mergeCell ref="G34:I34"/>
    <mergeCell ref="G43:I43"/>
  </mergeCells>
  <pageMargins left="0.7" right="0.7" top="0.81968750000000001" bottom="0.75" header="0.3" footer="0.3"/>
  <pageSetup scale="61" orientation="portrait" r:id="rId1"/>
  <headerFooter scaleWithDoc="0">
    <oddHeader>&amp;RQuestar Gas Company
Docket 12-057-15
Exhibit 1.3</oddHeader>
  </headerFooter>
</worksheet>
</file>

<file path=xl/worksheets/sheet6.xml><?xml version="1.0" encoding="utf-8"?>
<worksheet xmlns="http://schemas.openxmlformats.org/spreadsheetml/2006/main" xmlns:r="http://schemas.openxmlformats.org/officeDocument/2006/relationships">
  <sheetPr codeName="Sheet6"/>
  <dimension ref="A1:J39"/>
  <sheetViews>
    <sheetView workbookViewId="0"/>
  </sheetViews>
  <sheetFormatPr defaultRowHeight="12.75"/>
  <cols>
    <col min="1" max="1" width="5" customWidth="1"/>
    <col min="2" max="2" width="8.7109375" bestFit="1" customWidth="1"/>
    <col min="3" max="3" width="9" customWidth="1"/>
    <col min="4" max="4" width="10.42578125" customWidth="1"/>
    <col min="5" max="5" width="14.140625" customWidth="1"/>
    <col min="6" max="6" width="3.5703125" customWidth="1"/>
    <col min="7" max="7" width="12.7109375" customWidth="1"/>
    <col min="8" max="8" width="2.85546875" customWidth="1"/>
    <col min="9" max="9" width="12.7109375" customWidth="1"/>
    <col min="10" max="10" width="2.85546875" customWidth="1"/>
  </cols>
  <sheetData>
    <row r="1" spans="1:10">
      <c r="A1" s="175"/>
      <c r="B1" s="282" t="s">
        <v>235</v>
      </c>
      <c r="C1" s="283"/>
      <c r="D1" s="283"/>
      <c r="E1" s="283"/>
      <c r="F1" s="283"/>
      <c r="G1" s="283"/>
      <c r="H1" s="283"/>
      <c r="I1" s="283"/>
      <c r="J1" s="176"/>
    </row>
    <row r="2" spans="1:10">
      <c r="A2" s="175"/>
      <c r="B2" s="282" t="s">
        <v>236</v>
      </c>
      <c r="C2" s="283"/>
      <c r="D2" s="283"/>
      <c r="E2" s="283"/>
      <c r="F2" s="283"/>
      <c r="G2" s="283"/>
      <c r="H2" s="283"/>
      <c r="I2" s="283"/>
      <c r="J2" s="176"/>
    </row>
    <row r="3" spans="1:10">
      <c r="A3" s="175"/>
      <c r="B3" s="175"/>
      <c r="C3" s="177"/>
      <c r="D3" s="175"/>
      <c r="E3" s="175"/>
      <c r="F3" s="175"/>
      <c r="G3" s="175"/>
      <c r="H3" s="175"/>
      <c r="I3" s="175"/>
      <c r="J3" s="175"/>
    </row>
    <row r="4" spans="1:10">
      <c r="A4" s="175"/>
      <c r="B4" s="175"/>
      <c r="C4" s="177"/>
      <c r="D4" s="175"/>
      <c r="E4" s="175"/>
      <c r="F4" s="175"/>
      <c r="G4" s="175"/>
      <c r="H4" s="175"/>
      <c r="I4" s="175"/>
      <c r="J4" s="175"/>
    </row>
    <row r="5" spans="1:10">
      <c r="A5" s="175"/>
      <c r="B5" s="178" t="s">
        <v>237</v>
      </c>
      <c r="C5" s="178" t="s">
        <v>238</v>
      </c>
      <c r="D5" s="179" t="s">
        <v>239</v>
      </c>
      <c r="E5" s="284" t="s">
        <v>240</v>
      </c>
      <c r="F5" s="284"/>
      <c r="G5" s="284" t="s">
        <v>241</v>
      </c>
      <c r="H5" s="284"/>
      <c r="I5" s="284" t="s">
        <v>242</v>
      </c>
      <c r="J5" s="284"/>
    </row>
    <row r="6" spans="1:10">
      <c r="A6" s="175"/>
      <c r="B6" s="180"/>
      <c r="C6" s="176"/>
      <c r="D6" s="180"/>
      <c r="E6" s="282" t="s">
        <v>243</v>
      </c>
      <c r="F6" s="283"/>
      <c r="G6" s="282" t="s">
        <v>244</v>
      </c>
      <c r="H6" s="283"/>
      <c r="I6" s="180"/>
      <c r="J6" s="180"/>
    </row>
    <row r="7" spans="1:10">
      <c r="A7" s="181"/>
      <c r="B7" s="182" t="s">
        <v>213</v>
      </c>
      <c r="C7" s="182"/>
      <c r="D7" s="183" t="s">
        <v>245</v>
      </c>
      <c r="E7" s="275" t="s">
        <v>246</v>
      </c>
      <c r="F7" s="276"/>
      <c r="G7" s="277" t="s">
        <v>247</v>
      </c>
      <c r="H7" s="278"/>
      <c r="I7" s="184"/>
      <c r="J7" s="184"/>
    </row>
    <row r="8" spans="1:10" ht="13.5" thickBot="1">
      <c r="A8" s="185"/>
      <c r="B8" s="186" t="s">
        <v>248</v>
      </c>
      <c r="C8" s="186" t="s">
        <v>249</v>
      </c>
      <c r="D8" s="187" t="s">
        <v>250</v>
      </c>
      <c r="E8" s="279">
        <f>A39</f>
        <v>41153</v>
      </c>
      <c r="F8" s="279"/>
      <c r="G8" s="280" t="s">
        <v>251</v>
      </c>
      <c r="H8" s="281"/>
      <c r="I8" s="188" t="s">
        <v>252</v>
      </c>
      <c r="J8" s="186"/>
    </row>
    <row r="9" spans="1:10">
      <c r="A9" s="175"/>
      <c r="B9" s="175"/>
      <c r="C9" s="177"/>
      <c r="D9" s="175"/>
      <c r="E9" s="175"/>
      <c r="F9" s="175"/>
      <c r="G9" s="175"/>
      <c r="H9" s="175"/>
      <c r="I9" s="175"/>
      <c r="J9" s="175"/>
    </row>
    <row r="10" spans="1:10">
      <c r="A10" s="177">
        <v>1</v>
      </c>
      <c r="B10" s="177" t="s">
        <v>182</v>
      </c>
      <c r="C10" s="177" t="s">
        <v>253</v>
      </c>
      <c r="D10" s="189">
        <v>14.9</v>
      </c>
      <c r="E10" s="190">
        <f>ROUND((D10*$D$39)+$B$39,2)</f>
        <v>122.92</v>
      </c>
      <c r="F10" s="190"/>
      <c r="G10" s="190">
        <f ca="1">ROUND((D10*$D$36)+$B$36,2)</f>
        <v>123.79</v>
      </c>
      <c r="H10" s="190"/>
      <c r="I10" s="190">
        <f ca="1">G10-E10</f>
        <v>0.87000000000000455</v>
      </c>
      <c r="J10" s="190"/>
    </row>
    <row r="11" spans="1:10">
      <c r="A11" s="177">
        <f t="shared" ref="A11:A21" si="0">A10+1</f>
        <v>2</v>
      </c>
      <c r="B11" s="175"/>
      <c r="C11" s="177" t="s">
        <v>254</v>
      </c>
      <c r="D11" s="189">
        <v>12.5</v>
      </c>
      <c r="E11" s="191">
        <f>ROUND((D11*$D$39)+$B$39,2)</f>
        <v>103.93</v>
      </c>
      <c r="F11" s="191"/>
      <c r="G11" s="191">
        <f t="shared" ref="G11:G12" ca="1" si="1">ROUND((D11*$D$36)+$B$36,2)</f>
        <v>104.66</v>
      </c>
      <c r="H11" s="191"/>
      <c r="I11" s="191">
        <f t="shared" ref="I11:I21" ca="1" si="2">G11-E11</f>
        <v>0.72999999999998977</v>
      </c>
      <c r="J11" s="191"/>
    </row>
    <row r="12" spans="1:10">
      <c r="A12" s="177">
        <f t="shared" si="0"/>
        <v>3</v>
      </c>
      <c r="B12" s="175"/>
      <c r="C12" s="177" t="s">
        <v>255</v>
      </c>
      <c r="D12" s="189">
        <v>10.1</v>
      </c>
      <c r="E12" s="191">
        <f>ROUND((D12*$D$39)+$B$39,2)</f>
        <v>84.93</v>
      </c>
      <c r="F12" s="191"/>
      <c r="G12" s="191">
        <f t="shared" ca="1" si="1"/>
        <v>85.52</v>
      </c>
      <c r="H12" s="191"/>
      <c r="I12" s="191">
        <f t="shared" ca="1" si="2"/>
        <v>0.5899999999999892</v>
      </c>
      <c r="J12" s="191"/>
    </row>
    <row r="13" spans="1:10">
      <c r="A13" s="177">
        <f t="shared" si="0"/>
        <v>4</v>
      </c>
      <c r="B13" s="175"/>
      <c r="C13" s="177" t="s">
        <v>256</v>
      </c>
      <c r="D13" s="189">
        <v>8.3000000000000007</v>
      </c>
      <c r="E13" s="191">
        <f>ROUND((D13*$C$39)+$B$39,2)</f>
        <v>62.76</v>
      </c>
      <c r="F13" s="191"/>
      <c r="G13" s="191">
        <f ca="1">ROUND((D13*$C$36)+$B$36,2)</f>
        <v>63.17</v>
      </c>
      <c r="H13" s="191"/>
      <c r="I13" s="191">
        <f t="shared" ca="1" si="2"/>
        <v>0.41000000000000369</v>
      </c>
      <c r="J13" s="191"/>
    </row>
    <row r="14" spans="1:10">
      <c r="A14" s="177">
        <f t="shared" si="0"/>
        <v>5</v>
      </c>
      <c r="B14" s="175"/>
      <c r="C14" s="177" t="s">
        <v>257</v>
      </c>
      <c r="D14" s="189">
        <v>4.4000000000000004</v>
      </c>
      <c r="E14" s="191">
        <f t="shared" ref="E14:E19" si="3">ROUND((D14*$C$39)+$B$39,2)</f>
        <v>35.619999999999997</v>
      </c>
      <c r="F14" s="191"/>
      <c r="G14" s="191">
        <f t="shared" ref="G14:G19" ca="1" si="4">ROUND((D14*$C$36)+$B$36,2)</f>
        <v>35.840000000000003</v>
      </c>
      <c r="H14" s="191"/>
      <c r="I14" s="191">
        <f t="shared" ca="1" si="2"/>
        <v>0.22000000000000597</v>
      </c>
      <c r="J14" s="191"/>
    </row>
    <row r="15" spans="1:10">
      <c r="A15" s="177">
        <f t="shared" si="0"/>
        <v>6</v>
      </c>
      <c r="B15" s="175"/>
      <c r="C15" s="177" t="s">
        <v>258</v>
      </c>
      <c r="D15" s="189">
        <v>3.1</v>
      </c>
      <c r="E15" s="191">
        <f t="shared" si="3"/>
        <v>26.57</v>
      </c>
      <c r="F15" s="191"/>
      <c r="G15" s="191">
        <f t="shared" ca="1" si="4"/>
        <v>26.73</v>
      </c>
      <c r="H15" s="191"/>
      <c r="I15" s="191">
        <f t="shared" ca="1" si="2"/>
        <v>0.16000000000000014</v>
      </c>
      <c r="J15" s="191"/>
    </row>
    <row r="16" spans="1:10">
      <c r="A16" s="177">
        <f t="shared" si="0"/>
        <v>7</v>
      </c>
      <c r="B16" s="175"/>
      <c r="C16" s="177" t="s">
        <v>259</v>
      </c>
      <c r="D16" s="189">
        <v>2</v>
      </c>
      <c r="E16" s="191">
        <f t="shared" si="3"/>
        <v>18.920000000000002</v>
      </c>
      <c r="F16" s="191"/>
      <c r="G16" s="191">
        <f t="shared" ca="1" si="4"/>
        <v>19.02</v>
      </c>
      <c r="H16" s="191"/>
      <c r="I16" s="191">
        <f t="shared" ca="1" si="2"/>
        <v>9.9999999999997868E-2</v>
      </c>
      <c r="J16" s="191"/>
    </row>
    <row r="17" spans="1:10">
      <c r="A17" s="177">
        <f t="shared" si="0"/>
        <v>8</v>
      </c>
      <c r="B17" s="175"/>
      <c r="C17" s="177" t="s">
        <v>260</v>
      </c>
      <c r="D17" s="189">
        <v>1.8</v>
      </c>
      <c r="E17" s="191">
        <f t="shared" si="3"/>
        <v>17.53</v>
      </c>
      <c r="F17" s="191"/>
      <c r="G17" s="191">
        <f t="shared" ca="1" si="4"/>
        <v>17.61</v>
      </c>
      <c r="H17" s="191"/>
      <c r="I17" s="191">
        <f t="shared" ca="1" si="2"/>
        <v>7.9999999999998295E-2</v>
      </c>
      <c r="J17" s="191"/>
    </row>
    <row r="18" spans="1:10">
      <c r="A18" s="177">
        <f t="shared" si="0"/>
        <v>9</v>
      </c>
      <c r="B18" s="175"/>
      <c r="C18" s="177" t="s">
        <v>261</v>
      </c>
      <c r="D18" s="189">
        <v>2</v>
      </c>
      <c r="E18" s="191">
        <f t="shared" si="3"/>
        <v>18.920000000000002</v>
      </c>
      <c r="F18" s="191"/>
      <c r="G18" s="191">
        <f t="shared" ca="1" si="4"/>
        <v>19.02</v>
      </c>
      <c r="H18" s="191"/>
      <c r="I18" s="191">
        <f t="shared" ca="1" si="2"/>
        <v>9.9999999999997868E-2</v>
      </c>
      <c r="J18" s="191"/>
    </row>
    <row r="19" spans="1:10">
      <c r="A19" s="177">
        <f t="shared" si="0"/>
        <v>10</v>
      </c>
      <c r="B19" s="175"/>
      <c r="C19" s="177" t="s">
        <v>262</v>
      </c>
      <c r="D19" s="189">
        <v>3.1</v>
      </c>
      <c r="E19" s="191">
        <f t="shared" si="3"/>
        <v>26.57</v>
      </c>
      <c r="F19" s="191"/>
      <c r="G19" s="191">
        <f t="shared" ca="1" si="4"/>
        <v>26.73</v>
      </c>
      <c r="H19" s="191"/>
      <c r="I19" s="191">
        <f t="shared" ca="1" si="2"/>
        <v>0.16000000000000014</v>
      </c>
      <c r="J19" s="191"/>
    </row>
    <row r="20" spans="1:10">
      <c r="A20" s="177">
        <f t="shared" si="0"/>
        <v>11</v>
      </c>
      <c r="B20" s="175"/>
      <c r="C20" s="177" t="s">
        <v>263</v>
      </c>
      <c r="D20" s="189">
        <v>6.3</v>
      </c>
      <c r="E20" s="191">
        <f>ROUND((D20*$D$39)+$B$39,2)</f>
        <v>54.86</v>
      </c>
      <c r="F20" s="191"/>
      <c r="G20" s="191">
        <f t="shared" ref="G20:G21" ca="1" si="5">ROUND((D20*$D$36)+$B$36,2)</f>
        <v>55.23</v>
      </c>
      <c r="H20" s="191"/>
      <c r="I20" s="191">
        <f t="shared" ca="1" si="2"/>
        <v>0.36999999999999744</v>
      </c>
      <c r="J20" s="191"/>
    </row>
    <row r="21" spans="1:10">
      <c r="A21" s="177">
        <f t="shared" si="0"/>
        <v>12</v>
      </c>
      <c r="B21" s="175"/>
      <c r="C21" s="177" t="s">
        <v>264</v>
      </c>
      <c r="D21" s="189">
        <v>11.5</v>
      </c>
      <c r="E21" s="191">
        <f>ROUND((D21*$D$39)+$B$39,2)</f>
        <v>96.01</v>
      </c>
      <c r="F21" s="191"/>
      <c r="G21" s="191">
        <f t="shared" ca="1" si="5"/>
        <v>96.68</v>
      </c>
      <c r="H21" s="191"/>
      <c r="I21" s="191">
        <f t="shared" ca="1" si="2"/>
        <v>0.67000000000000171</v>
      </c>
      <c r="J21" s="191"/>
    </row>
    <row r="22" spans="1:10" ht="13.5" thickBot="1">
      <c r="A22" s="177"/>
      <c r="B22" s="175"/>
      <c r="C22" s="177"/>
      <c r="D22" s="192"/>
      <c r="E22" s="193"/>
      <c r="F22" s="193"/>
      <c r="G22" s="193"/>
      <c r="H22" s="193"/>
      <c r="I22" s="194"/>
      <c r="J22" s="195"/>
    </row>
    <row r="23" spans="1:10" ht="13.5" thickTop="1">
      <c r="A23" s="177"/>
      <c r="B23" s="175"/>
      <c r="C23" s="177"/>
      <c r="D23" s="196"/>
      <c r="E23" s="197"/>
      <c r="F23" s="197"/>
      <c r="G23" s="177"/>
      <c r="H23" s="177"/>
      <c r="I23" s="197" t="s">
        <v>265</v>
      </c>
      <c r="J23" s="197"/>
    </row>
    <row r="24" spans="1:10">
      <c r="A24" s="177">
        <f>A21+1</f>
        <v>13</v>
      </c>
      <c r="B24" s="175"/>
      <c r="C24" s="198" t="s">
        <v>88</v>
      </c>
      <c r="D24" s="199">
        <f>SUM(D10:D23)</f>
        <v>80</v>
      </c>
      <c r="E24" s="190">
        <f>SUM(E10:E21)</f>
        <v>669.54000000000008</v>
      </c>
      <c r="F24" s="190"/>
      <c r="G24" s="190">
        <f ca="1">SUM(G10:G21)</f>
        <v>674</v>
      </c>
      <c r="H24" s="190"/>
      <c r="I24" s="190">
        <f ca="1">SUM(I10:I21)</f>
        <v>4.4599999999999866</v>
      </c>
      <c r="J24" s="190"/>
    </row>
    <row r="25" spans="1:10">
      <c r="A25" s="175"/>
      <c r="B25" s="175"/>
      <c r="C25" s="177"/>
      <c r="D25" s="175"/>
      <c r="E25" s="200"/>
      <c r="F25" s="200"/>
      <c r="G25" s="175"/>
      <c r="H25" s="175"/>
      <c r="I25" s="175"/>
      <c r="J25" s="175"/>
    </row>
    <row r="26" spans="1:10">
      <c r="A26" s="175"/>
      <c r="B26" s="175" t="s">
        <v>265</v>
      </c>
      <c r="C26" s="177"/>
      <c r="D26" s="175"/>
      <c r="E26" s="175"/>
      <c r="F26" s="175"/>
      <c r="G26" s="201" t="s">
        <v>266</v>
      </c>
      <c r="H26" s="201"/>
      <c r="I26" s="202">
        <f ca="1">ROUND(I24/E24,4)*100</f>
        <v>0.67</v>
      </c>
      <c r="J26" s="203" t="s">
        <v>267</v>
      </c>
    </row>
    <row r="34" spans="1:4">
      <c r="A34" s="204"/>
      <c r="B34" s="205"/>
      <c r="C34" s="74" t="s">
        <v>219</v>
      </c>
      <c r="D34" s="74" t="s">
        <v>214</v>
      </c>
    </row>
    <row r="35" spans="1:4" ht="13.5" thickBot="1">
      <c r="A35" s="205"/>
      <c r="B35" s="206" t="s">
        <v>268</v>
      </c>
      <c r="C35" s="207" t="s">
        <v>269</v>
      </c>
      <c r="D35" s="207" t="s">
        <v>269</v>
      </c>
    </row>
    <row r="36" spans="1:4">
      <c r="A36" s="208" t="s">
        <v>270</v>
      </c>
      <c r="B36" s="209">
        <v>5</v>
      </c>
      <c r="C36" s="210">
        <f ca="1">C39+'Exhibit 1.3'!O10</f>
        <v>7.0082521352002711</v>
      </c>
      <c r="D36" s="210">
        <f ca="1">D39+'Exhibit 1.3'!O7</f>
        <v>7.9725345535012977</v>
      </c>
    </row>
    <row r="37" spans="1:4">
      <c r="A37" s="208"/>
      <c r="B37" s="209"/>
      <c r="C37" s="210"/>
      <c r="D37" s="210"/>
    </row>
    <row r="38" spans="1:4">
      <c r="A38" s="205" t="s">
        <v>271</v>
      </c>
      <c r="B38" s="209"/>
      <c r="C38" s="211"/>
      <c r="D38" s="211"/>
    </row>
    <row r="39" spans="1:4">
      <c r="A39" s="212">
        <v>41153</v>
      </c>
      <c r="B39" s="209">
        <v>5</v>
      </c>
      <c r="C39" s="213">
        <v>6.9591399999999997</v>
      </c>
      <c r="D39" s="213">
        <v>7.9142299999999999</v>
      </c>
    </row>
  </sheetData>
  <mergeCells count="11">
    <mergeCell ref="E7:F7"/>
    <mergeCell ref="G7:H7"/>
    <mergeCell ref="E8:F8"/>
    <mergeCell ref="G8:H8"/>
    <mergeCell ref="B1:I1"/>
    <mergeCell ref="B2:I2"/>
    <mergeCell ref="E5:F5"/>
    <mergeCell ref="G5:H5"/>
    <mergeCell ref="I5:J5"/>
    <mergeCell ref="E6:F6"/>
    <mergeCell ref="G6:H6"/>
  </mergeCells>
  <pageMargins left="0.7" right="0.7" top="0.84375" bottom="0.75" header="0.3" footer="0.3"/>
  <pageSetup orientation="portrait" r:id="rId1"/>
  <headerFooter scaleWithDoc="0">
    <oddHeader>&amp;RQuestar Gas Company
Docket 12-057-15
Exhibit 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Calculations</vt:lpstr>
      <vt:lpstr>Exhibit 1.1</vt:lpstr>
      <vt:lpstr>Exhibit 1.1 Page 5</vt:lpstr>
      <vt:lpstr>Exhibit 1.2</vt:lpstr>
      <vt:lpstr>Exhibit 1.3</vt:lpstr>
      <vt:lpstr>Exhibit 1.4</vt:lpstr>
      <vt:lpstr>Cumulative_Investment</vt:lpstr>
      <vt:lpstr>'Exhibit 1.1'!Print_Area</vt:lpstr>
      <vt:lpstr>'Exhibit 1.1 Page 5'!Print_Area</vt:lpstr>
      <vt:lpstr>'Exhibit 1.2'!Print_Area</vt:lpstr>
      <vt:lpstr>'Exhibit 1.3'!Print_Area</vt:lpstr>
      <vt:lpstr>'Exhibit 1.4'!Print_Area</vt:lpstr>
      <vt:lpstr>'Exhibit 1.1'!Print_Titles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Summers</dc:creator>
  <cp:lastModifiedBy>Melissa Robyn Paschal</cp:lastModifiedBy>
  <cp:lastPrinted>2012-11-07T18:31:18Z</cp:lastPrinted>
  <dcterms:created xsi:type="dcterms:W3CDTF">2011-08-18T22:49:59Z</dcterms:created>
  <dcterms:modified xsi:type="dcterms:W3CDTF">2012-11-28T22:08:47Z</dcterms:modified>
</cp:coreProperties>
</file>