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3260" tabRatio="500" firstSheet="24" activeTab="25"/>
  </bookViews>
  <sheets>
    <sheet name="A1" sheetId="1" r:id="rId1"/>
    <sheet name="A2" sheetId="2" r:id="rId2"/>
    <sheet name="A3" sheetId="3" r:id="rId3"/>
    <sheet name="A4" sheetId="4" r:id="rId4"/>
    <sheet name="GAS GROUP INPUT P1" sheetId="5" r:id="rId5"/>
    <sheet name="GAS GROUP INPUT P2" sheetId="6" r:id="rId6"/>
    <sheet name="OCS 2.3" sheetId="7" r:id="rId7"/>
    <sheet name="A5" sheetId="8" r:id="rId8"/>
    <sheet name="A6" sheetId="9" r:id="rId9"/>
    <sheet name="OCS-2.4" sheetId="10" r:id="rId10"/>
    <sheet name="A7" sheetId="11" r:id="rId11"/>
    <sheet name="A8" sheetId="12" r:id="rId12"/>
    <sheet name="OCS-2.5" sheetId="13" r:id="rId13"/>
    <sheet name="A9" sheetId="14" r:id="rId14"/>
    <sheet name="A10" sheetId="15" r:id="rId15"/>
    <sheet name="OCS-2.6" sheetId="16" r:id="rId16"/>
    <sheet name="A11" sheetId="17" r:id="rId17"/>
    <sheet name="A12" sheetId="18" r:id="rId18"/>
    <sheet name="OCS-2.7" sheetId="19" r:id="rId19"/>
    <sheet name="OCS-2.8" sheetId="22" r:id="rId20"/>
    <sheet name="A13" sheetId="20" r:id="rId21"/>
    <sheet name="A14" sheetId="21" r:id="rId22"/>
    <sheet name="OCS-2.9" sheetId="23" r:id="rId23"/>
    <sheet name="A15" sheetId="24" r:id="rId24"/>
    <sheet name="A16" sheetId="25" r:id="rId25"/>
    <sheet name="OCS-2.10" sheetId="26" r:id="rId26"/>
    <sheet name="A17" sheetId="27" r:id="rId27"/>
    <sheet name="A18" sheetId="28" r:id="rId28"/>
    <sheet name="A19" sheetId="29" r:id="rId29"/>
    <sheet name="A20" sheetId="30" r:id="rId30"/>
    <sheet name="OCS-2.6 P.2" sheetId="31" r:id="rId31"/>
    <sheet name="A21" sheetId="32" r:id="rId32"/>
    <sheet name="A22" sheetId="33" r:id="rId33"/>
    <sheet name="OCS-2.11" sheetId="34" r:id="rId34"/>
    <sheet name="OCS 2.12" sheetId="35" r:id="rId35"/>
    <sheet name="A24" sheetId="36" r:id="rId36"/>
    <sheet name="A25" sheetId="37" r:id="rId37"/>
    <sheet name="A26" sheetId="38" r:id="rId38"/>
    <sheet name="A27" sheetId="39" r:id="rId39"/>
    <sheet name="A28" sheetId="40" r:id="rId40"/>
  </sheets>
  <definedNames>
    <definedName name="_xlnm.Print_Area" localSheetId="0">'A1'!#REF!</definedName>
    <definedName name="_xlnm.Print_Area" localSheetId="14">'A10'!#REF!</definedName>
    <definedName name="_xlnm.Print_Area" localSheetId="16">'A11'!#REF!</definedName>
    <definedName name="_xlnm.Print_Area" localSheetId="17">'A12'!#REF!</definedName>
    <definedName name="_xlnm.Print_Area" localSheetId="20">'A13'!#REF!</definedName>
    <definedName name="_xlnm.Print_Area" localSheetId="21">'A14'!#REF!</definedName>
    <definedName name="_xlnm.Print_Area" localSheetId="23">'A15'!#REF!</definedName>
    <definedName name="_xlnm.Print_Area" localSheetId="24">'A16'!#REF!</definedName>
    <definedName name="_xlnm.Print_Area" localSheetId="26">'A17'!#REF!</definedName>
    <definedName name="_xlnm.Print_Area" localSheetId="28">'A19'!#REF!</definedName>
    <definedName name="_xlnm.Print_Area" localSheetId="1">'A2'!#REF!</definedName>
    <definedName name="_xlnm.Print_Area" localSheetId="29">'A20'!$A$1:$B$47</definedName>
    <definedName name="_xlnm.Print_Area" localSheetId="31">'A21'!#REF!</definedName>
    <definedName name="_xlnm.Print_Area" localSheetId="32">'A22'!#REF!</definedName>
    <definedName name="_xlnm.Print_Area" localSheetId="35">'A24'!#REF!</definedName>
    <definedName name="_xlnm.Print_Area" localSheetId="36">'A25'!#REF!</definedName>
    <definedName name="_xlnm.Print_Area" localSheetId="39">'A28'!#REF!</definedName>
    <definedName name="_xlnm.Print_Area" localSheetId="2">'A3'!#REF!</definedName>
    <definedName name="_xlnm.Print_Area" localSheetId="3">'A4'!#REF!</definedName>
    <definedName name="_xlnm.Print_Area" localSheetId="7">'A5'!#REF!</definedName>
    <definedName name="_xlnm.Print_Area" localSheetId="8">'A6'!#REF!</definedName>
    <definedName name="_xlnm.Print_Area" localSheetId="10">'A7'!#REF!</definedName>
    <definedName name="_xlnm.Print_Area" localSheetId="11">'A8'!#REF!</definedName>
    <definedName name="_xlnm.Print_Area" localSheetId="13">'A9'!#REF!</definedName>
    <definedName name="_xlnm.Print_Area" localSheetId="4">'GAS GROUP INPUT P1'!$A$1:$Y$22</definedName>
    <definedName name="_xlnm.Print_Area" localSheetId="5">'GAS GROUP INPUT P2'!$A$1:$V$25</definedName>
    <definedName name="_xlnm.Print_Area" localSheetId="34">'OCS 2.12'!$A$1:$E$28</definedName>
    <definedName name="_xlnm.Print_Area" localSheetId="6">'OCS 2.3'!$A$1:$F$74</definedName>
    <definedName name="_xlnm.Print_Area" localSheetId="25">'OCS-2.10'!$A$1:$H$27</definedName>
    <definedName name="_xlnm.Print_Area" localSheetId="33">'OCS-2.11'!$A$1:$F$50</definedName>
    <definedName name="_xlnm.Print_Area" localSheetId="9">'OCS-2.4'!$A$1:$J$23</definedName>
    <definedName name="_xlnm.Print_Area" localSheetId="12">'OCS-2.5'!$A$1:$AA$26</definedName>
    <definedName name="_xlnm.Print_Area" localSheetId="15">'OCS-2.6'!$A$1:$R$30</definedName>
    <definedName name="_xlnm.Print_Area" localSheetId="30">'OCS-2.6 P.2'!$A$1:$U$30</definedName>
    <definedName name="_xlnm.Print_Area" localSheetId="18">'OCS-2.7'!$A$1:$J$34</definedName>
    <definedName name="_xlnm.Print_Area" localSheetId="19">'OCS-2.8'!$A$5:$O$33</definedName>
    <definedName name="_xlnm.Print_Area" localSheetId="22">'OCS-2.9'!$A$1:$H$65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35"/>
  <c r="A14"/>
  <c r="A15"/>
  <c r="A16"/>
  <c r="A17"/>
  <c r="A18"/>
  <c r="A19"/>
  <c r="A20"/>
  <c r="A21"/>
  <c r="A22"/>
  <c r="A23"/>
  <c r="A24"/>
  <c r="A25"/>
  <c r="A26"/>
  <c r="A27"/>
  <c r="A12"/>
  <c r="C14"/>
  <c r="C25"/>
  <c r="C15"/>
  <c r="C18"/>
  <c r="D18"/>
  <c r="C19"/>
  <c r="D19"/>
  <c r="C20"/>
  <c r="D20"/>
  <c r="D21"/>
  <c r="C27"/>
  <c r="C21"/>
  <c r="E44" i="34"/>
  <c r="C44"/>
  <c r="E43"/>
  <c r="C43"/>
  <c r="E37"/>
  <c r="C37"/>
  <c r="A37"/>
  <c r="A38"/>
  <c r="A39"/>
  <c r="A40"/>
  <c r="A41"/>
  <c r="A42"/>
  <c r="A43"/>
  <c r="A44"/>
  <c r="A45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D21"/>
  <c r="C22"/>
  <c r="C21"/>
  <c r="J18" i="31"/>
  <c r="R18" i="6"/>
  <c r="I18" i="31"/>
  <c r="K18"/>
  <c r="L18"/>
  <c r="D18"/>
  <c r="F18"/>
  <c r="H18"/>
  <c r="M18"/>
  <c r="E18"/>
  <c r="G18"/>
  <c r="N18"/>
  <c r="O18"/>
  <c r="Q18"/>
  <c r="P18"/>
  <c r="R18"/>
  <c r="S18"/>
  <c r="T18"/>
  <c r="U18"/>
  <c r="Q18" i="16"/>
  <c r="M18" i="22"/>
  <c r="J17" i="31"/>
  <c r="R17" i="6"/>
  <c r="I17" i="31"/>
  <c r="K17"/>
  <c r="L17"/>
  <c r="D17"/>
  <c r="F17"/>
  <c r="H17"/>
  <c r="M17"/>
  <c r="E17"/>
  <c r="G17"/>
  <c r="N17"/>
  <c r="O17"/>
  <c r="Q17"/>
  <c r="P17"/>
  <c r="R17"/>
  <c r="S17"/>
  <c r="T17"/>
  <c r="U17"/>
  <c r="Q17" i="16"/>
  <c r="M17" i="22"/>
  <c r="J16" i="31"/>
  <c r="R16" i="6"/>
  <c r="I16" i="31"/>
  <c r="K16"/>
  <c r="L16"/>
  <c r="D16"/>
  <c r="F16"/>
  <c r="H16"/>
  <c r="M16"/>
  <c r="E16"/>
  <c r="G16"/>
  <c r="N16"/>
  <c r="O16"/>
  <c r="Q16"/>
  <c r="P16"/>
  <c r="R16"/>
  <c r="S16"/>
  <c r="T16"/>
  <c r="U16"/>
  <c r="Q16" i="16"/>
  <c r="M16" i="22"/>
  <c r="J15" i="31"/>
  <c r="R15" i="6"/>
  <c r="I15" i="31"/>
  <c r="K15"/>
  <c r="L15"/>
  <c r="D15"/>
  <c r="F15"/>
  <c r="H15"/>
  <c r="M15"/>
  <c r="E15"/>
  <c r="G15"/>
  <c r="N15"/>
  <c r="O15"/>
  <c r="Q15"/>
  <c r="P15"/>
  <c r="R15"/>
  <c r="S15"/>
  <c r="T15"/>
  <c r="U15"/>
  <c r="Q15" i="16"/>
  <c r="M15" i="22"/>
  <c r="J14" i="31"/>
  <c r="R14" i="6"/>
  <c r="I14" i="31"/>
  <c r="K14"/>
  <c r="L14"/>
  <c r="D14"/>
  <c r="F14"/>
  <c r="H14"/>
  <c r="M14"/>
  <c r="E14"/>
  <c r="G14"/>
  <c r="N14"/>
  <c r="O14"/>
  <c r="Q14"/>
  <c r="P14"/>
  <c r="R14"/>
  <c r="S14"/>
  <c r="T14"/>
  <c r="U14"/>
  <c r="Q14" i="16"/>
  <c r="M14" i="22"/>
  <c r="J13" i="31"/>
  <c r="R13" i="6"/>
  <c r="I13" i="31"/>
  <c r="K13"/>
  <c r="L13"/>
  <c r="D13"/>
  <c r="F13"/>
  <c r="H13"/>
  <c r="M13"/>
  <c r="E13"/>
  <c r="G13"/>
  <c r="N13"/>
  <c r="O13"/>
  <c r="Q13"/>
  <c r="P13"/>
  <c r="R13"/>
  <c r="S13"/>
  <c r="T13"/>
  <c r="U13"/>
  <c r="Q13" i="16"/>
  <c r="M13" i="22"/>
  <c r="J12" i="31"/>
  <c r="R12" i="6"/>
  <c r="I12" i="31"/>
  <c r="K12"/>
  <c r="L12"/>
  <c r="D12"/>
  <c r="F12"/>
  <c r="H12"/>
  <c r="M12"/>
  <c r="E12"/>
  <c r="G12"/>
  <c r="N12"/>
  <c r="O12"/>
  <c r="Q12"/>
  <c r="P12"/>
  <c r="R12"/>
  <c r="S12"/>
  <c r="T12"/>
  <c r="U12"/>
  <c r="Q12" i="16"/>
  <c r="M12" i="22"/>
  <c r="J11" i="31"/>
  <c r="R11" i="6"/>
  <c r="I11" i="31"/>
  <c r="K11"/>
  <c r="L11"/>
  <c r="D11"/>
  <c r="F11"/>
  <c r="H11"/>
  <c r="M11"/>
  <c r="E11"/>
  <c r="G11"/>
  <c r="N11"/>
  <c r="O11"/>
  <c r="Q11"/>
  <c r="P11"/>
  <c r="R11"/>
  <c r="S11"/>
  <c r="T11"/>
  <c r="U11"/>
  <c r="Q11" i="16"/>
  <c r="M11" i="22"/>
  <c r="E11"/>
  <c r="E18"/>
  <c r="E17"/>
  <c r="E16"/>
  <c r="E15"/>
  <c r="E14"/>
  <c r="E13"/>
  <c r="E12"/>
  <c r="D18"/>
  <c r="D17"/>
  <c r="D16"/>
  <c r="D15"/>
  <c r="D14"/>
  <c r="D13"/>
  <c r="D12"/>
  <c r="D11"/>
  <c r="Z18" i="13"/>
  <c r="E18" i="19"/>
  <c r="D18"/>
  <c r="F18"/>
  <c r="I18"/>
  <c r="J18"/>
  <c r="Z17" i="13"/>
  <c r="E17" i="19"/>
  <c r="D17"/>
  <c r="F17"/>
  <c r="I17"/>
  <c r="J17"/>
  <c r="Z16" i="13"/>
  <c r="E16" i="19"/>
  <c r="D16"/>
  <c r="F16"/>
  <c r="I16"/>
  <c r="J16"/>
  <c r="Z15" i="13"/>
  <c r="E15" i="19"/>
  <c r="D15"/>
  <c r="F15"/>
  <c r="I15"/>
  <c r="J15"/>
  <c r="Z14" i="13"/>
  <c r="E14" i="19"/>
  <c r="D14"/>
  <c r="F14"/>
  <c r="I14"/>
  <c r="J14"/>
  <c r="Z13" i="13"/>
  <c r="E13" i="19"/>
  <c r="D13"/>
  <c r="F13"/>
  <c r="I13"/>
  <c r="J13"/>
  <c r="Z12" i="13"/>
  <c r="E12" i="19"/>
  <c r="D12"/>
  <c r="F12"/>
  <c r="I12"/>
  <c r="J12"/>
  <c r="Z11" i="13"/>
  <c r="E11" i="19"/>
  <c r="D11"/>
  <c r="F11"/>
  <c r="I11"/>
  <c r="J11"/>
  <c r="K11" i="16"/>
  <c r="N11"/>
  <c r="P11"/>
  <c r="K18"/>
  <c r="N18"/>
  <c r="O18"/>
  <c r="P18"/>
  <c r="R18"/>
  <c r="G18" i="19"/>
  <c r="H18"/>
  <c r="K17" i="16"/>
  <c r="N17"/>
  <c r="O17"/>
  <c r="P17"/>
  <c r="R17"/>
  <c r="G17" i="19"/>
  <c r="H17"/>
  <c r="K16" i="16"/>
  <c r="N16"/>
  <c r="O16"/>
  <c r="P16"/>
  <c r="R16"/>
  <c r="G16" i="19"/>
  <c r="H16"/>
  <c r="K15" i="16"/>
  <c r="N15"/>
  <c r="O15"/>
  <c r="P15"/>
  <c r="R15"/>
  <c r="G15" i="19"/>
  <c r="H15"/>
  <c r="K14" i="16"/>
  <c r="N14"/>
  <c r="O14"/>
  <c r="P14"/>
  <c r="R14"/>
  <c r="G14" i="19"/>
  <c r="H14"/>
  <c r="K13" i="16"/>
  <c r="N13"/>
  <c r="O13"/>
  <c r="P13"/>
  <c r="R13"/>
  <c r="G13" i="19"/>
  <c r="H13"/>
  <c r="K12" i="16"/>
  <c r="N12"/>
  <c r="O12"/>
  <c r="P12"/>
  <c r="R12"/>
  <c r="G12" i="19"/>
  <c r="H12"/>
  <c r="R11" i="16"/>
  <c r="G11" i="19"/>
  <c r="H11"/>
  <c r="Q20" i="31"/>
  <c r="Q19"/>
  <c r="P20"/>
  <c r="O20"/>
  <c r="N20"/>
  <c r="N19"/>
  <c r="AA20" i="5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K20" i="31"/>
  <c r="J20"/>
  <c r="I20"/>
  <c r="J19"/>
  <c r="I19"/>
  <c r="H20"/>
  <c r="G20"/>
  <c r="F20"/>
  <c r="E20"/>
  <c r="D20"/>
  <c r="H18" i="10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E18"/>
  <c r="E17"/>
  <c r="E16"/>
  <c r="E15"/>
  <c r="E14"/>
  <c r="E13"/>
  <c r="E12"/>
  <c r="E11"/>
  <c r="H20"/>
  <c r="G20"/>
  <c r="F20"/>
  <c r="E20"/>
  <c r="D11"/>
  <c r="D12"/>
  <c r="D13"/>
  <c r="D14"/>
  <c r="D15"/>
  <c r="D16"/>
  <c r="D17"/>
  <c r="D18"/>
  <c r="D20"/>
  <c r="V20" i="6"/>
  <c r="U20"/>
  <c r="T20"/>
  <c r="S11"/>
  <c r="S12"/>
  <c r="S13"/>
  <c r="S14"/>
  <c r="S15"/>
  <c r="S16"/>
  <c r="S17"/>
  <c r="S18"/>
  <c r="S20"/>
  <c r="R20"/>
  <c r="Q20"/>
  <c r="P20"/>
  <c r="O20"/>
  <c r="N20"/>
  <c r="M20"/>
  <c r="L20"/>
  <c r="K20"/>
  <c r="J20"/>
  <c r="I20"/>
  <c r="H20"/>
  <c r="G20"/>
  <c r="F20"/>
  <c r="E20"/>
  <c r="D20"/>
  <c r="Y20" i="5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20"/>
  <c r="D19"/>
  <c r="R14" i="13"/>
  <c r="Y18"/>
  <c r="Y17"/>
  <c r="Y16"/>
  <c r="Y15"/>
  <c r="Y14"/>
  <c r="Y13"/>
  <c r="Y12"/>
  <c r="Y11"/>
  <c r="R18"/>
  <c r="R17"/>
  <c r="R16"/>
  <c r="R15"/>
  <c r="R13"/>
  <c r="R12"/>
  <c r="R11"/>
  <c r="Q18"/>
  <c r="Q17"/>
  <c r="Q16"/>
  <c r="Q15"/>
  <c r="Q14"/>
  <c r="Q13"/>
  <c r="Q12"/>
  <c r="Q11"/>
  <c r="AA11"/>
  <c r="AA12"/>
  <c r="AA13"/>
  <c r="AA14"/>
  <c r="AA15"/>
  <c r="AA16"/>
  <c r="AA17"/>
  <c r="AA18"/>
  <c r="AA20"/>
  <c r="Z20"/>
  <c r="Y20"/>
  <c r="X11"/>
  <c r="X12"/>
  <c r="X13"/>
  <c r="X14"/>
  <c r="X15"/>
  <c r="X16"/>
  <c r="X17"/>
  <c r="X18"/>
  <c r="X20"/>
  <c r="W20"/>
  <c r="V11"/>
  <c r="V12"/>
  <c r="V13"/>
  <c r="V14"/>
  <c r="V15"/>
  <c r="V16"/>
  <c r="V17"/>
  <c r="V18"/>
  <c r="V20"/>
  <c r="U20"/>
  <c r="T20"/>
  <c r="S20"/>
  <c r="R20"/>
  <c r="Q20"/>
  <c r="P11"/>
  <c r="P12"/>
  <c r="P13"/>
  <c r="P14"/>
  <c r="P15"/>
  <c r="P16"/>
  <c r="P17"/>
  <c r="P18"/>
  <c r="P20"/>
  <c r="O20"/>
  <c r="N20"/>
  <c r="M20"/>
  <c r="L20"/>
  <c r="K20"/>
  <c r="J20"/>
  <c r="I20"/>
  <c r="H20"/>
  <c r="G20"/>
  <c r="F20"/>
  <c r="E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20"/>
  <c r="D19"/>
  <c r="A12"/>
  <c r="A13"/>
  <c r="A14"/>
  <c r="A15"/>
  <c r="A16"/>
  <c r="A17"/>
  <c r="A18"/>
  <c r="A19"/>
  <c r="A20"/>
  <c r="A13" i="31"/>
  <c r="A14"/>
  <c r="A15"/>
  <c r="A16"/>
  <c r="A17"/>
  <c r="A18"/>
  <c r="A19"/>
  <c r="A20"/>
  <c r="F12" i="26"/>
  <c r="F13"/>
  <c r="F14"/>
  <c r="F15"/>
  <c r="F16"/>
  <c r="F17"/>
  <c r="F18"/>
  <c r="E11"/>
  <c r="E12"/>
  <c r="E13"/>
  <c r="E14"/>
  <c r="E15"/>
  <c r="E16"/>
  <c r="E17"/>
  <c r="E18"/>
  <c r="A12"/>
  <c r="A13"/>
  <c r="A14"/>
  <c r="A15"/>
  <c r="A16"/>
  <c r="A17"/>
  <c r="A18"/>
  <c r="A19"/>
  <c r="A20"/>
  <c r="A13" i="22"/>
  <c r="A14"/>
  <c r="A15"/>
  <c r="A16"/>
  <c r="A17"/>
  <c r="A18"/>
  <c r="A19"/>
  <c r="A20"/>
  <c r="A12" i="19"/>
  <c r="A13"/>
  <c r="A14"/>
  <c r="A15"/>
  <c r="A16"/>
  <c r="A17"/>
  <c r="A18"/>
  <c r="A19"/>
  <c r="A20"/>
  <c r="A13" i="16"/>
  <c r="A14"/>
  <c r="A15"/>
  <c r="A16"/>
  <c r="A17"/>
  <c r="A18"/>
  <c r="A19"/>
  <c r="A20"/>
  <c r="A13" i="10"/>
  <c r="A14"/>
  <c r="A15"/>
  <c r="A16"/>
  <c r="A17"/>
  <c r="A18"/>
  <c r="A19"/>
  <c r="A20"/>
  <c r="A13" i="6"/>
  <c r="A14"/>
  <c r="A15"/>
  <c r="A16"/>
  <c r="A17"/>
  <c r="A18"/>
  <c r="A19"/>
  <c r="A20"/>
  <c r="A13" i="5"/>
  <c r="A14"/>
  <c r="A15"/>
  <c r="A16"/>
  <c r="A17"/>
  <c r="A18"/>
  <c r="A19"/>
  <c r="A20"/>
  <c r="G18" i="22"/>
  <c r="G17"/>
  <c r="G16"/>
  <c r="G15"/>
  <c r="G14"/>
  <c r="G13"/>
  <c r="G12"/>
  <c r="G11"/>
  <c r="F69" i="7"/>
  <c r="E69"/>
  <c r="D69"/>
  <c r="C69"/>
  <c r="B69"/>
  <c r="F68"/>
  <c r="E68"/>
  <c r="B68"/>
  <c r="C68"/>
  <c r="D68"/>
  <c r="D13" i="26"/>
  <c r="D15"/>
  <c r="D11"/>
  <c r="D12"/>
  <c r="D14"/>
  <c r="D16"/>
  <c r="D17"/>
  <c r="D18"/>
  <c r="V11" i="6"/>
  <c r="V13"/>
  <c r="V14"/>
  <c r="V15"/>
  <c r="V16"/>
  <c r="V17"/>
  <c r="V12"/>
  <c r="U20" i="31"/>
  <c r="V18" i="6"/>
  <c r="U15" i="22"/>
  <c r="H15"/>
  <c r="F15"/>
  <c r="I15"/>
  <c r="J15"/>
  <c r="K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V15"/>
  <c r="W15"/>
  <c r="X15"/>
  <c r="FP15"/>
  <c r="N15"/>
  <c r="O15"/>
  <c r="U13"/>
  <c r="H13"/>
  <c r="V13"/>
  <c r="F13"/>
  <c r="I13"/>
  <c r="W13"/>
  <c r="J13"/>
  <c r="X13"/>
  <c r="K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N13"/>
  <c r="O13"/>
  <c r="E45" i="34"/>
  <c r="C45"/>
  <c r="E29"/>
  <c r="E21"/>
  <c r="E22"/>
  <c r="E23"/>
  <c r="E30"/>
  <c r="E31"/>
  <c r="C34"/>
  <c r="C35"/>
  <c r="E35"/>
  <c r="E32"/>
  <c r="E13"/>
  <c r="E14"/>
  <c r="E15"/>
  <c r="C30"/>
  <c r="C31"/>
  <c r="E34"/>
  <c r="E36"/>
  <c r="C36"/>
  <c r="E33"/>
  <c r="C33"/>
  <c r="D31"/>
  <c r="C23"/>
  <c r="C15"/>
  <c r="U11" i="22"/>
  <c r="F11"/>
  <c r="H11"/>
  <c r="I11"/>
  <c r="J11"/>
  <c r="K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W11"/>
  <c r="X11"/>
  <c r="V11"/>
  <c r="FP11"/>
  <c r="N11"/>
  <c r="O11"/>
  <c r="U12"/>
  <c r="H12"/>
  <c r="F12"/>
  <c r="I12"/>
  <c r="J12"/>
  <c r="K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V12"/>
  <c r="W12"/>
  <c r="X12"/>
  <c r="FP12"/>
  <c r="N12"/>
  <c r="O12"/>
  <c r="U14"/>
  <c r="H14"/>
  <c r="F14"/>
  <c r="I14"/>
  <c r="J14"/>
  <c r="K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V14"/>
  <c r="W14"/>
  <c r="X14"/>
  <c r="FP14"/>
  <c r="N14"/>
  <c r="O14"/>
  <c r="U16"/>
  <c r="H16"/>
  <c r="F16"/>
  <c r="I16"/>
  <c r="J16"/>
  <c r="K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V16"/>
  <c r="W16"/>
  <c r="X16"/>
  <c r="FP16"/>
  <c r="N16"/>
  <c r="O16"/>
  <c r="U17"/>
  <c r="F17"/>
  <c r="H17"/>
  <c r="I17"/>
  <c r="J17"/>
  <c r="K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W17"/>
  <c r="X17"/>
  <c r="V17"/>
  <c r="FP17"/>
  <c r="N17"/>
  <c r="O17"/>
  <c r="U18"/>
  <c r="H18"/>
  <c r="F18"/>
  <c r="I18"/>
  <c r="J18"/>
  <c r="K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V18"/>
  <c r="W18"/>
  <c r="X18"/>
  <c r="FP18"/>
  <c r="N18"/>
  <c r="O18"/>
  <c r="O20"/>
  <c r="O19"/>
  <c r="R20" i="16"/>
  <c r="Q20"/>
  <c r="P20"/>
  <c r="O20"/>
  <c r="N20"/>
  <c r="M13"/>
  <c r="M15"/>
  <c r="M11"/>
  <c r="M12"/>
  <c r="M14"/>
  <c r="M16"/>
  <c r="M17"/>
  <c r="M18"/>
  <c r="M20"/>
  <c r="L11"/>
  <c r="L12"/>
  <c r="L13"/>
  <c r="L14"/>
  <c r="L15"/>
  <c r="L16"/>
  <c r="L17"/>
  <c r="L18"/>
  <c r="L20"/>
  <c r="K20"/>
  <c r="D11"/>
  <c r="E11"/>
  <c r="F11"/>
  <c r="G11"/>
  <c r="H11"/>
  <c r="I11"/>
  <c r="J11"/>
  <c r="D12"/>
  <c r="E12"/>
  <c r="F12"/>
  <c r="G12"/>
  <c r="H12"/>
  <c r="I12"/>
  <c r="J12"/>
  <c r="D13"/>
  <c r="E13"/>
  <c r="F13"/>
  <c r="G13"/>
  <c r="H13"/>
  <c r="I13"/>
  <c r="J13"/>
  <c r="D14"/>
  <c r="E14"/>
  <c r="F14"/>
  <c r="G14"/>
  <c r="H14"/>
  <c r="I14"/>
  <c r="J14"/>
  <c r="D15"/>
  <c r="E15"/>
  <c r="F15"/>
  <c r="G15"/>
  <c r="H15"/>
  <c r="I15"/>
  <c r="J15"/>
  <c r="D16"/>
  <c r="E16"/>
  <c r="F16"/>
  <c r="G16"/>
  <c r="H16"/>
  <c r="I16"/>
  <c r="J16"/>
  <c r="D17"/>
  <c r="E17"/>
  <c r="F17"/>
  <c r="G17"/>
  <c r="H17"/>
  <c r="I17"/>
  <c r="J17"/>
  <c r="D18"/>
  <c r="E18"/>
  <c r="F18"/>
  <c r="G18"/>
  <c r="H18"/>
  <c r="I18"/>
  <c r="J18"/>
  <c r="J20"/>
  <c r="I20"/>
  <c r="H20"/>
  <c r="G20"/>
  <c r="F20"/>
  <c r="E20"/>
  <c r="D20"/>
  <c r="H11" i="26"/>
  <c r="H12"/>
  <c r="H13"/>
  <c r="H14"/>
  <c r="H15"/>
  <c r="H16"/>
  <c r="H17"/>
  <c r="H18"/>
  <c r="H20"/>
  <c r="G11"/>
  <c r="G12"/>
  <c r="G13"/>
  <c r="G14"/>
  <c r="G15"/>
  <c r="G16"/>
  <c r="G17"/>
  <c r="G18"/>
  <c r="G20"/>
  <c r="D20"/>
  <c r="N20" i="22"/>
  <c r="M20"/>
  <c r="L14"/>
  <c r="L15"/>
  <c r="L11"/>
  <c r="L13"/>
  <c r="L12"/>
  <c r="L16"/>
  <c r="L17"/>
  <c r="L18"/>
  <c r="L20"/>
  <c r="K20"/>
  <c r="J20"/>
  <c r="I20"/>
  <c r="H20"/>
  <c r="G20"/>
  <c r="F20"/>
  <c r="E20"/>
  <c r="D20"/>
  <c r="J20" i="19"/>
  <c r="I20"/>
  <c r="H20"/>
  <c r="G20"/>
  <c r="F20"/>
  <c r="E20"/>
  <c r="D20"/>
  <c r="H47" i="23"/>
  <c r="F44"/>
  <c r="H48"/>
  <c r="H49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H44"/>
  <c r="H52"/>
  <c r="H56"/>
  <c r="G44"/>
  <c r="D47"/>
  <c r="D56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52"/>
  <c r="D50"/>
  <c r="C44"/>
  <c r="D48"/>
  <c r="D49"/>
  <c r="D51"/>
  <c r="D53"/>
  <c r="D54"/>
  <c r="D57"/>
  <c r="D58"/>
  <c r="D4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12" i="30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H19" i="26"/>
  <c r="G19"/>
  <c r="D19"/>
  <c r="F71" i="7"/>
  <c r="E71"/>
  <c r="D71"/>
  <c r="C71"/>
  <c r="F70"/>
  <c r="E70"/>
  <c r="D70"/>
  <c r="C70"/>
  <c r="B71"/>
  <c r="B70"/>
  <c r="N19" i="22"/>
  <c r="FP19"/>
  <c r="Z19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L19"/>
  <c r="M19"/>
  <c r="H19"/>
  <c r="F19"/>
  <c r="I19"/>
  <c r="J19"/>
  <c r="K19"/>
  <c r="G19"/>
  <c r="E19"/>
  <c r="D19"/>
  <c r="A12"/>
  <c r="J19" i="19"/>
  <c r="I19"/>
  <c r="H19"/>
  <c r="G19"/>
  <c r="F19"/>
  <c r="E19"/>
  <c r="D19"/>
  <c r="R19" i="16"/>
  <c r="Q19"/>
  <c r="U19" i="31"/>
  <c r="T19"/>
  <c r="S19"/>
  <c r="R19"/>
  <c r="P19"/>
  <c r="O19"/>
  <c r="M19"/>
  <c r="K19"/>
  <c r="V19" i="6"/>
  <c r="U19"/>
  <c r="T19"/>
  <c r="S19"/>
  <c r="R19"/>
  <c r="H19" i="31"/>
  <c r="G19"/>
  <c r="F19"/>
  <c r="E19"/>
  <c r="D19"/>
  <c r="A12"/>
  <c r="P19" i="16"/>
  <c r="O19"/>
  <c r="N19"/>
  <c r="M19"/>
  <c r="L19"/>
  <c r="K19"/>
  <c r="J19"/>
  <c r="Q19" i="6"/>
  <c r="P19"/>
  <c r="O19"/>
  <c r="N19"/>
  <c r="M19"/>
  <c r="L19"/>
  <c r="K19"/>
  <c r="J19"/>
  <c r="I19"/>
  <c r="H19"/>
  <c r="G19"/>
  <c r="D19" i="16"/>
  <c r="I19"/>
  <c r="H19"/>
  <c r="G19"/>
  <c r="F19"/>
  <c r="E19"/>
  <c r="A12"/>
  <c r="H19" i="10"/>
  <c r="G19"/>
  <c r="F19"/>
  <c r="E19"/>
  <c r="D19"/>
  <c r="A12"/>
  <c r="F19" i="6"/>
  <c r="E11"/>
  <c r="E12"/>
  <c r="E13"/>
  <c r="E14"/>
  <c r="E15"/>
  <c r="E16"/>
  <c r="E17"/>
  <c r="E18"/>
  <c r="E19"/>
  <c r="D19"/>
  <c r="A12"/>
  <c r="A12" i="5"/>
  <c r="H50" i="23"/>
  <c r="H51"/>
  <c r="H53"/>
  <c r="H54"/>
  <c r="H57"/>
  <c r="H58"/>
</calcChain>
</file>

<file path=xl/sharedStrings.xml><?xml version="1.0" encoding="utf-8"?>
<sst xmlns="http://schemas.openxmlformats.org/spreadsheetml/2006/main" count="765" uniqueCount="376">
  <si>
    <t>LINE NO.</t>
  </si>
  <si>
    <t>COMPANY</t>
  </si>
  <si>
    <t>INPUT DATA</t>
  </si>
  <si>
    <t>ALLIANT  ENERGY</t>
  </si>
  <si>
    <t>SYMBOL</t>
  </si>
  <si>
    <t>AVISTA CORP</t>
  </si>
  <si>
    <t>CONSOLIDATED EDISON, INC</t>
  </si>
  <si>
    <t>DOMINION RESOURCES INC</t>
  </si>
  <si>
    <t>D</t>
  </si>
  <si>
    <t>DTE ENERGY COMPANY</t>
  </si>
  <si>
    <t>DUKE ENERGY CORPORATION</t>
  </si>
  <si>
    <t>EMPIRE DISTRICT ELECTRIC CO.</t>
  </si>
  <si>
    <t>MGE ENERGY INC.</t>
  </si>
  <si>
    <t>NORTHEAST UTILITIES</t>
  </si>
  <si>
    <t>SCANA CORPORATION</t>
  </si>
  <si>
    <t>UIL HOLDINGS</t>
  </si>
  <si>
    <t>WISCONSIN ENERGY CORP.</t>
  </si>
  <si>
    <t>XCEL ENERGY INC.</t>
  </si>
  <si>
    <t>CLECO CORPORATION</t>
  </si>
  <si>
    <t>EL PASO ELECTRIC</t>
  </si>
  <si>
    <t>SOUTHERN COMPANY</t>
  </si>
  <si>
    <t>WESTAR ENERGY INC.</t>
  </si>
  <si>
    <t>AGL RESOURCES INC.</t>
  </si>
  <si>
    <t>GAS</t>
  </si>
  <si>
    <t>ATMOS ENERGY CORPORATION</t>
  </si>
  <si>
    <t>ATO</t>
  </si>
  <si>
    <t>NEW JERSEY RESOURCES CORP.</t>
  </si>
  <si>
    <t>NJR</t>
  </si>
  <si>
    <t>NORTHWEST NATURAL GAS COMPANY</t>
  </si>
  <si>
    <t>NWN</t>
  </si>
  <si>
    <t>PIEDMONT NATURAL GAS COMPANY</t>
  </si>
  <si>
    <t>PNY</t>
  </si>
  <si>
    <t>SOUTH JERSEY INDUSTRIES, INC.</t>
  </si>
  <si>
    <t>SJI</t>
  </si>
  <si>
    <t>SOUTHWEST GAS CORPORATION</t>
  </si>
  <si>
    <t>SWX</t>
  </si>
  <si>
    <t>WGL</t>
  </si>
  <si>
    <t>WGL HOLDINGS INC</t>
  </si>
  <si>
    <t>VALUE LINE YIELD</t>
  </si>
  <si>
    <t>BETA</t>
  </si>
  <si>
    <t>DPS 2012</t>
  </si>
  <si>
    <t>DPS 2013</t>
  </si>
  <si>
    <t>DPS 2014</t>
  </si>
  <si>
    <t>DPS 2016-2018</t>
  </si>
  <si>
    <t>EPS 2012</t>
  </si>
  <si>
    <t>EPS 2013</t>
  </si>
  <si>
    <t>EPS 2014</t>
  </si>
  <si>
    <t>EPS 2016-2018</t>
  </si>
  <si>
    <t>BVPS 2012</t>
  </si>
  <si>
    <t>BVPS 2013</t>
  </si>
  <si>
    <t>BVPS 2014</t>
  </si>
  <si>
    <t>BVPS 2016-2018</t>
  </si>
  <si>
    <t>EQUITY RATIO 2012</t>
  </si>
  <si>
    <t>EQUITY RATIO 2013</t>
  </si>
  <si>
    <t>EQUITY RATIO 2014</t>
  </si>
  <si>
    <t>EQUITY RATIO 2016-2018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</si>
  <si>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</si>
  <si>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</si>
  <si>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</si>
  <si>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</si>
  <si>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</si>
  <si>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</si>
  <si>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</si>
  <si>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</si>
  <si>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</si>
  <si>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</si>
  <si>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</si>
  <si>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</si>
  <si>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</si>
  <si>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</si>
  <si>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</si>
  <si>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</si>
  <si>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</si>
  <si>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</si>
  <si>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</si>
  <si>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</si>
  <si>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</si>
  <si>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</si>
  <si>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CURRENT QUARTERLY DIVIDEND</t>
  </si>
  <si>
    <t>ANNUAL DIVIDEND</t>
  </si>
  <si>
    <t>AVERAGE FORECAST PRICE</t>
  </si>
  <si>
    <t>EPS 10 YEAR</t>
  </si>
  <si>
    <t>DPS 10 YEAR</t>
  </si>
  <si>
    <t>BVPS 10 YEAR</t>
  </si>
  <si>
    <t>EPS 5 YEAR</t>
  </si>
  <si>
    <t>DPS 5 YEAR</t>
  </si>
  <si>
    <t>BVPS 5 YEAR</t>
  </si>
  <si>
    <t>EPS VALUE LINE FORECAST</t>
  </si>
  <si>
    <t>DPS VALUE LINE FORECAST</t>
  </si>
  <si>
    <t>BVPS VALUE LINE FORECAST</t>
  </si>
  <si>
    <t>YAHOO FINANCE EARNINGS GROWTH FORECAST</t>
  </si>
  <si>
    <t>ZACKS EPS FORECAST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</si>
  <si>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</si>
  <si>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</si>
  <si>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</si>
  <si>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</si>
  <si>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</si>
  <si>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</si>
  <si>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</si>
  <si>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</si>
  <si>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</si>
  <si>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</si>
  <si>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</si>
  <si>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</si>
  <si>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</si>
  <si>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SHARES 2012 (mm)</t>
  </si>
  <si>
    <t>SHARES 2016-2018 (mm)</t>
  </si>
  <si>
    <t>TOTAL CAPITAL 2012 (mm)</t>
  </si>
  <si>
    <t>TOTAL CAPITAL 2016-2018 (mm)</t>
  </si>
  <si>
    <t>AVERAGE</t>
  </si>
  <si>
    <t>MOODY'S BOND RATING</t>
  </si>
  <si>
    <t>STANDARD &amp; POOR'S BOND RATING</t>
  </si>
  <si>
    <t>GAS COMPARABLE COMPANIES WEEKLY CLOSING PRICE DATA</t>
  </si>
  <si>
    <t>6 WEEK AVERAGE</t>
  </si>
  <si>
    <t>8 WEEK AVERAGE</t>
  </si>
  <si>
    <t>52 WEEK LOW</t>
  </si>
  <si>
    <t>52 WEEK HIGH</t>
  </si>
  <si>
    <t>52 WEEK AVERAGE</t>
  </si>
  <si>
    <t>GAS COMPARABLE GROUP COMPANIES GROWTH RATES</t>
  </si>
  <si>
    <t>HISTORICAL AVERAGE</t>
  </si>
  <si>
    <t>DPS V.L. FORECAST</t>
  </si>
  <si>
    <t>BVPS V.L. FORECAST</t>
  </si>
  <si>
    <t>ZACKS FORECAST</t>
  </si>
  <si>
    <t>YAHOO FINANCE FORECAST</t>
  </si>
  <si>
    <t>AVERAGE EPS FORECAST</t>
  </si>
  <si>
    <t>BR+SV</t>
  </si>
  <si>
    <t>AVERAGE GROWTH ESTIMATE</t>
  </si>
  <si>
    <t>EPS V.L. FORECAST</t>
  </si>
  <si>
    <t>EPS 2017</t>
  </si>
  <si>
    <t>DPS 2017</t>
  </si>
  <si>
    <t>BVPS 2017</t>
  </si>
  <si>
    <t>AK</t>
  </si>
  <si>
    <t>AL</t>
  </si>
  <si>
    <t>AM</t>
  </si>
  <si>
    <t>AN</t>
  </si>
  <si>
    <t>2012 EQUITY</t>
  </si>
  <si>
    <t>2017 EQUITY</t>
  </si>
  <si>
    <t>2017 LOW PRICE</t>
  </si>
  <si>
    <t>2017 HIGH PRICE</t>
  </si>
  <si>
    <t>2017 AVERAGE PRICE</t>
  </si>
  <si>
    <t>AO</t>
  </si>
  <si>
    <t>2012 COMMON EQUITY</t>
  </si>
  <si>
    <t>2017 COMMON EQUITY</t>
  </si>
  <si>
    <t>CHANGE IN EQUITY</t>
  </si>
  <si>
    <t>AVERAGE 2017 PRICE</t>
  </si>
  <si>
    <t>EQUITY SHARES 2012</t>
  </si>
  <si>
    <t>EQUITY SHARES 2017</t>
  </si>
  <si>
    <t>EQUITY SHARE GROWTH</t>
  </si>
  <si>
    <t>"s"</t>
  </si>
  <si>
    <t>"v"</t>
  </si>
  <si>
    <t>"br+sv"</t>
  </si>
  <si>
    <t>PRICE</t>
  </si>
  <si>
    <t>COMPARABLE GROUP AVERAGE GROWTH DCF</t>
  </si>
  <si>
    <t>NEXT YEARS 2014 DIVIDEND</t>
  </si>
  <si>
    <t>DPS 2016 TO 2018</t>
  </si>
  <si>
    <t>CHANGE</t>
  </si>
  <si>
    <t>YEAR 1 DIVID.</t>
  </si>
  <si>
    <t>YEAR 2 DIVID</t>
  </si>
  <si>
    <t>YEAR 3 DIVID</t>
  </si>
  <si>
    <t>YEAR 4 DIVID</t>
  </si>
  <si>
    <t>YEAR 5 DIVID</t>
  </si>
  <si>
    <t>COMPARABLE GROUP TWO STAGE IRR RESULTS</t>
  </si>
  <si>
    <t>YEAR 6-150 DIVID. GROWTH RATE</t>
  </si>
  <si>
    <t>D1</t>
  </si>
  <si>
    <t>IRR</t>
  </si>
  <si>
    <t>DATE</t>
  </si>
  <si>
    <t>30 YEAR US TREASURY</t>
  </si>
  <si>
    <t>20 YEAR US TREASURY</t>
  </si>
  <si>
    <t>10 YEAR US TREASURY</t>
  </si>
  <si>
    <t>AAA CORPORATE BONDS</t>
  </si>
  <si>
    <t>BBB CORPORATE BONDS</t>
  </si>
  <si>
    <t xml:space="preserve">AVERAGE </t>
  </si>
  <si>
    <t>3 MONTH AVG</t>
  </si>
  <si>
    <t>MINIMUM</t>
  </si>
  <si>
    <t>MAXIMUM</t>
  </si>
  <si>
    <t>VALUE LINE BETA</t>
  </si>
  <si>
    <t>RISK FREE RATE 30 YEAR US TREASURY</t>
  </si>
  <si>
    <t>MARKET RISK PREMIUM</t>
  </si>
  <si>
    <t>CAPM ESTIMATES</t>
  </si>
  <si>
    <t>ECAPM ESTIMATES</t>
  </si>
  <si>
    <t>ADJUSTMENT FACTOR FOR "r"</t>
  </si>
  <si>
    <t>ADJUSTED "r"</t>
  </si>
  <si>
    <t>"b"</t>
  </si>
  <si>
    <t>"r"</t>
  </si>
  <si>
    <t>M/B RATIO</t>
  </si>
  <si>
    <t>ALLETE</t>
  </si>
  <si>
    <t>HAWAIIAN ELCTRIC INDUSTRIES INC</t>
  </si>
  <si>
    <t>NEXTERA ENERGY INC.</t>
  </si>
  <si>
    <t>OGE ENERGY CORP</t>
  </si>
  <si>
    <t>PINNACLE WEST CAPITAL CORP</t>
  </si>
  <si>
    <t>PORTLAND GENERAL ELECTRIC COMPANY</t>
  </si>
  <si>
    <t>P.S. ENTERPRISES GROUP INC.</t>
  </si>
  <si>
    <t>VECTREN CORP</t>
  </si>
  <si>
    <t>RISK PREMIUM REGULATORY AUTHORITY RETURNS</t>
  </si>
  <si>
    <t>YEAR</t>
  </si>
  <si>
    <t>30 YEAR US TREASURY BOND YIELD</t>
  </si>
  <si>
    <t>RISK PREMIUM</t>
  </si>
  <si>
    <t>BAA CORPORATE BOND YIELDS</t>
  </si>
  <si>
    <t>AUTHORIZED GAS EQUITY RETURN</t>
  </si>
  <si>
    <t>DESCRIPTION</t>
  </si>
  <si>
    <t>CURRENT 30 YEAR US TREASURY YIELD</t>
  </si>
  <si>
    <t>AVG. YIELD IN STUDY PERIOD</t>
  </si>
  <si>
    <t>INTEREST RATE DELTA</t>
  </si>
  <si>
    <t>INTEREST RATE CHANGE IN STUDY</t>
  </si>
  <si>
    <t>ADJ. TO RISK PREMIUM</t>
  </si>
  <si>
    <t>BASIC RISK PREMIUM</t>
  </si>
  <si>
    <t>INTEREST RATE ADJUSTMENT</t>
  </si>
  <si>
    <t>EQUITY RISK PREMIUM</t>
  </si>
  <si>
    <t>PLUS RISK PREMIUM</t>
  </si>
  <si>
    <t>RISK PREMIUM EQUITY RETURN</t>
  </si>
  <si>
    <t>CURRENT BAA BOND YIELD</t>
  </si>
  <si>
    <t>MEDIAN</t>
  </si>
  <si>
    <t>TOTAL</t>
  </si>
  <si>
    <t>RATIO</t>
  </si>
  <si>
    <t>WEIGHTED COST</t>
  </si>
  <si>
    <t>LONG TERM DEBT</t>
  </si>
  <si>
    <t>COMMON EQUITY</t>
  </si>
  <si>
    <t>COST RATE</t>
  </si>
  <si>
    <t>sources:</t>
  </si>
  <si>
    <t>A-</t>
  </si>
  <si>
    <t>A3</t>
  </si>
  <si>
    <t>BBB+</t>
  </si>
  <si>
    <t>Baa1</t>
  </si>
  <si>
    <t>A2</t>
  </si>
  <si>
    <t>A1</t>
  </si>
  <si>
    <t>AA-</t>
  </si>
  <si>
    <t>A-/BBB+</t>
  </si>
  <si>
    <t>SOURCES:</t>
  </si>
  <si>
    <t>Aa3</t>
  </si>
  <si>
    <t>DIVIDEND YIELD</t>
  </si>
  <si>
    <t>COLUMN G: AVERAGE OF COLUMNS A THROUGH F</t>
  </si>
  <si>
    <t>COLUMN M: AVERAGE COLUMNS H,K,L EPS AVERAGE</t>
  </si>
  <si>
    <t>COLUMN N: FROM PAGE 3 THIS SCHEDULE</t>
  </si>
  <si>
    <t>COLUMN O: AVERAGE OF COLUMNS M &amp; N</t>
  </si>
  <si>
    <t>NOTE: ALL NEGATIVE GROWTH VALUES OMITTED</t>
  </si>
  <si>
    <t>COLUMNS A,B,C,F,G,K,M,N: VALUE LINE MAY 3, 2013, MAY 24, 2013, AND JUNE 21, 2013</t>
  </si>
  <si>
    <t>COLUMN D: (1-(COL. B/COL. A))</t>
  </si>
  <si>
    <t>COLUMN E: (COL. A/COL. C)</t>
  </si>
  <si>
    <t>COLUMNS H AND O: FIVE YEAR RATE OF CHANGE</t>
  </si>
  <si>
    <t>COLUMN I: 2* (1+ COL. K)/(2+COL. K)</t>
  </si>
  <si>
    <t>COLUMN J: (COL. E 8 COL. I)</t>
  </si>
  <si>
    <t>COLUMN P: (COL. L * COL. O)</t>
  </si>
  <si>
    <t xml:space="preserve">COLUMN L: (COL. K / COL. C) </t>
  </si>
  <si>
    <t>COLUMN Q: 1-(1/COL. L)</t>
  </si>
  <si>
    <t>COLUMN C: COL B/ COL. A</t>
  </si>
  <si>
    <t>COLUMN C: (COL B - COL A)/3</t>
  </si>
  <si>
    <t>COLUMN E: COL A</t>
  </si>
  <si>
    <t>COLUMN F: COL E + COL C</t>
  </si>
  <si>
    <t>COLUMN G: COL F + COL C</t>
  </si>
  <si>
    <t>COLUMN H: COL G + COL C</t>
  </si>
  <si>
    <t>COLUMN I: COL H * COL J</t>
  </si>
  <si>
    <t>COLUMN K: IRR CALCULATED FOR YEARS 1-150</t>
  </si>
  <si>
    <t>COLUMN F: COL E - COL D</t>
  </si>
  <si>
    <t>COLUMN C: COL B - COL A</t>
  </si>
  <si>
    <t xml:space="preserve">COLUMN B: SCHED DJL-3 AT COL. A, 3-MONTH AVERAGE  </t>
  </si>
  <si>
    <t>COLUMN D: (COL A * COL C) + COL B</t>
  </si>
  <si>
    <t>COLUMN E: (COL C * .25)+(.75*COL A* COL C)+ COL B</t>
  </si>
  <si>
    <t>COMPANY REQUESTED COST OF CAPITAL</t>
  </si>
  <si>
    <t>RECOMMENDED ALTERNATIVE  COST OF CAPITAL</t>
  </si>
  <si>
    <t>COMPANY FILED CASE</t>
  </si>
  <si>
    <t>ADJUSTMENT</t>
  </si>
  <si>
    <t>RECOMMENDED ALTERNATIVE CASE</t>
  </si>
  <si>
    <t>RATE BASE INVESTMENT</t>
  </si>
  <si>
    <t>RATE OF RETURN</t>
  </si>
  <si>
    <t>RETURN</t>
  </si>
  <si>
    <t>DEPRECIATION/ AMORTIZATION</t>
  </si>
  <si>
    <t>EBIDA CASH FLOW</t>
  </si>
  <si>
    <t>TOTAL DEBT</t>
  </si>
  <si>
    <t>TOTAL INTEREST</t>
  </si>
  <si>
    <t>DEBT PERCENTAGE</t>
  </si>
  <si>
    <t xml:space="preserve">EBIDA W/O FIT IN </t>
  </si>
  <si>
    <t>CASH FLOW (EBIDA)/DEBT %</t>
  </si>
  <si>
    <t>CASH FLOW EBIDA/INTEREST (X)</t>
  </si>
  <si>
    <t>CASH FLOW (CFO)</t>
  </si>
  <si>
    <t>SOURCES</t>
  </si>
  <si>
    <t>ROR * RATE BASE</t>
  </si>
  <si>
    <t xml:space="preserve">ROR </t>
  </si>
  <si>
    <t>DEBT % TIMES RATE BASE</t>
  </si>
  <si>
    <t>DEBT COST TIMES DEBT</t>
  </si>
  <si>
    <t>GAS COMPARABLE COMPANY BASE DATA</t>
  </si>
  <si>
    <t>A+</t>
  </si>
  <si>
    <t>GAS COMPARABLE GROUP COMPANY GROWTH RATES</t>
  </si>
  <si>
    <t>GAS COMPARABLE GROUP COMPANY CONSTANT GROWTH DCF</t>
  </si>
  <si>
    <t>GAS COMPARABLE GROUP COMPANY TWO STAGE DCF</t>
  </si>
  <si>
    <t>GAS COMPARABLE GROUP COMPANY CAPM AND ECAPM</t>
  </si>
  <si>
    <t>GAS COMPANY FINANCIAL METRICS</t>
  </si>
  <si>
    <t>FINANCIAL METRICS GAS</t>
  </si>
  <si>
    <t>COLUMN L: OMITS ROES BELOW 7.5%</t>
  </si>
  <si>
    <t>SOURCE:</t>
  </si>
  <si>
    <t>COLUMNS A-E  FROM www.federalreserve.gov October 4, 2013</t>
  </si>
  <si>
    <t>COLUMNS F THROUGH I: AUS MONTHLY UTILITY REPORTS OCTOBER 2013</t>
  </si>
  <si>
    <t>COLUMNS A THROUGH E:VALUE LINE SEPTEMBER 6, 2013</t>
  </si>
  <si>
    <t>2014 DIVIDEND</t>
  </si>
  <si>
    <t>ESTIMATED DIVIDEND YIELD</t>
  </si>
  <si>
    <t>COLUMN K: ZACKS.COM SEPTEMBER 22, 2013</t>
  </si>
  <si>
    <t>COLUMNS A THROUGH F AND H THROUGH J: VALUE LINE  SEPTEMBER 6, 2013</t>
  </si>
  <si>
    <t>COLUMN L: YAHOO FINANCE SEPTEMBER 225, 2013</t>
  </si>
  <si>
    <t xml:space="preserve">QUESTAR GAS COMPARABLE GROUP </t>
  </si>
  <si>
    <t>QUESTAR GAS</t>
  </si>
  <si>
    <t>QUESTAR GAS COST OF CAPITAL DOCKET NO. 13-057-05</t>
  </si>
  <si>
    <t>HISTORICAL MONTHLY BOND YIELDS JANUARY 2009 THROUGH SEPTEMBER 2013</t>
  </si>
  <si>
    <t>FOR REGULATED GAS COMPANIES</t>
  </si>
  <si>
    <t>COLUMNS B AND E: REGULATORY RESEARCH ASSOCIATES MAJOR RATE CASE DECISIONS GAS &amp; ELECTRIC</t>
  </si>
  <si>
    <t>COLUMNS A AND DJ:  FROM www.federalreserve.gov</t>
  </si>
  <si>
    <t>10/9/13 SPOT PRICE INTRA-DAY</t>
  </si>
  <si>
    <t>QUARTERLY DIVIDEND</t>
  </si>
  <si>
    <t>COLUMNS A - P &amp; U:WEEKLY PRICE DATA PER YAHOO FINANCE HISTORICAL WEEKLY CLOSING PRICES JULY 22, 2013- OCTOBER 7, 2013</t>
  </si>
  <si>
    <t>COLUMNS Q, R, S, &amp; T: PER YAHOO FINANCE ON OCTOBER 9, 2013</t>
  </si>
  <si>
    <t>RECENT SIX WEEK PRICE PER COL. P</t>
  </si>
  <si>
    <t xml:space="preserve">COLUMNS V: (COLUMN U/ COLUMN P)  </t>
  </si>
  <si>
    <t>COLUMNS X:  VALUE LINE SEPTEMBER 6, 2013</t>
  </si>
  <si>
    <t xml:space="preserve">COLUMNS Y: (COLUMN X/ COLUMN W) </t>
  </si>
  <si>
    <t>COLUMN A TO V: VALUE LINE SEPTEMBER 6, 2013</t>
  </si>
  <si>
    <t>COLUMNS W TO AH &amp; AM TO AO: VALUE LINE SEPTEMBER 6, 2013</t>
  </si>
  <si>
    <t>COLUMN AJ: ZACKS.COM SEPTEMBER 22, 2013</t>
  </si>
  <si>
    <t>COLUMN AI: YAHOO FINANCE.COM SEPTEMBER 22, 2013</t>
  </si>
  <si>
    <t>COLUMNS AK &amp; AL: CALCULATED INPUT SHEET 1 EQUITY RATIO TIMES TOTAL CAPITAL</t>
  </si>
  <si>
    <t xml:space="preserve"> JULY 2013 TO OCT. 2013 AVERAGE</t>
  </si>
  <si>
    <t xml:space="preserve">RECENT 6 WEEK PRICE </t>
  </si>
  <si>
    <t>AVERAGE GROWTH FORWARD EPS &amp; "BR+SV"</t>
  </si>
  <si>
    <t>FORECASTED "br+sv" ONLY GROWTH</t>
  </si>
  <si>
    <t>COMPARABLE GROUP FORECASTED "br+sv" GROWTH DCF</t>
  </si>
  <si>
    <t>COLUMN A: SCHED. OCS-2.5 COL. W</t>
  </si>
  <si>
    <t xml:space="preserve">COLUMN B: SCHED. OCS-2.5 COL. X </t>
  </si>
  <si>
    <t>COLUMN D: SCHED OCS-2.6 COL. O</t>
  </si>
  <si>
    <t>COLUMN E: COL. C PLUS COL. D</t>
  </si>
  <si>
    <t>COLUMN F: SCHED OCS 2.6 COL N</t>
  </si>
  <si>
    <t>COLUMN G: SUM COLUMNS C AND F OMITS ALL ROE'S BELOW 7.5%</t>
  </si>
  <si>
    <t>COLUMNS AND B: VALUE LINE SEPTEMBER 6, 2013</t>
  </si>
  <si>
    <t>COLUMN D: SCHED OCS-2.5 COL W</t>
  </si>
  <si>
    <t>COLUMN J: SCHED OCS-2.6 COL N</t>
  </si>
  <si>
    <t>COLUMN C: AVERAGE OF MRP 5.7% IBBOTSON 2013 CLASSIC YEAR BOOK AT 36 AND CURRENT MRP ESTIMATE OF 8.0% result rounded to 6.9%</t>
  </si>
  <si>
    <t>PER QUESTAR REQUEST</t>
  </si>
  <si>
    <t>OCS RECOMMENDATION</t>
  </si>
  <si>
    <t>QUESTAR EXHIBIT 4.6</t>
  </si>
  <si>
    <t>LINE 20 + LINE 21</t>
  </si>
  <si>
    <t>D. CURTIS DIRECT @ 19</t>
  </si>
  <si>
    <t>LINE 22-LINE 24</t>
  </si>
  <si>
    <t>MOODY'S "A" BENCHMARKS</t>
  </si>
  <si>
    <t>22% TO 30%</t>
  </si>
  <si>
    <t>4.5x to 6.0x</t>
  </si>
  <si>
    <t>35% to 45%</t>
  </si>
  <si>
    <t>COLUMNS A &amp; C LINE 32: LINE 22/LINE 23</t>
  </si>
  <si>
    <t>COLUMNS A &amp; C LINE 33: LINE 22/LINE 24</t>
  </si>
  <si>
    <t>COLUMN D LINES 32- 34: MOODY'S INVESTOR'S SERVICE, RATINGS METHODOLOGY (AUGUST 2009) AT 13</t>
  </si>
  <si>
    <t>AMOUNT OF ANNUAL  PLANT INVESTMENT</t>
  </si>
  <si>
    <t>COMPANY ROR REQUEST 7.89% WITH FIT</t>
  </si>
  <si>
    <t>ANNUAL REVENUE REQUIREMENT</t>
  </si>
  <si>
    <t>ANNUAL DEPRECIATION AND OTHER 4.0%</t>
  </si>
  <si>
    <t>ANNUAL CARRYING CHARGE</t>
  </si>
  <si>
    <t>IMPACT OF TRACKER BETWEEN CASES</t>
  </si>
  <si>
    <t>ANNUAL REVENUE REQUIREMENT YEAR 1</t>
  </si>
  <si>
    <t>ANNUAL REVENUE REQUIREMENT YEAR 2</t>
  </si>
  <si>
    <t>ANNUAL REVENUE REQUIREMENT YEAR 3</t>
  </si>
  <si>
    <t>TOTAL IMPACT</t>
  </si>
  <si>
    <t>AMOUNT</t>
  </si>
  <si>
    <t>PRESENT VALUE REVENUE REQUIREMENT</t>
  </si>
  <si>
    <t>TOTAL EQUITY RETURN REQUEST</t>
  </si>
  <si>
    <t>TOTAL PERCENTAGE EQUITY RETURN</t>
  </si>
  <si>
    <t>RETURN PER BASIS POINT OF EQUITY</t>
  </si>
  <si>
    <t>IMPACT ON ROE BASIS POINTS</t>
  </si>
  <si>
    <t>QUESTAR REQUEST</t>
  </si>
  <si>
    <t>ASSUMED 25 YEAR LIFE</t>
  </si>
  <si>
    <t>DISCOUNT RATE</t>
  </si>
  <si>
    <t>EARLY PAYMENT PERIOD AVERAGE</t>
  </si>
  <si>
    <t>YEAR 1 IMPACT</t>
  </si>
  <si>
    <t>YEAR 2 IMPACT</t>
  </si>
  <si>
    <t>YEAR 3 IMPACT</t>
  </si>
  <si>
    <t>TOTAL 3 YEAR IMPACT</t>
  </si>
  <si>
    <t>LAWTON DIRECT TABLE 2</t>
  </si>
  <si>
    <t>QUESTAR REQUESTED ROE</t>
  </si>
  <si>
    <t>LINE 13/1035</t>
  </si>
  <si>
    <t>COLUMN B LINE 11/COLUMN A LINE 15</t>
  </si>
  <si>
    <t>IMPACT OF INFRASTRUCTURE TRACKER EXPANSION</t>
  </si>
  <si>
    <t>COLUMNS A,B,C,F,G,K,M,N: VALUE LINE SEPTEMBER 6, 2013</t>
  </si>
  <si>
    <t>COLUMN A: VALUE LINE SEPTEMBER 6, 2013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</si>
</sst>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_);_(&quot;$&quot;* \(#,##0.000\);_(&quot;$&quot;* &quot;-&quot;???_);_(@_)"/>
    <numFmt numFmtId="167" formatCode="0.0000"/>
    <numFmt numFmtId="168" formatCode="0.000"/>
    <numFmt numFmtId="169" formatCode="&quot;$&quot;#,##0"/>
    <numFmt numFmtId="170" formatCode="&quot;$&quot;#,##0.0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sz val="16"/>
      <color rgb="FF000000"/>
      <name val="Calibri"/>
      <scheme val="minor"/>
    </font>
    <font>
      <sz val="8"/>
      <color theme="1"/>
      <name val="Calibri"/>
      <scheme val="minor"/>
    </font>
    <font>
      <b/>
      <sz val="16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8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0" fontId="0" fillId="0" borderId="0" xfId="2" applyNumberFormat="1" applyFont="1"/>
    <xf numFmtId="2" fontId="0" fillId="0" borderId="0" xfId="0" applyNumberFormat="1"/>
    <xf numFmtId="44" fontId="0" fillId="0" borderId="0" xfId="1" applyFont="1"/>
    <xf numFmtId="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0" applyNumberFormat="1"/>
    <xf numFmtId="0" fontId="7" fillId="0" borderId="0" xfId="0" applyFont="1" applyAlignment="1"/>
    <xf numFmtId="165" fontId="0" fillId="0" borderId="0" xfId="1" applyNumberFormat="1" applyFont="1"/>
    <xf numFmtId="0" fontId="0" fillId="0" borderId="0" xfId="0" applyAlignment="1">
      <alignment wrapText="1"/>
    </xf>
    <xf numFmtId="166" fontId="0" fillId="0" borderId="0" xfId="0" applyNumberFormat="1"/>
    <xf numFmtId="0" fontId="9" fillId="0" borderId="0" xfId="0" applyFont="1" applyAlignment="1">
      <alignment horizontal="center"/>
    </xf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0" fontId="8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0" fontId="12" fillId="0" borderId="0" xfId="2" applyNumberFormat="1" applyFont="1"/>
    <xf numFmtId="0" fontId="13" fillId="0" borderId="0" xfId="0" applyFont="1"/>
    <xf numFmtId="10" fontId="13" fillId="0" borderId="0" xfId="2" applyNumberFormat="1" applyFont="1"/>
    <xf numFmtId="0" fontId="0" fillId="0" borderId="0" xfId="0"/>
    <xf numFmtId="0" fontId="11" fillId="0" borderId="0" xfId="0" applyFont="1" applyAlignment="1">
      <alignment horizontal="center"/>
    </xf>
    <xf numFmtId="0" fontId="13" fillId="0" borderId="0" xfId="0" applyFont="1"/>
    <xf numFmtId="0" fontId="0" fillId="0" borderId="0" xfId="0"/>
    <xf numFmtId="14" fontId="10" fillId="0" borderId="0" xfId="0" applyNumberFormat="1" applyFont="1" applyAlignment="1"/>
    <xf numFmtId="14" fontId="2" fillId="0" borderId="0" xfId="0" applyNumberFormat="1" applyFont="1" applyAlignment="1"/>
    <xf numFmtId="0" fontId="2" fillId="0" borderId="0" xfId="0" applyFont="1"/>
    <xf numFmtId="0" fontId="8" fillId="0" borderId="0" xfId="0" applyFont="1"/>
    <xf numFmtId="16" fontId="0" fillId="0" borderId="0" xfId="0" applyNumberForma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168" fontId="0" fillId="0" borderId="0" xfId="0" applyNumberFormat="1"/>
    <xf numFmtId="14" fontId="16" fillId="0" borderId="0" xfId="0" applyNumberFormat="1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6" fontId="0" fillId="0" borderId="0" xfId="0" applyNumberFormat="1"/>
    <xf numFmtId="169" fontId="0" fillId="0" borderId="0" xfId="0" applyNumberFormat="1"/>
    <xf numFmtId="0" fontId="1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/>
    <xf numFmtId="8" fontId="0" fillId="0" borderId="0" xfId="0" applyNumberForma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8" fillId="0" borderId="0" xfId="0" applyFont="1" applyAlignment="1"/>
    <xf numFmtId="10" fontId="11" fillId="0" borderId="0" xfId="0" applyNumberFormat="1" applyFont="1"/>
    <xf numFmtId="10" fontId="7" fillId="0" borderId="0" xfId="2" applyNumberFormat="1" applyFont="1"/>
    <xf numFmtId="10" fontId="7" fillId="0" borderId="0" xfId="0" applyNumberFormat="1" applyFont="1"/>
    <xf numFmtId="10" fontId="11" fillId="0" borderId="0" xfId="2" applyNumberFormat="1" applyFont="1"/>
    <xf numFmtId="2" fontId="0" fillId="0" borderId="0" xfId="2" applyNumberFormat="1" applyFont="1"/>
    <xf numFmtId="0" fontId="13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8" fillId="0" borderId="0" xfId="0" applyFont="1" applyAlignment="1"/>
    <xf numFmtId="170" fontId="0" fillId="0" borderId="0" xfId="2" applyNumberFormat="1" applyFont="1"/>
    <xf numFmtId="170" fontId="0" fillId="0" borderId="0" xfId="1" applyNumberFormat="1" applyFont="1"/>
    <xf numFmtId="10" fontId="9" fillId="0" borderId="0" xfId="0" applyNumberFormat="1" applyFont="1"/>
    <xf numFmtId="10" fontId="9" fillId="0" borderId="0" xfId="2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70" fontId="0" fillId="0" borderId="0" xfId="0" applyNumberFormat="1"/>
    <xf numFmtId="0" fontId="6" fillId="0" borderId="0" xfId="0" applyNumberFormat="1" applyFont="1"/>
    <xf numFmtId="0" fontId="19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/>
    <xf numFmtId="0" fontId="13" fillId="0" borderId="0" xfId="0" applyFont="1"/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58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0"/>
  <sheetViews>
    <sheetView topLeftCell="A76" workbookViewId="0">
      <selection sqref="A1:AA6"/>
    </sheetView>
  </sheetViews>
  <sheetFormatPr defaultColWidth="11" defaultRowHeight="15.75"/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</sheetData>
  <phoneticPr fontId="5" type="noConversion"/>
  <pageMargins left="0.75" right="0.75" top="1" bottom="1" header="0.5" footer="0.5"/>
  <pageSetup scale="3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V23"/>
  <sheetViews>
    <sheetView workbookViewId="0">
      <selection sqref="A1:J23"/>
    </sheetView>
  </sheetViews>
  <sheetFormatPr defaultColWidth="11" defaultRowHeight="15.75"/>
  <cols>
    <col min="1" max="1" width="6.375" customWidth="1"/>
    <col min="2" max="2" width="32.875" customWidth="1"/>
  </cols>
  <sheetData>
    <row r="3" spans="1:22" ht="21">
      <c r="B3" s="81" t="s">
        <v>298</v>
      </c>
      <c r="C3" s="81"/>
      <c r="D3" s="81"/>
      <c r="E3" s="81"/>
      <c r="F3" s="81"/>
      <c r="G3" s="81"/>
      <c r="H3" s="81"/>
      <c r="I3" s="81"/>
      <c r="J3" s="81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21">
      <c r="B4" s="81" t="s">
        <v>299</v>
      </c>
      <c r="C4" s="81"/>
      <c r="D4" s="81"/>
      <c r="E4" s="81"/>
      <c r="F4" s="81"/>
      <c r="G4" s="81"/>
      <c r="H4" s="81"/>
      <c r="I4" s="81"/>
      <c r="J4" s="81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>
      <c r="B5" s="80" t="s">
        <v>279</v>
      </c>
      <c r="C5" s="80"/>
      <c r="D5" s="80"/>
      <c r="E5" s="80"/>
      <c r="F5" s="80"/>
      <c r="G5" s="80"/>
      <c r="H5" s="80"/>
      <c r="I5" s="80"/>
      <c r="J5" s="80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9" spans="1:22" ht="18.75">
      <c r="D9" s="19" t="s">
        <v>56</v>
      </c>
      <c r="E9" s="19" t="s">
        <v>57</v>
      </c>
      <c r="F9" s="19" t="s">
        <v>58</v>
      </c>
      <c r="G9" s="19" t="s">
        <v>8</v>
      </c>
      <c r="H9" s="19" t="s">
        <v>59</v>
      </c>
      <c r="I9" s="19" t="s">
        <v>60</v>
      </c>
      <c r="J9" s="19" t="s">
        <v>61</v>
      </c>
    </row>
    <row r="10" spans="1:22" ht="39">
      <c r="A10" s="4" t="s">
        <v>0</v>
      </c>
      <c r="B10" s="4" t="s">
        <v>1</v>
      </c>
      <c r="C10" s="4" t="s">
        <v>4</v>
      </c>
      <c r="D10" s="4" t="s">
        <v>39</v>
      </c>
      <c r="E10" s="4" t="s">
        <v>52</v>
      </c>
      <c r="F10" s="4" t="s">
        <v>53</v>
      </c>
      <c r="G10" s="4" t="s">
        <v>54</v>
      </c>
      <c r="H10" s="4" t="s">
        <v>55</v>
      </c>
      <c r="I10" s="4" t="s">
        <v>110</v>
      </c>
      <c r="J10" s="4" t="s">
        <v>111</v>
      </c>
      <c r="L10" s="4"/>
    </row>
    <row r="11" spans="1:22">
      <c r="A11">
        <v>1</v>
      </c>
      <c r="B11" t="s">
        <v>22</v>
      </c>
      <c r="C11" t="s">
        <v>23</v>
      </c>
      <c r="D11" s="6">
        <f>'GAS GROUP INPUT P1'!E11</f>
        <v>0.75</v>
      </c>
      <c r="E11" s="11">
        <f>'GAS GROUP INPUT P1'!T11</f>
        <v>0.505</v>
      </c>
      <c r="F11" s="11">
        <f>'GAS GROUP INPUT P1'!U11</f>
        <v>0.52500000000000002</v>
      </c>
      <c r="G11" s="11">
        <f>'GAS GROUP INPUT P1'!V11</f>
        <v>0.51500000000000001</v>
      </c>
      <c r="H11" s="11">
        <f>'GAS GROUP INPUT P1'!W11</f>
        <v>0.48499999999999999</v>
      </c>
      <c r="I11" s="3" t="s">
        <v>223</v>
      </c>
      <c r="J11" s="3" t="s">
        <v>226</v>
      </c>
    </row>
    <row r="12" spans="1:22">
      <c r="A12">
        <f>A11+1</f>
        <v>2</v>
      </c>
      <c r="B12" t="s">
        <v>24</v>
      </c>
      <c r="C12" t="s">
        <v>25</v>
      </c>
      <c r="D12" s="6">
        <f>'GAS GROUP INPUT P1'!E12</f>
        <v>0.7</v>
      </c>
      <c r="E12" s="11">
        <f>'GAS GROUP INPUT P1'!T12</f>
        <v>0.54700000000000004</v>
      </c>
      <c r="F12" s="11">
        <f>'GAS GROUP INPUT P1'!U12</f>
        <v>0.51</v>
      </c>
      <c r="G12" s="11">
        <f>'GAS GROUP INPUT P1'!V12</f>
        <v>0.51</v>
      </c>
      <c r="H12" s="11">
        <f>'GAS GROUP INPUT P1'!W12</f>
        <v>0.51</v>
      </c>
      <c r="I12" s="3" t="s">
        <v>222</v>
      </c>
      <c r="J12" s="3" t="s">
        <v>221</v>
      </c>
    </row>
    <row r="13" spans="1:22">
      <c r="A13" s="32">
        <f t="shared" ref="A13:A20" si="0">A12+1</f>
        <v>3</v>
      </c>
      <c r="B13" s="2" t="s">
        <v>26</v>
      </c>
      <c r="C13" s="2" t="s">
        <v>27</v>
      </c>
      <c r="D13" s="6">
        <f>'GAS GROUP INPUT P1'!E13</f>
        <v>0.7</v>
      </c>
      <c r="E13" s="11">
        <f>'GAS GROUP INPUT P1'!T13</f>
        <v>0.60799999999999998</v>
      </c>
      <c r="F13" s="11">
        <f>'GAS GROUP INPUT P1'!U13</f>
        <v>0.6</v>
      </c>
      <c r="G13" s="11">
        <f>'GAS GROUP INPUT P1'!V13</f>
        <v>0.61499999999999999</v>
      </c>
      <c r="H13" s="11">
        <f>'GAS GROUP INPUT P1'!W13</f>
        <v>0.66500000000000004</v>
      </c>
      <c r="I13" s="3" t="s">
        <v>228</v>
      </c>
      <c r="J13" s="3" t="s">
        <v>280</v>
      </c>
    </row>
    <row r="14" spans="1:22">
      <c r="A14" s="32">
        <f t="shared" si="0"/>
        <v>4</v>
      </c>
      <c r="B14" s="2" t="s">
        <v>28</v>
      </c>
      <c r="C14" s="2" t="s">
        <v>29</v>
      </c>
      <c r="D14" s="6">
        <f>'GAS GROUP INPUT P1'!E14</f>
        <v>0.6</v>
      </c>
      <c r="E14" s="11">
        <f>'GAS GROUP INPUT P1'!T14</f>
        <v>0.51500000000000001</v>
      </c>
      <c r="F14" s="11">
        <f>'GAS GROUP INPUT P1'!U14</f>
        <v>0.51500000000000001</v>
      </c>
      <c r="G14" s="11">
        <f>'GAS GROUP INPUT P1'!V14</f>
        <v>0.51500000000000001</v>
      </c>
      <c r="H14" s="11">
        <f>'GAS GROUP INPUT P1'!W14</f>
        <v>0.52</v>
      </c>
      <c r="I14" s="3" t="s">
        <v>224</v>
      </c>
      <c r="J14" s="3" t="s">
        <v>225</v>
      </c>
    </row>
    <row r="15" spans="1:22">
      <c r="A15" s="32">
        <f t="shared" si="0"/>
        <v>5</v>
      </c>
      <c r="B15" s="2" t="s">
        <v>30</v>
      </c>
      <c r="C15" s="2" t="s">
        <v>31</v>
      </c>
      <c r="D15" s="6">
        <f>'GAS GROUP INPUT P1'!E15</f>
        <v>0.7</v>
      </c>
      <c r="E15" s="11">
        <f>'GAS GROUP INPUT P1'!T15</f>
        <v>0.51300000000000001</v>
      </c>
      <c r="F15" s="11">
        <f>'GAS GROUP INPUT P1'!U15</f>
        <v>0.54500000000000004</v>
      </c>
      <c r="G15" s="11">
        <f>'GAS GROUP INPUT P1'!V15</f>
        <v>0.52500000000000002</v>
      </c>
      <c r="H15" s="11">
        <f>'GAS GROUP INPUT P1'!W15</f>
        <v>0.52500000000000002</v>
      </c>
      <c r="I15" s="3" t="s">
        <v>220</v>
      </c>
      <c r="J15" s="3" t="s">
        <v>56</v>
      </c>
    </row>
    <row r="16" spans="1:22">
      <c r="A16" s="32">
        <f t="shared" si="0"/>
        <v>6</v>
      </c>
      <c r="B16" s="2" t="s">
        <v>32</v>
      </c>
      <c r="C16" s="2" t="s">
        <v>33</v>
      </c>
      <c r="D16" s="6">
        <f>'GAS GROUP INPUT P1'!E16</f>
        <v>0.65</v>
      </c>
      <c r="E16" s="11">
        <f>'GAS GROUP INPUT P1'!T16</f>
        <v>0.55000000000000004</v>
      </c>
      <c r="F16" s="11">
        <f>'GAS GROUP INPUT P1'!U16</f>
        <v>0.56999999999999995</v>
      </c>
      <c r="G16" s="11">
        <f>'GAS GROUP INPUT P1'!V16</f>
        <v>0.57499999999999996</v>
      </c>
      <c r="H16" s="11">
        <f>'GAS GROUP INPUT P1'!W16</f>
        <v>0.57999999999999996</v>
      </c>
      <c r="I16" s="3" t="s">
        <v>224</v>
      </c>
      <c r="J16" s="3" t="s">
        <v>56</v>
      </c>
    </row>
    <row r="17" spans="1:10">
      <c r="A17" s="32">
        <f t="shared" si="0"/>
        <v>7</v>
      </c>
      <c r="B17" s="2" t="s">
        <v>34</v>
      </c>
      <c r="C17" s="2" t="s">
        <v>35</v>
      </c>
      <c r="D17" s="6">
        <f>'GAS GROUP INPUT P1'!E17</f>
        <v>0.75</v>
      </c>
      <c r="E17" s="11">
        <f>'GAS GROUP INPUT P1'!T17</f>
        <v>0.50800000000000001</v>
      </c>
      <c r="F17" s="11">
        <f>'GAS GROUP INPUT P1'!U17</f>
        <v>0.52500000000000002</v>
      </c>
      <c r="G17" s="11">
        <f>'GAS GROUP INPUT P1'!V17</f>
        <v>0.52500000000000002</v>
      </c>
      <c r="H17" s="11">
        <f>'GAS GROUP INPUT P1'!W17</f>
        <v>0.51500000000000001</v>
      </c>
      <c r="I17" s="3" t="s">
        <v>222</v>
      </c>
      <c r="J17" s="3" t="s">
        <v>219</v>
      </c>
    </row>
    <row r="18" spans="1:10">
      <c r="A18" s="32">
        <f t="shared" si="0"/>
        <v>8</v>
      </c>
      <c r="B18" s="2" t="s">
        <v>37</v>
      </c>
      <c r="C18" s="2" t="s">
        <v>36</v>
      </c>
      <c r="D18" s="6">
        <f>'GAS GROUP INPUT P1'!E19</f>
        <v>0.68750000000000011</v>
      </c>
      <c r="E18" s="11">
        <f>'GAS GROUP INPUT P1'!T18</f>
        <v>0.67500000000000004</v>
      </c>
      <c r="F18" s="11">
        <f>'GAS GROUP INPUT P1'!U18</f>
        <v>0.68</v>
      </c>
      <c r="G18" s="11">
        <f>'GAS GROUP INPUT P1'!V18</f>
        <v>0.7</v>
      </c>
      <c r="H18" s="11">
        <f>'GAS GROUP INPUT P1'!W18</f>
        <v>0.70499999999999996</v>
      </c>
      <c r="I18" s="3" t="s">
        <v>223</v>
      </c>
      <c r="J18" s="3" t="s">
        <v>280</v>
      </c>
    </row>
    <row r="19" spans="1:10">
      <c r="A19" s="32">
        <f t="shared" si="0"/>
        <v>9</v>
      </c>
      <c r="B19" s="2" t="s">
        <v>109</v>
      </c>
      <c r="C19" s="2"/>
      <c r="D19" s="6">
        <f>AVERAGE(D11:D18)</f>
        <v>0.69218750000000007</v>
      </c>
      <c r="E19" s="11">
        <f>AVERAGE(E11:E18)</f>
        <v>0.55262500000000003</v>
      </c>
      <c r="F19" s="11">
        <f>AVERAGE(F11:F18)</f>
        <v>0.55874999999999997</v>
      </c>
      <c r="G19" s="11">
        <f>AVERAGE(G11:G18)</f>
        <v>0.55999999999999994</v>
      </c>
      <c r="H19" s="11">
        <f>AVERAGE(H11:H18)</f>
        <v>0.56312499999999999</v>
      </c>
      <c r="I19" s="3"/>
      <c r="J19" s="3"/>
    </row>
    <row r="20" spans="1:10">
      <c r="A20" s="32">
        <f t="shared" si="0"/>
        <v>10</v>
      </c>
      <c r="B20" s="2" t="s">
        <v>211</v>
      </c>
      <c r="D20" s="6">
        <f>MEDIAN(D11:D18)</f>
        <v>0.7</v>
      </c>
      <c r="E20" s="5">
        <f t="shared" ref="E20:G20" si="1">MEDIAN(E11:E18)</f>
        <v>0.53100000000000003</v>
      </c>
      <c r="F20" s="5">
        <f t="shared" si="1"/>
        <v>0.53500000000000003</v>
      </c>
      <c r="G20" s="5">
        <f t="shared" si="1"/>
        <v>0.52500000000000002</v>
      </c>
      <c r="H20" s="5">
        <f>MEDIAN(H11:H18)</f>
        <v>0.52249999999999996</v>
      </c>
    </row>
    <row r="21" spans="1:10">
      <c r="B21" s="31" t="s">
        <v>227</v>
      </c>
    </row>
    <row r="22" spans="1:10">
      <c r="B22" s="60" t="s">
        <v>291</v>
      </c>
    </row>
    <row r="23" spans="1:10">
      <c r="B23" s="60" t="s">
        <v>290</v>
      </c>
    </row>
  </sheetData>
  <mergeCells count="3">
    <mergeCell ref="B3:J3"/>
    <mergeCell ref="B4:J4"/>
    <mergeCell ref="B5:J5"/>
  </mergeCells>
  <phoneticPr fontId="5" type="noConversion"/>
  <pageMargins left="0.75" right="0.75" top="1" bottom="1" header="0.5" footer="0.5"/>
  <pageSetup scale="90" orientation="landscape" horizontalDpi="4294967292" verticalDpi="4294967292"/>
  <headerFooter>
    <oddHeader>&amp;R&amp;"Calibri,Regular"&amp;K000000Exhibit OCS 2.4_x000D_Page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J27" sqref="J27"/>
    </sheetView>
  </sheetViews>
  <sheetFormatPr defaultColWidth="11" defaultRowHeight="15.75"/>
  <sheetData/>
  <phoneticPr fontId="5" type="noConversion"/>
  <pageMargins left="0.75" right="0.75" top="1" bottom="1" header="0.5" footer="0.5"/>
  <pageSetup scale="59" orientation="landscape" horizontalDpi="4294967292" verticalDpi="4294967292"/>
  <headerFooter>
    <oddHeader>&amp;R&amp;"Calibri,Regular"&amp;K000000Exhibit___x000D_Schedule (DJL-5)_x000D_Page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5"/>
  <sheetViews>
    <sheetView workbookViewId="0">
      <selection sqref="A1:AD8"/>
    </sheetView>
  </sheetViews>
  <sheetFormatPr defaultColWidth="11" defaultRowHeight="15.75"/>
  <sheetData>
    <row r="25" spans="2:2">
      <c r="B25" s="18"/>
    </row>
  </sheetData>
  <phoneticPr fontId="5" type="noConversion"/>
  <pageMargins left="0.75" right="0.75" top="1" bottom="1" header="0.5" footer="0.5"/>
  <pageSetup scale="66" orientation="landscape" horizontalDpi="4294967292" verticalDpi="4294967292"/>
  <headerFooter>
    <oddHeader>&amp;R&amp;"Calibri,Regular"&amp;K000000Exhibit___x000D_Schedule (DJL-5)_x000D_Page 2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AA29"/>
  <sheetViews>
    <sheetView workbookViewId="0">
      <selection sqref="A1:AA26"/>
    </sheetView>
  </sheetViews>
  <sheetFormatPr defaultColWidth="11" defaultRowHeight="15.75"/>
  <cols>
    <col min="1" max="1" width="6.375" customWidth="1"/>
    <col min="2" max="2" width="32.625" customWidth="1"/>
    <col min="4" max="15" width="10.875" hidden="1" customWidth="1"/>
    <col min="16" max="16" width="10.875" style="32" customWidth="1"/>
  </cols>
  <sheetData>
    <row r="3" spans="1:27" ht="21">
      <c r="B3" s="81" t="s">
        <v>298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21">
      <c r="B4" s="81" t="s">
        <v>299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t="21">
      <c r="B5" s="80" t="s">
        <v>112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9" spans="1:27">
      <c r="D9" t="s">
        <v>56</v>
      </c>
      <c r="E9" t="s">
        <v>57</v>
      </c>
      <c r="F9" s="3" t="s">
        <v>58</v>
      </c>
      <c r="G9" s="3" t="s">
        <v>8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67</v>
      </c>
      <c r="Q9" s="3" t="s">
        <v>69</v>
      </c>
      <c r="R9" s="3" t="s">
        <v>70</v>
      </c>
      <c r="S9" s="3" t="s">
        <v>71</v>
      </c>
      <c r="T9" s="3" t="s">
        <v>72</v>
      </c>
      <c r="U9" s="3" t="s">
        <v>73</v>
      </c>
      <c r="V9" s="3" t="s">
        <v>74</v>
      </c>
      <c r="W9" s="3" t="s">
        <v>75</v>
      </c>
      <c r="X9" s="3" t="s">
        <v>76</v>
      </c>
      <c r="Y9" s="3" t="s">
        <v>77</v>
      </c>
      <c r="Z9" s="3" t="s">
        <v>92</v>
      </c>
      <c r="AA9" s="3" t="s">
        <v>93</v>
      </c>
    </row>
    <row r="10" spans="1:27" ht="63">
      <c r="A10" s="4" t="s">
        <v>0</v>
      </c>
      <c r="B10" s="4" t="s">
        <v>1</v>
      </c>
      <c r="C10" s="4" t="s">
        <v>4</v>
      </c>
      <c r="D10" s="12">
        <v>41477</v>
      </c>
      <c r="E10" s="12">
        <v>41484</v>
      </c>
      <c r="F10" s="12">
        <v>41491</v>
      </c>
      <c r="G10" s="12">
        <v>41498</v>
      </c>
      <c r="H10" s="12">
        <v>41505</v>
      </c>
      <c r="I10" s="12">
        <v>41512</v>
      </c>
      <c r="J10" s="12">
        <v>41520</v>
      </c>
      <c r="K10" s="12">
        <v>41526</v>
      </c>
      <c r="L10" s="12">
        <v>41533</v>
      </c>
      <c r="M10" s="12">
        <v>41540</v>
      </c>
      <c r="N10" s="12">
        <v>41547</v>
      </c>
      <c r="O10" s="12">
        <v>41554</v>
      </c>
      <c r="P10" s="37" t="s">
        <v>317</v>
      </c>
      <c r="Q10" s="13" t="s">
        <v>114</v>
      </c>
      <c r="R10" s="13" t="s">
        <v>113</v>
      </c>
      <c r="S10" s="13" t="s">
        <v>304</v>
      </c>
      <c r="T10" s="13" t="s">
        <v>115</v>
      </c>
      <c r="U10" s="13" t="s">
        <v>116</v>
      </c>
      <c r="V10" s="13" t="s">
        <v>117</v>
      </c>
      <c r="W10" s="13" t="s">
        <v>305</v>
      </c>
      <c r="X10" s="13" t="s">
        <v>229</v>
      </c>
      <c r="Y10" s="13" t="s">
        <v>308</v>
      </c>
      <c r="Z10" s="13" t="s">
        <v>292</v>
      </c>
      <c r="AA10" s="13" t="s">
        <v>293</v>
      </c>
    </row>
    <row r="11" spans="1:27">
      <c r="A11">
        <v>1</v>
      </c>
      <c r="B11" t="s">
        <v>22</v>
      </c>
      <c r="C11" t="s">
        <v>23</v>
      </c>
      <c r="D11" s="7">
        <v>46.14</v>
      </c>
      <c r="E11" s="7">
        <v>45.99</v>
      </c>
      <c r="F11" s="7">
        <v>45.91</v>
      </c>
      <c r="G11" s="7">
        <v>44.5</v>
      </c>
      <c r="H11" s="7">
        <v>45.33</v>
      </c>
      <c r="I11" s="7">
        <v>43.95</v>
      </c>
      <c r="J11" s="7">
        <v>43.85</v>
      </c>
      <c r="K11" s="7">
        <v>44.03</v>
      </c>
      <c r="L11" s="7">
        <v>45.79</v>
      </c>
      <c r="M11" s="7">
        <v>45.82</v>
      </c>
      <c r="N11" s="7">
        <v>45.12</v>
      </c>
      <c r="O11" s="7">
        <v>44.8</v>
      </c>
      <c r="P11" s="7">
        <f t="shared" ref="P11:P18" si="0">AVERAGE(D11:O11)</f>
        <v>45.102499999999999</v>
      </c>
      <c r="Q11" s="7">
        <f>AVERAGE(H11:O11)</f>
        <v>44.83625</v>
      </c>
      <c r="R11" s="7">
        <f>AVERAGE(J11:O11)</f>
        <v>44.901666666666664</v>
      </c>
      <c r="S11" s="7">
        <v>44.8</v>
      </c>
      <c r="T11" s="7">
        <v>36.9</v>
      </c>
      <c r="U11" s="7">
        <v>47</v>
      </c>
      <c r="V11" s="7">
        <f>AVERAGE(T11:U11)</f>
        <v>41.95</v>
      </c>
      <c r="W11" s="9">
        <v>0.47</v>
      </c>
      <c r="X11" s="5">
        <f>(4*W11)/R11</f>
        <v>4.1869269886047292E-2</v>
      </c>
      <c r="Y11" s="7">
        <f>R11</f>
        <v>44.901666666666664</v>
      </c>
      <c r="Z11" s="14">
        <f>'GAS GROUP INPUT P1'!H11</f>
        <v>1.92</v>
      </c>
      <c r="AA11" s="5">
        <f>Z11/Y11</f>
        <v>4.2760105415537659E-2</v>
      </c>
    </row>
    <row r="12" spans="1:27">
      <c r="A12">
        <f>A11+1</f>
        <v>2</v>
      </c>
      <c r="B12" t="s">
        <v>24</v>
      </c>
      <c r="C12" t="s">
        <v>25</v>
      </c>
      <c r="D12" s="7">
        <v>44.28</v>
      </c>
      <c r="E12" s="7">
        <v>44.77</v>
      </c>
      <c r="F12" s="7">
        <v>44.23</v>
      </c>
      <c r="G12" s="7">
        <v>41.62</v>
      </c>
      <c r="H12" s="7">
        <v>41.83</v>
      </c>
      <c r="I12" s="7">
        <v>40.35</v>
      </c>
      <c r="J12" s="7">
        <v>39.49</v>
      </c>
      <c r="K12" s="7">
        <v>40.61</v>
      </c>
      <c r="L12" s="7">
        <v>41.73</v>
      </c>
      <c r="M12" s="7">
        <v>42.3</v>
      </c>
      <c r="N12" s="7">
        <v>41.62</v>
      </c>
      <c r="O12" s="7">
        <v>41.24</v>
      </c>
      <c r="P12" s="7">
        <f t="shared" si="0"/>
        <v>42.005833333333342</v>
      </c>
      <c r="Q12" s="7">
        <f t="shared" ref="Q12:Q18" si="1">AVERAGE(H12:O12)</f>
        <v>41.146250000000002</v>
      </c>
      <c r="R12" s="7">
        <f t="shared" ref="R12:R18" si="2">AVERAGE(J12:O12)</f>
        <v>41.164999999999999</v>
      </c>
      <c r="S12" s="7">
        <v>41.32</v>
      </c>
      <c r="T12" s="7">
        <v>32.94</v>
      </c>
      <c r="U12" s="7">
        <v>45.55</v>
      </c>
      <c r="V12" s="7">
        <f t="shared" ref="V12:V18" si="3">AVERAGE(T12:U12)</f>
        <v>39.244999999999997</v>
      </c>
      <c r="W12" s="9">
        <v>0.35</v>
      </c>
      <c r="X12" s="5">
        <f t="shared" ref="X12:X18" si="4">(4*W12)/R12</f>
        <v>3.4009474067776019E-2</v>
      </c>
      <c r="Y12" s="7">
        <f t="shared" ref="Y12:Y18" si="5">R12</f>
        <v>41.164999999999999</v>
      </c>
      <c r="Z12" s="14">
        <f>'GAS GROUP INPUT P1'!H12</f>
        <v>1.42</v>
      </c>
      <c r="AA12" s="5">
        <f t="shared" ref="AA12:AA18" si="6">Z12/Y12</f>
        <v>3.4495323697315679E-2</v>
      </c>
    </row>
    <row r="13" spans="1:27">
      <c r="A13" s="32">
        <f t="shared" ref="A13:A20" si="7">A12+1</f>
        <v>3</v>
      </c>
      <c r="B13" s="2" t="s">
        <v>26</v>
      </c>
      <c r="C13" s="2" t="s">
        <v>27</v>
      </c>
      <c r="D13" s="7">
        <v>45.1</v>
      </c>
      <c r="E13" s="7">
        <v>44.77</v>
      </c>
      <c r="F13" s="7">
        <v>45.37</v>
      </c>
      <c r="G13" s="7">
        <v>43.54</v>
      </c>
      <c r="H13" s="7">
        <v>44.26</v>
      </c>
      <c r="I13" s="7">
        <v>43.08</v>
      </c>
      <c r="J13" s="7">
        <v>42.21</v>
      </c>
      <c r="K13" s="7">
        <v>42.63</v>
      </c>
      <c r="L13" s="7">
        <v>44.19</v>
      </c>
      <c r="M13" s="7">
        <v>43.89</v>
      </c>
      <c r="N13" s="7">
        <v>43.2</v>
      </c>
      <c r="O13" s="7">
        <v>42.59</v>
      </c>
      <c r="P13" s="7">
        <f t="shared" si="0"/>
        <v>43.735833333333325</v>
      </c>
      <c r="Q13" s="7">
        <f t="shared" si="1"/>
        <v>43.256249999999994</v>
      </c>
      <c r="R13" s="7">
        <f t="shared" si="2"/>
        <v>43.118333333333339</v>
      </c>
      <c r="S13" s="7">
        <v>42.8</v>
      </c>
      <c r="T13" s="7">
        <v>38.51</v>
      </c>
      <c r="U13" s="7">
        <v>47.6</v>
      </c>
      <c r="V13" s="7">
        <f t="shared" si="3"/>
        <v>43.055</v>
      </c>
      <c r="W13" s="9">
        <v>0.42</v>
      </c>
      <c r="X13" s="5">
        <f t="shared" si="4"/>
        <v>3.8962544934482618E-2</v>
      </c>
      <c r="Y13" s="7">
        <f t="shared" si="5"/>
        <v>43.118333333333339</v>
      </c>
      <c r="Z13" s="14">
        <f>'GAS GROUP INPUT P1'!H13</f>
        <v>1.64</v>
      </c>
      <c r="AA13" s="5">
        <f t="shared" si="6"/>
        <v>3.8034865293185414E-2</v>
      </c>
    </row>
    <row r="14" spans="1:27">
      <c r="A14" s="32">
        <f t="shared" si="7"/>
        <v>4</v>
      </c>
      <c r="B14" s="2" t="s">
        <v>28</v>
      </c>
      <c r="C14" s="2" t="s">
        <v>29</v>
      </c>
      <c r="D14" s="7">
        <v>44.79</v>
      </c>
      <c r="E14" s="7">
        <v>44.03</v>
      </c>
      <c r="F14" s="7">
        <v>43.11</v>
      </c>
      <c r="G14" s="7">
        <v>41.72</v>
      </c>
      <c r="H14" s="7">
        <v>42.26</v>
      </c>
      <c r="I14" s="7">
        <v>41.04</v>
      </c>
      <c r="J14" s="7">
        <v>40.25</v>
      </c>
      <c r="K14" s="7">
        <v>40.72</v>
      </c>
      <c r="L14" s="7">
        <v>41.56</v>
      </c>
      <c r="M14" s="7">
        <v>41.97</v>
      </c>
      <c r="N14" s="7">
        <v>41.45</v>
      </c>
      <c r="O14" s="7">
        <v>41.17</v>
      </c>
      <c r="P14" s="7">
        <f t="shared" si="0"/>
        <v>42.005833333333328</v>
      </c>
      <c r="Q14" s="7">
        <f t="shared" si="1"/>
        <v>41.302500000000002</v>
      </c>
      <c r="R14" s="7">
        <f t="shared" si="2"/>
        <v>41.186666666666667</v>
      </c>
      <c r="S14" s="7">
        <v>41.29</v>
      </c>
      <c r="T14" s="7">
        <v>39.96</v>
      </c>
      <c r="U14" s="7">
        <v>50.68</v>
      </c>
      <c r="V14" s="7">
        <f t="shared" si="3"/>
        <v>45.32</v>
      </c>
      <c r="W14" s="9">
        <v>0.45500000000000002</v>
      </c>
      <c r="X14" s="5">
        <f t="shared" si="4"/>
        <v>4.4189057947555843E-2</v>
      </c>
      <c r="Y14" s="7">
        <f t="shared" si="5"/>
        <v>41.186666666666667</v>
      </c>
      <c r="Z14" s="14">
        <f>'GAS GROUP INPUT P1'!H14</f>
        <v>1.87</v>
      </c>
      <c r="AA14" s="5">
        <f t="shared" si="6"/>
        <v>4.5403043056005184E-2</v>
      </c>
    </row>
    <row r="15" spans="1:27">
      <c r="A15" s="32">
        <f t="shared" si="7"/>
        <v>5</v>
      </c>
      <c r="B15" s="2" t="s">
        <v>30</v>
      </c>
      <c r="C15" s="2" t="s">
        <v>31</v>
      </c>
      <c r="D15" s="7">
        <v>35.049999999999997</v>
      </c>
      <c r="E15" s="7">
        <v>34.69</v>
      </c>
      <c r="F15" s="7">
        <v>34.229999999999997</v>
      </c>
      <c r="G15" s="7">
        <v>32.479999999999997</v>
      </c>
      <c r="H15" s="7">
        <v>32.880000000000003</v>
      </c>
      <c r="I15" s="7">
        <v>32.26</v>
      </c>
      <c r="J15" s="7">
        <v>31.94</v>
      </c>
      <c r="K15" s="7">
        <v>32.700000000000003</v>
      </c>
      <c r="L15" s="7">
        <v>32.99</v>
      </c>
      <c r="M15" s="7">
        <v>32.659999999999997</v>
      </c>
      <c r="N15" s="7">
        <v>31.89</v>
      </c>
      <c r="O15" s="7">
        <v>31.91</v>
      </c>
      <c r="P15" s="7">
        <f t="shared" si="0"/>
        <v>32.973333333333336</v>
      </c>
      <c r="Q15" s="7">
        <f t="shared" si="1"/>
        <v>32.403750000000002</v>
      </c>
      <c r="R15" s="7">
        <f t="shared" si="2"/>
        <v>32.348333333333336</v>
      </c>
      <c r="S15" s="7">
        <v>32.14</v>
      </c>
      <c r="T15" s="7">
        <v>28.51</v>
      </c>
      <c r="U15" s="7">
        <v>35.53</v>
      </c>
      <c r="V15" s="7">
        <f t="shared" si="3"/>
        <v>32.020000000000003</v>
      </c>
      <c r="W15" s="9">
        <v>0.31</v>
      </c>
      <c r="X15" s="5">
        <f t="shared" si="4"/>
        <v>3.8332732237621715E-2</v>
      </c>
      <c r="Y15" s="7">
        <f t="shared" si="5"/>
        <v>32.348333333333336</v>
      </c>
      <c r="Z15" s="14">
        <f>'GAS GROUP INPUT P1'!H15</f>
        <v>1.27</v>
      </c>
      <c r="AA15" s="5">
        <f t="shared" si="6"/>
        <v>3.9260137049822244E-2</v>
      </c>
    </row>
    <row r="16" spans="1:27">
      <c r="A16" s="32">
        <f t="shared" si="7"/>
        <v>6</v>
      </c>
      <c r="B16" s="2" t="s">
        <v>32</v>
      </c>
      <c r="C16" s="2" t="s">
        <v>33</v>
      </c>
      <c r="D16" s="7">
        <v>61.67</v>
      </c>
      <c r="E16" s="7">
        <v>61.43</v>
      </c>
      <c r="F16" s="7">
        <v>60.37</v>
      </c>
      <c r="G16" s="7">
        <v>57.73</v>
      </c>
      <c r="H16" s="7">
        <v>59.08</v>
      </c>
      <c r="I16" s="7">
        <v>57.76</v>
      </c>
      <c r="J16" s="7">
        <v>56.79</v>
      </c>
      <c r="K16" s="7">
        <v>57.29</v>
      </c>
      <c r="L16" s="7">
        <v>57.8</v>
      </c>
      <c r="M16" s="7">
        <v>57.8</v>
      </c>
      <c r="N16" s="7">
        <v>57.33</v>
      </c>
      <c r="O16" s="7">
        <v>56.6</v>
      </c>
      <c r="P16" s="7">
        <f t="shared" si="0"/>
        <v>58.470833333333331</v>
      </c>
      <c r="Q16" s="7">
        <f t="shared" si="1"/>
        <v>57.556249999999999</v>
      </c>
      <c r="R16" s="7">
        <f t="shared" si="2"/>
        <v>57.268333333333338</v>
      </c>
      <c r="S16" s="7">
        <v>56.76</v>
      </c>
      <c r="T16" s="7">
        <v>45.81</v>
      </c>
      <c r="U16" s="7">
        <v>62.28</v>
      </c>
      <c r="V16" s="7">
        <f t="shared" si="3"/>
        <v>54.045000000000002</v>
      </c>
      <c r="W16" s="9">
        <v>0.443</v>
      </c>
      <c r="X16" s="5">
        <f t="shared" si="4"/>
        <v>3.0942056401152468E-2</v>
      </c>
      <c r="Y16" s="7">
        <f t="shared" si="5"/>
        <v>57.268333333333338</v>
      </c>
      <c r="Z16" s="14">
        <f>'GAS GROUP INPUT P1'!H16</f>
        <v>1.95</v>
      </c>
      <c r="AA16" s="5">
        <f t="shared" si="6"/>
        <v>3.4050231366956722E-2</v>
      </c>
    </row>
    <row r="17" spans="1:27">
      <c r="A17" s="32">
        <f t="shared" si="7"/>
        <v>7</v>
      </c>
      <c r="B17" s="2" t="s">
        <v>34</v>
      </c>
      <c r="C17" s="2" t="s">
        <v>35</v>
      </c>
      <c r="D17" s="7">
        <v>49.53</v>
      </c>
      <c r="E17" s="7">
        <v>49.55</v>
      </c>
      <c r="F17" s="7">
        <v>49.58</v>
      </c>
      <c r="G17" s="7">
        <v>47.52</v>
      </c>
      <c r="H17" s="7">
        <v>47.95</v>
      </c>
      <c r="I17" s="7">
        <v>46.78</v>
      </c>
      <c r="J17" s="7">
        <v>46.38</v>
      </c>
      <c r="K17" s="7">
        <v>46.71</v>
      </c>
      <c r="L17" s="7">
        <v>48.67</v>
      </c>
      <c r="M17" s="7">
        <v>49.98</v>
      </c>
      <c r="N17" s="7">
        <v>49.39</v>
      </c>
      <c r="O17" s="7">
        <v>49.28</v>
      </c>
      <c r="P17" s="7">
        <f t="shared" si="0"/>
        <v>48.443333333333328</v>
      </c>
      <c r="Q17" s="7">
        <f t="shared" si="1"/>
        <v>48.142499999999998</v>
      </c>
      <c r="R17" s="7">
        <f t="shared" si="2"/>
        <v>48.401666666666664</v>
      </c>
      <c r="S17" s="7">
        <v>49.67</v>
      </c>
      <c r="T17" s="7">
        <v>39.01</v>
      </c>
      <c r="U17" s="7">
        <v>51.52</v>
      </c>
      <c r="V17" s="7">
        <f t="shared" si="3"/>
        <v>45.265000000000001</v>
      </c>
      <c r="W17" s="9">
        <v>0.33</v>
      </c>
      <c r="X17" s="5">
        <f t="shared" si="4"/>
        <v>2.7271788161564687E-2</v>
      </c>
      <c r="Y17" s="7">
        <f t="shared" si="5"/>
        <v>48.401666666666664</v>
      </c>
      <c r="Z17" s="14">
        <f>'GAS GROUP INPUT P1'!H17</f>
        <v>1.4</v>
      </c>
      <c r="AA17" s="5">
        <f t="shared" si="6"/>
        <v>2.892462380772012E-2</v>
      </c>
    </row>
    <row r="18" spans="1:27">
      <c r="A18" s="32">
        <f t="shared" si="7"/>
        <v>8</v>
      </c>
      <c r="B18" s="2" t="s">
        <v>37</v>
      </c>
      <c r="C18" s="2" t="s">
        <v>36</v>
      </c>
      <c r="D18" s="7">
        <v>46.15</v>
      </c>
      <c r="E18" s="7">
        <v>46.25</v>
      </c>
      <c r="F18" s="7">
        <v>45.56</v>
      </c>
      <c r="G18" s="7">
        <v>43.34</v>
      </c>
      <c r="H18" s="7">
        <v>43.45</v>
      </c>
      <c r="I18" s="7">
        <v>41.74</v>
      </c>
      <c r="J18" s="7">
        <v>40.32</v>
      </c>
      <c r="K18" s="7">
        <v>41.09</v>
      </c>
      <c r="L18" s="7">
        <v>41.66</v>
      </c>
      <c r="M18" s="7">
        <v>42.6</v>
      </c>
      <c r="N18" s="7">
        <v>41.85</v>
      </c>
      <c r="O18" s="7">
        <v>41.54</v>
      </c>
      <c r="P18" s="7">
        <f t="shared" si="0"/>
        <v>42.962499999999999</v>
      </c>
      <c r="Q18" s="7">
        <f t="shared" si="1"/>
        <v>41.78125</v>
      </c>
      <c r="R18" s="7">
        <f t="shared" si="2"/>
        <v>41.51</v>
      </c>
      <c r="S18" s="7">
        <v>41.47</v>
      </c>
      <c r="T18" s="7">
        <v>35.96</v>
      </c>
      <c r="U18" s="7">
        <v>46.96</v>
      </c>
      <c r="V18" s="7">
        <f t="shared" si="3"/>
        <v>41.46</v>
      </c>
      <c r="W18" s="9">
        <v>0.42</v>
      </c>
      <c r="X18" s="5">
        <f t="shared" si="4"/>
        <v>4.0472175379426642E-2</v>
      </c>
      <c r="Y18" s="7">
        <f t="shared" si="5"/>
        <v>41.51</v>
      </c>
      <c r="Z18" s="14">
        <f>'GAS GROUP INPUT P1'!H19</f>
        <v>1.6475</v>
      </c>
      <c r="AA18" s="5">
        <f t="shared" si="6"/>
        <v>3.96892315104794E-2</v>
      </c>
    </row>
    <row r="19" spans="1:27">
      <c r="A19" s="32">
        <f t="shared" si="7"/>
        <v>9</v>
      </c>
      <c r="B19" s="2" t="s">
        <v>109</v>
      </c>
      <c r="C19" s="2"/>
      <c r="D19" s="7">
        <f>AVERAGE(D11:D18)</f>
        <v>46.588750000000005</v>
      </c>
      <c r="E19" s="7">
        <f t="shared" ref="E19:AA19" si="8">AVERAGE(E11:E18)</f>
        <v>46.435000000000002</v>
      </c>
      <c r="F19" s="7">
        <f t="shared" si="8"/>
        <v>46.044999999999995</v>
      </c>
      <c r="G19" s="7">
        <f t="shared" si="8"/>
        <v>44.056249999999991</v>
      </c>
      <c r="H19" s="7">
        <f t="shared" si="8"/>
        <v>44.629999999999995</v>
      </c>
      <c r="I19" s="7">
        <f t="shared" si="8"/>
        <v>43.370000000000005</v>
      </c>
      <c r="J19" s="7">
        <f t="shared" si="8"/>
        <v>42.653750000000002</v>
      </c>
      <c r="K19" s="7">
        <f t="shared" si="8"/>
        <v>43.222499999999997</v>
      </c>
      <c r="L19" s="7">
        <f t="shared" si="8"/>
        <v>44.298749999999998</v>
      </c>
      <c r="M19" s="7">
        <f t="shared" si="8"/>
        <v>44.627500000000005</v>
      </c>
      <c r="N19" s="7">
        <f t="shared" si="8"/>
        <v>43.981249999999996</v>
      </c>
      <c r="O19" s="7">
        <f t="shared" si="8"/>
        <v>43.641250000000007</v>
      </c>
      <c r="P19" s="7">
        <f t="shared" si="8"/>
        <v>44.462499999999999</v>
      </c>
      <c r="Q19" s="7">
        <f t="shared" si="8"/>
        <v>43.803124999999994</v>
      </c>
      <c r="R19" s="7">
        <f t="shared" si="8"/>
        <v>43.737499999999997</v>
      </c>
      <c r="S19" s="7">
        <f t="shared" si="8"/>
        <v>43.78125</v>
      </c>
      <c r="T19" s="7">
        <f t="shared" si="8"/>
        <v>37.199999999999996</v>
      </c>
      <c r="U19" s="7">
        <f t="shared" si="8"/>
        <v>48.389999999999993</v>
      </c>
      <c r="V19" s="7">
        <f t="shared" si="8"/>
        <v>42.794999999999995</v>
      </c>
      <c r="W19" s="7">
        <f t="shared" si="8"/>
        <v>0.39974999999999999</v>
      </c>
      <c r="X19" s="5">
        <f t="shared" si="8"/>
        <v>3.7006137376953407E-2</v>
      </c>
      <c r="Y19" s="7">
        <f t="shared" si="8"/>
        <v>43.737499999999997</v>
      </c>
      <c r="Z19" s="7">
        <f t="shared" si="8"/>
        <v>1.6396875</v>
      </c>
      <c r="AA19" s="5">
        <f t="shared" si="8"/>
        <v>3.7827195149627804E-2</v>
      </c>
    </row>
    <row r="20" spans="1:27">
      <c r="A20" s="32">
        <f t="shared" si="7"/>
        <v>10</v>
      </c>
      <c r="B20" s="2" t="s">
        <v>211</v>
      </c>
      <c r="D20" s="7">
        <f>MEDIAN(D11:D18)</f>
        <v>45.620000000000005</v>
      </c>
      <c r="E20" s="7">
        <f t="shared" ref="E20:AA20" si="9">MEDIAN(E11:E18)</f>
        <v>45.38</v>
      </c>
      <c r="F20" s="7">
        <f t="shared" si="9"/>
        <v>45.465000000000003</v>
      </c>
      <c r="G20" s="7">
        <f t="shared" si="9"/>
        <v>43.44</v>
      </c>
      <c r="H20" s="7">
        <f t="shared" si="9"/>
        <v>43.855000000000004</v>
      </c>
      <c r="I20" s="7">
        <f t="shared" si="9"/>
        <v>42.41</v>
      </c>
      <c r="J20" s="7">
        <f t="shared" si="9"/>
        <v>41.265000000000001</v>
      </c>
      <c r="K20" s="7">
        <f t="shared" si="9"/>
        <v>41.86</v>
      </c>
      <c r="L20" s="7">
        <f t="shared" si="9"/>
        <v>42.959999999999994</v>
      </c>
      <c r="M20" s="7">
        <f t="shared" si="9"/>
        <v>43.245000000000005</v>
      </c>
      <c r="N20" s="7">
        <f t="shared" si="9"/>
        <v>42.525000000000006</v>
      </c>
      <c r="O20" s="7">
        <f t="shared" si="9"/>
        <v>42.064999999999998</v>
      </c>
      <c r="P20" s="7">
        <f t="shared" si="9"/>
        <v>43.349166666666662</v>
      </c>
      <c r="Q20" s="7">
        <f t="shared" si="9"/>
        <v>42.518749999999997</v>
      </c>
      <c r="R20" s="7">
        <f t="shared" si="9"/>
        <v>42.314166666666665</v>
      </c>
      <c r="S20" s="7">
        <f t="shared" si="9"/>
        <v>42.134999999999998</v>
      </c>
      <c r="T20" s="7">
        <f t="shared" si="9"/>
        <v>37.704999999999998</v>
      </c>
      <c r="U20" s="7">
        <f t="shared" si="9"/>
        <v>47.3</v>
      </c>
      <c r="V20" s="7">
        <f t="shared" si="9"/>
        <v>42.502499999999998</v>
      </c>
      <c r="W20" s="7">
        <f t="shared" si="9"/>
        <v>0.42</v>
      </c>
      <c r="X20" s="5">
        <f t="shared" si="9"/>
        <v>3.8647638586052163E-2</v>
      </c>
      <c r="Y20" s="7">
        <f t="shared" si="9"/>
        <v>42.314166666666665</v>
      </c>
      <c r="Z20" s="7">
        <f t="shared" si="9"/>
        <v>1.6437499999999998</v>
      </c>
      <c r="AA20" s="5">
        <f t="shared" si="9"/>
        <v>3.8647501171503826E-2</v>
      </c>
    </row>
    <row r="21" spans="1:27">
      <c r="B21" s="31" t="s">
        <v>227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5"/>
      <c r="Y21" s="7"/>
      <c r="Z21" s="7"/>
    </row>
    <row r="22" spans="1:27">
      <c r="B22" s="31" t="s">
        <v>306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5"/>
      <c r="Y22" s="7"/>
      <c r="Z22" s="7"/>
    </row>
    <row r="23" spans="1:27" s="32" customFormat="1">
      <c r="B23" s="64" t="s">
        <v>307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5"/>
      <c r="Y23" s="7"/>
      <c r="Z23" s="7"/>
    </row>
    <row r="24" spans="1:27">
      <c r="B24" s="31" t="s">
        <v>309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5"/>
      <c r="Y24" s="7"/>
      <c r="Z24" s="7"/>
    </row>
    <row r="25" spans="1:27">
      <c r="B25" s="31" t="s">
        <v>310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7">
      <c r="B26" s="61" t="s">
        <v>311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7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7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7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</sheetData>
  <mergeCells count="3">
    <mergeCell ref="B3:AA3"/>
    <mergeCell ref="B4:AA4"/>
    <mergeCell ref="B5:AA5"/>
  </mergeCells>
  <phoneticPr fontId="5" type="noConversion"/>
  <pageMargins left="0.75" right="0.75" top="1" bottom="1" header="0.5" footer="0.5"/>
  <pageSetup scale="63" orientation="landscape" horizontalDpi="4294967292" verticalDpi="4294967292"/>
  <headerFooter>
    <oddHeader>&amp;R&amp;"Calibri,Regular"&amp;K000000Exhibit OCS 2.5_x000D_Page 1 0f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J27" sqref="J27"/>
    </sheetView>
  </sheetViews>
  <sheetFormatPr defaultColWidth="11" defaultRowHeight="15.75"/>
  <sheetData/>
  <phoneticPr fontId="5" type="noConversion"/>
  <pageMargins left="0.75" right="0.75" top="1" bottom="1" header="0.5" footer="0.5"/>
  <pageSetup scale="54" orientation="landscape" horizontalDpi="4294967292" verticalDpi="4294967292"/>
  <headerFooter>
    <oddHeader>&amp;R&amp;"Calibri,Regular"&amp;K000000Exhibit___x000D_Schedule (DJL-6)_x000D_Page 1 of 4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zoomScale="150" zoomScaleNormal="150" zoomScalePageLayoutView="150" workbookViewId="0">
      <selection activeCell="G19" sqref="G19"/>
    </sheetView>
  </sheetViews>
  <sheetFormatPr defaultColWidth="11" defaultRowHeight="15.75"/>
  <sheetData/>
  <phoneticPr fontId="5" type="noConversion"/>
  <pageMargins left="0.75" right="0.75" top="1" bottom="1" header="0.5" footer="0.5"/>
  <pageSetup scale="51" orientation="landscape" horizontalDpi="4294967292" verticalDpi="4294967292"/>
  <headerFooter>
    <oddHeader>&amp;R&amp;"Calibri,Regular"&amp;K000000Exhibit___x000D_Schedule (DJL-6)_x000D_Page 2 of 4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Y30"/>
  <sheetViews>
    <sheetView workbookViewId="0">
      <selection activeCell="P18" sqref="P18"/>
    </sheetView>
  </sheetViews>
  <sheetFormatPr defaultColWidth="11" defaultRowHeight="15.75"/>
  <cols>
    <col min="1" max="1" width="6.5" customWidth="1"/>
    <col min="2" max="2" width="35.125" customWidth="1"/>
    <col min="4" max="4" width="8.125" customWidth="1"/>
    <col min="5" max="5" width="7.875" customWidth="1"/>
    <col min="6" max="6" width="9" customWidth="1"/>
    <col min="7" max="7" width="8" customWidth="1"/>
    <col min="8" max="8" width="8.125" customWidth="1"/>
    <col min="9" max="9" width="8.625" customWidth="1"/>
    <col min="11" max="11" width="8.875" customWidth="1"/>
    <col min="17" max="17" width="8.125" customWidth="1"/>
    <col min="18" max="18" width="9" customWidth="1"/>
  </cols>
  <sheetData>
    <row r="3" spans="1:25" ht="23.1" customHeight="1">
      <c r="B3" s="81" t="s">
        <v>298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5"/>
      <c r="T3" s="15"/>
      <c r="U3" s="15"/>
      <c r="V3" s="15"/>
      <c r="W3" s="15"/>
      <c r="X3" s="15"/>
      <c r="Y3" s="15"/>
    </row>
    <row r="4" spans="1:25" ht="23.1" customHeight="1">
      <c r="B4" s="81" t="s">
        <v>299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5"/>
      <c r="T4" s="15"/>
      <c r="U4" s="15"/>
      <c r="V4" s="15"/>
      <c r="W4" s="15"/>
      <c r="X4" s="15"/>
      <c r="Y4" s="15"/>
    </row>
    <row r="5" spans="1:25" ht="21">
      <c r="B5" s="80" t="s">
        <v>281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5"/>
      <c r="T5" s="15"/>
      <c r="U5" s="15"/>
      <c r="V5" s="15"/>
      <c r="W5" s="15"/>
      <c r="X5" s="15"/>
      <c r="Y5" s="15"/>
    </row>
    <row r="9" spans="1:25" ht="21">
      <c r="D9" s="30" t="s">
        <v>56</v>
      </c>
      <c r="E9" s="30" t="s">
        <v>57</v>
      </c>
      <c r="F9" s="30" t="s">
        <v>58</v>
      </c>
      <c r="G9" s="30" t="s">
        <v>8</v>
      </c>
      <c r="H9" s="30" t="s">
        <v>59</v>
      </c>
      <c r="I9" s="30" t="s">
        <v>60</v>
      </c>
      <c r="J9" s="30" t="s">
        <v>61</v>
      </c>
      <c r="K9" s="30" t="s">
        <v>62</v>
      </c>
      <c r="L9" s="30" t="s">
        <v>63</v>
      </c>
      <c r="M9" s="30" t="s">
        <v>64</v>
      </c>
      <c r="N9" s="30" t="s">
        <v>65</v>
      </c>
      <c r="O9" s="30" t="s">
        <v>66</v>
      </c>
      <c r="P9" s="30" t="s">
        <v>67</v>
      </c>
      <c r="Q9" s="30" t="s">
        <v>68</v>
      </c>
      <c r="R9" s="30" t="s">
        <v>69</v>
      </c>
    </row>
    <row r="10" spans="1:25" ht="39">
      <c r="A10" s="4" t="s">
        <v>0</v>
      </c>
      <c r="B10" s="4" t="s">
        <v>1</v>
      </c>
      <c r="C10" s="4" t="s">
        <v>4</v>
      </c>
      <c r="D10" s="4" t="s">
        <v>81</v>
      </c>
      <c r="E10" s="4" t="s">
        <v>82</v>
      </c>
      <c r="F10" s="4" t="s">
        <v>83</v>
      </c>
      <c r="G10" s="4" t="s">
        <v>84</v>
      </c>
      <c r="H10" s="4" t="s">
        <v>85</v>
      </c>
      <c r="I10" s="4" t="s">
        <v>86</v>
      </c>
      <c r="J10" s="4" t="s">
        <v>119</v>
      </c>
      <c r="K10" s="4" t="s">
        <v>127</v>
      </c>
      <c r="L10" s="4" t="s">
        <v>120</v>
      </c>
      <c r="M10" s="4" t="s">
        <v>121</v>
      </c>
      <c r="N10" s="4" t="s">
        <v>122</v>
      </c>
      <c r="O10" s="4" t="s">
        <v>123</v>
      </c>
      <c r="P10" s="4" t="s">
        <v>124</v>
      </c>
      <c r="Q10" s="4" t="s">
        <v>125</v>
      </c>
      <c r="R10" s="4" t="s">
        <v>126</v>
      </c>
    </row>
    <row r="11" spans="1:25">
      <c r="A11">
        <v>1</v>
      </c>
      <c r="B11" t="s">
        <v>22</v>
      </c>
      <c r="C11" t="s">
        <v>23</v>
      </c>
      <c r="D11" s="11">
        <f>I27+'GAS GROUP INPUT P2'!G11</f>
        <v>0.08</v>
      </c>
      <c r="E11" s="11">
        <f>J27+'GAS GROUP INPUT P2'!H11</f>
        <v>0.05</v>
      </c>
      <c r="F11" s="11">
        <f>K27+'GAS GROUP INPUT P2'!I11</f>
        <v>0.08</v>
      </c>
      <c r="G11" s="11">
        <f>L27+'GAS GROUP INPUT P2'!J11</f>
        <v>1.4999999999999999E-2</v>
      </c>
      <c r="H11" s="11">
        <f>M27+'GAS GROUP INPUT P2'!K11</f>
        <v>6.5000000000000002E-2</v>
      </c>
      <c r="I11" s="11">
        <f>N27+'GAS GROUP INPUT P2'!L11</f>
        <v>0.05</v>
      </c>
      <c r="J11" s="11">
        <f>AVERAGE(D11:I11)</f>
        <v>5.6666666666666671E-2</v>
      </c>
      <c r="K11" s="11">
        <f>'GAS GROUP INPUT P2'!M11</f>
        <v>0.09</v>
      </c>
      <c r="L11" s="11">
        <f>'GAS GROUP INPUT P2'!N11</f>
        <v>4.4999999999999998E-2</v>
      </c>
      <c r="M11" s="11">
        <f>'GAS GROUP INPUT P2'!O11</f>
        <v>0.05</v>
      </c>
      <c r="N11" s="11">
        <f>'GAS GROUP INPUT P2'!Q11</f>
        <v>0.04</v>
      </c>
      <c r="O11" s="11"/>
      <c r="P11" s="5">
        <f>(K11+N11)/2</f>
        <v>6.5000000000000002E-2</v>
      </c>
      <c r="Q11" s="11">
        <f>'OCS-2.6 P.2'!U11</f>
        <v>4.9338382359200204E-2</v>
      </c>
      <c r="R11" s="5">
        <f>(P11+Q11)/2</f>
        <v>5.7169191179600107E-2</v>
      </c>
    </row>
    <row r="12" spans="1:25">
      <c r="A12">
        <f>A11+1</f>
        <v>2</v>
      </c>
      <c r="B12" t="s">
        <v>24</v>
      </c>
      <c r="C12" t="s">
        <v>25</v>
      </c>
      <c r="D12" s="11">
        <f>I28+'GAS GROUP INPUT P2'!G12</f>
        <v>0.05</v>
      </c>
      <c r="E12" s="11">
        <f>J28+'GAS GROUP INPUT P2'!H12</f>
        <v>1.4999999999999999E-2</v>
      </c>
      <c r="F12" s="11">
        <f>K28+'GAS GROUP INPUT P2'!I12</f>
        <v>6.5000000000000002E-2</v>
      </c>
      <c r="G12" s="11">
        <f>L28+'GAS GROUP INPUT P2'!J12</f>
        <v>0.03</v>
      </c>
      <c r="H12" s="11">
        <f>M28+'GAS GROUP INPUT P2'!K12</f>
        <v>1.4999999999999999E-2</v>
      </c>
      <c r="I12" s="11">
        <f>N28+'GAS GROUP INPUT P2'!L12</f>
        <v>0.04</v>
      </c>
      <c r="J12" s="11">
        <f t="shared" ref="J12:J18" si="0">AVERAGE(D12:I12)</f>
        <v>3.5833333333333335E-2</v>
      </c>
      <c r="K12" s="11">
        <f>'GAS GROUP INPUT P2'!M12</f>
        <v>5.5E-2</v>
      </c>
      <c r="L12" s="11">
        <f>'GAS GROUP INPUT P2'!N12</f>
        <v>1.4999999999999999E-2</v>
      </c>
      <c r="M12" s="11">
        <f>'GAS GROUP INPUT P2'!O12</f>
        <v>5.5E-2</v>
      </c>
      <c r="N12" s="11">
        <f>'GAS GROUP INPUT P2'!Q12</f>
        <v>6.0999999999999999E-2</v>
      </c>
      <c r="O12" s="11">
        <f>'GAS GROUP INPUT P2'!P12</f>
        <v>6.2E-2</v>
      </c>
      <c r="P12" s="5">
        <f>(K12+N12+O12)/3</f>
        <v>5.9333333333333328E-2</v>
      </c>
      <c r="Q12" s="11">
        <f>'OCS-2.6 P.2'!U12</f>
        <v>5.1152273341447799E-2</v>
      </c>
      <c r="R12" s="5">
        <f t="shared" ref="R12:R18" si="1">(P12+Q12)/2</f>
        <v>5.5242803337390567E-2</v>
      </c>
    </row>
    <row r="13" spans="1:25">
      <c r="A13" s="32">
        <f t="shared" ref="A13:A20" si="2">A12+1</f>
        <v>3</v>
      </c>
      <c r="B13" s="2" t="s">
        <v>26</v>
      </c>
      <c r="C13" s="2" t="s">
        <v>27</v>
      </c>
      <c r="D13" s="11">
        <f>I30+'GAS GROUP INPUT P2'!G13</f>
        <v>7.0000000000000007E-2</v>
      </c>
      <c r="E13" s="11">
        <f>J30+'GAS GROUP INPUT P2'!H13</f>
        <v>6.5000000000000002E-2</v>
      </c>
      <c r="F13" s="11">
        <f>K30+'GAS GROUP INPUT P2'!I13</f>
        <v>0.08</v>
      </c>
      <c r="G13" s="11">
        <f>L30+'GAS GROUP INPUT P2'!J13</f>
        <v>8.5000000000000006E-2</v>
      </c>
      <c r="H13" s="11">
        <f>M30+'GAS GROUP INPUT P2'!K13</f>
        <v>8.5000000000000006E-2</v>
      </c>
      <c r="I13" s="11">
        <f>N30+'GAS GROUP INPUT P2'!L13</f>
        <v>6.5000000000000002E-2</v>
      </c>
      <c r="J13" s="11">
        <f t="shared" si="0"/>
        <v>7.5000000000000011E-2</v>
      </c>
      <c r="K13" s="11">
        <f>'GAS GROUP INPUT P2'!M13</f>
        <v>0.04</v>
      </c>
      <c r="L13" s="11">
        <f>'GAS GROUP INPUT P2'!N13</f>
        <v>0.03</v>
      </c>
      <c r="M13" s="11">
        <f>'GAS GROUP INPUT P2'!O13</f>
        <v>0.05</v>
      </c>
      <c r="N13" s="11">
        <f>'GAS GROUP INPUT P2'!Q13</f>
        <v>0.04</v>
      </c>
      <c r="O13" s="11">
        <f>'GAS GROUP INPUT P2'!P13</f>
        <v>2.5000000000000001E-2</v>
      </c>
      <c r="P13" s="5">
        <f t="shared" ref="P13:P18" si="3">(K13+N13+O13)/3</f>
        <v>3.5000000000000003E-2</v>
      </c>
      <c r="Q13" s="11">
        <f>'OCS-2.6 P.2'!U13</f>
        <v>5.9077308651535904E-2</v>
      </c>
      <c r="R13" s="5">
        <f t="shared" si="1"/>
        <v>4.7038654325767953E-2</v>
      </c>
    </row>
    <row r="14" spans="1:25">
      <c r="A14" s="32">
        <f t="shared" si="2"/>
        <v>4</v>
      </c>
      <c r="B14" s="2" t="s">
        <v>28</v>
      </c>
      <c r="C14" s="2" t="s">
        <v>29</v>
      </c>
      <c r="D14" s="11">
        <f>I32+'GAS GROUP INPUT P2'!G14</f>
        <v>3.5000000000000003E-2</v>
      </c>
      <c r="E14" s="11">
        <f>J32+'GAS GROUP INPUT P2'!H14</f>
        <v>3.5000000000000003E-2</v>
      </c>
      <c r="F14" s="11">
        <f>K32+'GAS GROUP INPUT P2'!I14</f>
        <v>0.04</v>
      </c>
      <c r="G14" s="11">
        <f>L32+'GAS GROUP INPUT P2'!J14</f>
        <v>5.0000000000000001E-3</v>
      </c>
      <c r="H14" s="11">
        <f>M32+'GAS GROUP INPUT P2'!K14</f>
        <v>4.4999999999999998E-2</v>
      </c>
      <c r="I14" s="11">
        <f>N32+'GAS GROUP INPUT P2'!L14</f>
        <v>0.04</v>
      </c>
      <c r="J14" s="11">
        <f t="shared" si="0"/>
        <v>3.333333333333334E-2</v>
      </c>
      <c r="K14" s="11">
        <f>'GAS GROUP INPUT P2'!M14</f>
        <v>4.4999999999999998E-2</v>
      </c>
      <c r="L14" s="11">
        <f>'GAS GROUP INPUT P2'!N14</f>
        <v>2.5000000000000001E-2</v>
      </c>
      <c r="M14" s="11">
        <f>'GAS GROUP INPUT P2'!O14</f>
        <v>0.03</v>
      </c>
      <c r="N14" s="11">
        <f>'GAS GROUP INPUT P2'!Q14</f>
        <v>4.2999999999999997E-2</v>
      </c>
      <c r="O14" s="11">
        <f>'GAS GROUP INPUT P2'!P14</f>
        <v>0.04</v>
      </c>
      <c r="P14" s="5">
        <f t="shared" si="3"/>
        <v>4.2666666666666665E-2</v>
      </c>
      <c r="Q14" s="11">
        <f>'OCS-2.6 P.2'!U14</f>
        <v>4.4459024180194429E-2</v>
      </c>
      <c r="R14" s="5">
        <f t="shared" si="1"/>
        <v>4.3562845423430543E-2</v>
      </c>
    </row>
    <row r="15" spans="1:25">
      <c r="A15" s="32">
        <f t="shared" si="2"/>
        <v>5</v>
      </c>
      <c r="B15" s="2" t="s">
        <v>30</v>
      </c>
      <c r="C15" s="2" t="s">
        <v>31</v>
      </c>
      <c r="D15" s="11">
        <f>I33+'GAS GROUP INPUT P2'!G15</f>
        <v>0.05</v>
      </c>
      <c r="E15" s="11">
        <f>J33+'GAS GROUP INPUT P2'!H15</f>
        <v>0.05</v>
      </c>
      <c r="F15" s="11">
        <f>K33+'GAS GROUP INPUT P2'!I15</f>
        <v>0.05</v>
      </c>
      <c r="G15" s="11">
        <f>L33+'GAS GROUP INPUT P2'!J15</f>
        <v>3.5000000000000003E-2</v>
      </c>
      <c r="H15" s="11">
        <f>M33+'GAS GROUP INPUT P2'!K15</f>
        <v>5.5E-2</v>
      </c>
      <c r="I15" s="11">
        <f>N33+'GAS GROUP INPUT P2'!L15</f>
        <v>0.03</v>
      </c>
      <c r="J15" s="11">
        <f t="shared" si="0"/>
        <v>4.5000000000000005E-2</v>
      </c>
      <c r="K15" s="11">
        <f>'GAS GROUP INPUT P2'!M15</f>
        <v>0.04</v>
      </c>
      <c r="L15" s="11">
        <f>'GAS GROUP INPUT P2'!N15</f>
        <v>0.03</v>
      </c>
      <c r="M15" s="11">
        <f>'GAS GROUP INPUT P2'!O15</f>
        <v>4.4999999999999998E-2</v>
      </c>
      <c r="N15" s="11">
        <f>'GAS GROUP INPUT P2'!Q15</f>
        <v>4.2999999999999997E-2</v>
      </c>
      <c r="O15" s="11">
        <f>'GAS GROUP INPUT P2'!P15</f>
        <v>0.05</v>
      </c>
      <c r="P15" s="5">
        <f t="shared" si="3"/>
        <v>4.4333333333333336E-2</v>
      </c>
      <c r="Q15" s="11">
        <f>'OCS-2.6 P.2'!U15</f>
        <v>4.7184752744699E-2</v>
      </c>
      <c r="R15" s="5">
        <f t="shared" si="1"/>
        <v>4.5759043039016165E-2</v>
      </c>
    </row>
    <row r="16" spans="1:25">
      <c r="A16" s="32">
        <f t="shared" si="2"/>
        <v>6</v>
      </c>
      <c r="B16" s="2" t="s">
        <v>32</v>
      </c>
      <c r="C16" s="2" t="s">
        <v>33</v>
      </c>
      <c r="D16" s="11">
        <f>I34+'GAS GROUP INPUT P2'!G16</f>
        <v>9.5000000000000001E-2</v>
      </c>
      <c r="E16" s="11">
        <f>J34+'GAS GROUP INPUT P2'!H16</f>
        <v>7.4999999999999997E-2</v>
      </c>
      <c r="F16" s="11">
        <f>K34+'GAS GROUP INPUT P2'!I16</f>
        <v>0.1</v>
      </c>
      <c r="G16" s="11">
        <f>L34+'GAS GROUP INPUT P2'!J16</f>
        <v>6.5000000000000002E-2</v>
      </c>
      <c r="H16" s="11">
        <f>M34+'GAS GROUP INPUT P2'!K16</f>
        <v>0.1</v>
      </c>
      <c r="I16" s="11">
        <f>N34+'GAS GROUP INPUT P2'!L16</f>
        <v>7.0000000000000007E-2</v>
      </c>
      <c r="J16" s="11">
        <f t="shared" si="0"/>
        <v>8.4166666666666681E-2</v>
      </c>
      <c r="K16" s="11">
        <f>'GAS GROUP INPUT P2'!M16</f>
        <v>7.4999999999999997E-2</v>
      </c>
      <c r="L16" s="11">
        <f>'GAS GROUP INPUT P2'!N16</f>
        <v>8.5000000000000006E-2</v>
      </c>
      <c r="M16" s="11">
        <f>'GAS GROUP INPUT P2'!O16</f>
        <v>6.5000000000000002E-2</v>
      </c>
      <c r="N16" s="11">
        <f>'GAS GROUP INPUT P2'!Q16</f>
        <v>0.06</v>
      </c>
      <c r="O16" s="11">
        <f>'GAS GROUP INPUT P2'!P16</f>
        <v>0.06</v>
      </c>
      <c r="P16" s="5">
        <f t="shared" si="3"/>
        <v>6.5000000000000002E-2</v>
      </c>
      <c r="Q16" s="11">
        <f>'OCS-2.6 P.2'!U16</f>
        <v>9.7099542887694679E-2</v>
      </c>
      <c r="R16" s="5">
        <f t="shared" si="1"/>
        <v>8.104977144384734E-2</v>
      </c>
    </row>
    <row r="17" spans="1:18">
      <c r="A17" s="32">
        <f t="shared" si="2"/>
        <v>7</v>
      </c>
      <c r="B17" s="2" t="s">
        <v>34</v>
      </c>
      <c r="C17" s="2" t="s">
        <v>35</v>
      </c>
      <c r="D17" s="11">
        <f>I35+'GAS GROUP INPUT P2'!G17</f>
        <v>0.06</v>
      </c>
      <c r="E17" s="11">
        <f>J35+'GAS GROUP INPUT P2'!H17</f>
        <v>0.02</v>
      </c>
      <c r="F17" s="11">
        <f>K35+'GAS GROUP INPUT P2'!I17</f>
        <v>4.4999999999999998E-2</v>
      </c>
      <c r="G17" s="11">
        <f>L35+'GAS GROUP INPUT P2'!J17</f>
        <v>6.5000000000000002E-2</v>
      </c>
      <c r="H17" s="11">
        <f>M35+'GAS GROUP INPUT P2'!K17</f>
        <v>0.04</v>
      </c>
      <c r="I17" s="11">
        <f>N35+'GAS GROUP INPUT P2'!L17</f>
        <v>0.05</v>
      </c>
      <c r="J17" s="11">
        <f t="shared" si="0"/>
        <v>4.6666666666666669E-2</v>
      </c>
      <c r="K17" s="11">
        <f>'GAS GROUP INPUT P2'!M17</f>
        <v>0.08</v>
      </c>
      <c r="L17" s="11">
        <f>'GAS GROUP INPUT P2'!N17</f>
        <v>7.0000000000000007E-2</v>
      </c>
      <c r="M17" s="11">
        <f>'GAS GROUP INPUT P2'!O17</f>
        <v>0.05</v>
      </c>
      <c r="N17" s="11">
        <f>'GAS GROUP INPUT P2'!Q17</f>
        <v>3.5000000000000003E-2</v>
      </c>
      <c r="O17" s="11">
        <f>'GAS GROUP INPUT P2'!P17</f>
        <v>3.5299999999999998E-2</v>
      </c>
      <c r="P17" s="5">
        <f t="shared" si="3"/>
        <v>5.0099999999999999E-2</v>
      </c>
      <c r="Q17" s="11">
        <f>'OCS-2.6 P.2'!U17</f>
        <v>7.8415908655873334E-2</v>
      </c>
      <c r="R17" s="5">
        <f t="shared" si="1"/>
        <v>6.425795432793667E-2</v>
      </c>
    </row>
    <row r="18" spans="1:18">
      <c r="A18" s="32">
        <f t="shared" si="2"/>
        <v>8</v>
      </c>
      <c r="B18" s="2" t="s">
        <v>37</v>
      </c>
      <c r="C18" s="2" t="s">
        <v>36</v>
      </c>
      <c r="D18" s="11">
        <f>I37+'GAS GROUP INPUT P2'!G18</f>
        <v>0.04</v>
      </c>
      <c r="E18" s="11">
        <f>J37+'GAS GROUP INPUT P2'!H18</f>
        <v>0.02</v>
      </c>
      <c r="F18" s="11">
        <f>K37+'GAS GROUP INPUT P2'!I18</f>
        <v>0.04</v>
      </c>
      <c r="G18" s="11">
        <f>L37+'GAS GROUP INPUT P2'!J18</f>
        <v>0.03</v>
      </c>
      <c r="H18" s="11">
        <f>M37+'GAS GROUP INPUT P2'!K18</f>
        <v>0.03</v>
      </c>
      <c r="I18" s="11">
        <f>N37+'GAS GROUP INPUT P2'!L18</f>
        <v>4.4999999999999998E-2</v>
      </c>
      <c r="J18" s="11">
        <f t="shared" si="0"/>
        <v>3.4166666666666672E-2</v>
      </c>
      <c r="K18" s="11">
        <f>'GAS GROUP INPUT P2'!M18</f>
        <v>3.5000000000000003E-2</v>
      </c>
      <c r="L18" s="11">
        <f>'GAS GROUP INPUT P2'!N18</f>
        <v>0.03</v>
      </c>
      <c r="M18" s="11">
        <f>'GAS GROUP INPUT P2'!O18</f>
        <v>0.04</v>
      </c>
      <c r="N18" s="11">
        <f>'GAS GROUP INPUT P2'!Q18</f>
        <v>5.2999999999999999E-2</v>
      </c>
      <c r="O18" s="11">
        <f>'GAS GROUP INPUT P2'!P18</f>
        <v>5.2499999999999998E-2</v>
      </c>
      <c r="P18" s="5">
        <f t="shared" si="3"/>
        <v>4.6833333333333331E-2</v>
      </c>
      <c r="Q18" s="11">
        <f>'OCS-2.6 P.2'!U18</f>
        <v>3.9267886360380679E-2</v>
      </c>
      <c r="R18" s="5">
        <f t="shared" si="1"/>
        <v>4.3050609846857005E-2</v>
      </c>
    </row>
    <row r="19" spans="1:18" ht="21">
      <c r="A19" s="32">
        <f t="shared" si="2"/>
        <v>9</v>
      </c>
      <c r="B19" s="2" t="s">
        <v>109</v>
      </c>
      <c r="C19" s="2"/>
      <c r="D19" s="11">
        <f t="shared" ref="D19:R19" si="4">AVERAGE(D11:D18)</f>
        <v>0.06</v>
      </c>
      <c r="E19" s="11">
        <f t="shared" si="4"/>
        <v>4.1250000000000009E-2</v>
      </c>
      <c r="F19" s="11">
        <f t="shared" si="4"/>
        <v>6.25E-2</v>
      </c>
      <c r="G19" s="11">
        <f t="shared" si="4"/>
        <v>4.1250000000000009E-2</v>
      </c>
      <c r="H19" s="11">
        <f t="shared" si="4"/>
        <v>5.4374999999999993E-2</v>
      </c>
      <c r="I19" s="11">
        <f t="shared" si="4"/>
        <v>4.8750000000000002E-2</v>
      </c>
      <c r="J19" s="11">
        <f t="shared" si="4"/>
        <v>5.135416666666668E-2</v>
      </c>
      <c r="K19" s="11">
        <f t="shared" si="4"/>
        <v>5.7499999999999996E-2</v>
      </c>
      <c r="L19" s="11">
        <f t="shared" si="4"/>
        <v>4.1249999999999995E-2</v>
      </c>
      <c r="M19" s="11">
        <f t="shared" si="4"/>
        <v>4.8125000000000001E-2</v>
      </c>
      <c r="N19" s="11">
        <f t="shared" si="4"/>
        <v>4.6874999999999993E-2</v>
      </c>
      <c r="O19" s="11">
        <f t="shared" si="4"/>
        <v>4.6399999999999997E-2</v>
      </c>
      <c r="P19" s="57">
        <f t="shared" si="4"/>
        <v>5.1033333333333333E-2</v>
      </c>
      <c r="Q19" s="57">
        <f t="shared" si="4"/>
        <v>5.8249384897628258E-2</v>
      </c>
      <c r="R19" s="56">
        <f t="shared" si="4"/>
        <v>5.4641359115480792E-2</v>
      </c>
    </row>
    <row r="20" spans="1:18" ht="21">
      <c r="A20" s="32">
        <f t="shared" si="2"/>
        <v>10</v>
      </c>
      <c r="B20" s="2" t="s">
        <v>211</v>
      </c>
      <c r="D20" s="11">
        <f t="shared" ref="D20:R20" si="5">MEDIAN(D11:D18)</f>
        <v>5.5E-2</v>
      </c>
      <c r="E20" s="11">
        <f t="shared" si="5"/>
        <v>4.2500000000000003E-2</v>
      </c>
      <c r="F20" s="11">
        <f t="shared" si="5"/>
        <v>5.7500000000000002E-2</v>
      </c>
      <c r="G20" s="11">
        <f t="shared" si="5"/>
        <v>3.2500000000000001E-2</v>
      </c>
      <c r="H20" s="11">
        <f t="shared" si="5"/>
        <v>0.05</v>
      </c>
      <c r="I20" s="11">
        <f t="shared" si="5"/>
        <v>4.7500000000000001E-2</v>
      </c>
      <c r="J20" s="11">
        <f t="shared" si="5"/>
        <v>4.5833333333333337E-2</v>
      </c>
      <c r="K20" s="11">
        <f t="shared" si="5"/>
        <v>0.05</v>
      </c>
      <c r="L20" s="11">
        <f t="shared" si="5"/>
        <v>0.03</v>
      </c>
      <c r="M20" s="11">
        <f t="shared" si="5"/>
        <v>0.05</v>
      </c>
      <c r="N20" s="11">
        <f t="shared" si="5"/>
        <v>4.2999999999999997E-2</v>
      </c>
      <c r="O20" s="11">
        <f t="shared" si="5"/>
        <v>0.05</v>
      </c>
      <c r="P20" s="57">
        <f t="shared" si="5"/>
        <v>4.8466666666666665E-2</v>
      </c>
      <c r="Q20" s="57">
        <f t="shared" si="5"/>
        <v>5.0245327850323998E-2</v>
      </c>
      <c r="R20" s="57">
        <f t="shared" si="5"/>
        <v>5.114072883157926E-2</v>
      </c>
    </row>
    <row r="22" spans="1:18">
      <c r="B22" s="31" t="s">
        <v>227</v>
      </c>
    </row>
    <row r="23" spans="1:18">
      <c r="B23" s="31" t="s">
        <v>295</v>
      </c>
    </row>
    <row r="24" spans="1:18">
      <c r="B24" s="31" t="s">
        <v>230</v>
      </c>
    </row>
    <row r="25" spans="1:18">
      <c r="B25" s="31" t="s">
        <v>294</v>
      </c>
    </row>
    <row r="26" spans="1:18">
      <c r="B26" s="31" t="s">
        <v>296</v>
      </c>
    </row>
    <row r="27" spans="1:18">
      <c r="B27" s="31" t="s">
        <v>231</v>
      </c>
    </row>
    <row r="28" spans="1:18">
      <c r="B28" s="31" t="s">
        <v>232</v>
      </c>
    </row>
    <row r="29" spans="1:18">
      <c r="B29" s="31" t="s">
        <v>233</v>
      </c>
    </row>
    <row r="30" spans="1:18">
      <c r="B30" s="31" t="s">
        <v>234</v>
      </c>
    </row>
  </sheetData>
  <mergeCells count="3">
    <mergeCell ref="B3:R3"/>
    <mergeCell ref="B4:R4"/>
    <mergeCell ref="B5:R5"/>
  </mergeCells>
  <phoneticPr fontId="5" type="noConversion"/>
  <pageMargins left="0.75" right="0.75" top="1" bottom="1" header="0.5" footer="0.5"/>
  <pageSetup scale="58" orientation="landscape" horizontalDpi="4294967292" verticalDpi="4294967292"/>
  <headerFooter>
    <oddHeader>&amp;R&amp;"Calibri,Regular"&amp;K000000Exhibit OCS 2.6_x000D_Page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F10"/>
  <sheetViews>
    <sheetView workbookViewId="0">
      <selection activeCell="F16" sqref="F16"/>
    </sheetView>
  </sheetViews>
  <sheetFormatPr defaultColWidth="11" defaultRowHeight="15.75"/>
  <sheetData>
    <row r="3" spans="1:6" ht="21">
      <c r="A3" s="15"/>
      <c r="B3" s="15"/>
      <c r="C3" s="15"/>
      <c r="D3" s="15"/>
      <c r="E3" s="15"/>
      <c r="F3" s="15"/>
    </row>
    <row r="4" spans="1:6" ht="21">
      <c r="A4" s="15"/>
      <c r="B4" s="15"/>
      <c r="C4" s="15"/>
      <c r="D4" s="15"/>
      <c r="E4" s="15"/>
      <c r="F4" s="15"/>
    </row>
    <row r="5" spans="1:6" ht="21">
      <c r="A5" s="15"/>
      <c r="B5" s="15"/>
      <c r="C5" s="15"/>
      <c r="D5" s="15"/>
      <c r="E5" s="15"/>
      <c r="F5" s="15"/>
    </row>
    <row r="10" spans="1:6">
      <c r="A10" s="4"/>
    </row>
  </sheetData>
  <phoneticPr fontId="5" type="noConversion"/>
  <pageMargins left="0.75" right="0.75" top="1" bottom="1" header="0.5" footer="0.5"/>
  <pageSetup scale="67" orientation="landscape" horizontalDpi="4294967292" verticalDpi="4294967292"/>
  <headerFooter>
    <oddHeader>&amp;R&amp;"Calibri,Regular"&amp;K000000Exhibit___x000D_Schedule (DJL-7)_x000D_Page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F5"/>
  <sheetViews>
    <sheetView workbookViewId="0">
      <selection activeCell="J25" sqref="J25"/>
    </sheetView>
  </sheetViews>
  <sheetFormatPr defaultColWidth="11" defaultRowHeight="15.75"/>
  <sheetData>
    <row r="3" spans="1:6" ht="21">
      <c r="A3" s="15"/>
      <c r="B3" s="15"/>
      <c r="C3" s="15"/>
      <c r="D3" s="15"/>
      <c r="E3" s="15"/>
      <c r="F3" s="15"/>
    </row>
    <row r="4" spans="1:6" ht="21">
      <c r="A4" s="15"/>
      <c r="B4" s="15"/>
      <c r="C4" s="15"/>
      <c r="D4" s="15"/>
      <c r="E4" s="15"/>
      <c r="F4" s="15"/>
    </row>
    <row r="5" spans="1:6" ht="21">
      <c r="A5" s="15"/>
      <c r="B5" s="15"/>
      <c r="C5" s="15"/>
      <c r="D5" s="15"/>
      <c r="E5" s="15"/>
      <c r="F5" s="15"/>
    </row>
  </sheetData>
  <phoneticPr fontId="5" type="noConversion"/>
  <pageMargins left="0.75" right="0.75" top="1" bottom="1" header="0.5" footer="0.5"/>
  <pageSetup scale="55" orientation="landscape" horizontalDpi="4294967292" verticalDpi="4294967292"/>
  <headerFooter>
    <oddHeader>&amp;R&amp;"Calibri,Regular"&amp;K000000Exhibit___x000D_Schedule (DJL-7)_x000D_Page 2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N33"/>
  <sheetViews>
    <sheetView workbookViewId="0">
      <selection activeCell="L23" sqref="L23"/>
    </sheetView>
  </sheetViews>
  <sheetFormatPr defaultColWidth="11" defaultRowHeight="15.75"/>
  <cols>
    <col min="1" max="1" width="4.125" customWidth="1"/>
    <col min="2" max="2" width="33.625" customWidth="1"/>
    <col min="3" max="3" width="8.875" customWidth="1"/>
  </cols>
  <sheetData>
    <row r="3" spans="1:14" ht="21">
      <c r="B3" s="81" t="s">
        <v>298</v>
      </c>
      <c r="C3" s="81"/>
      <c r="D3" s="81"/>
      <c r="E3" s="81"/>
      <c r="F3" s="81"/>
      <c r="G3" s="81"/>
      <c r="H3" s="81"/>
      <c r="I3" s="81"/>
      <c r="J3" s="81"/>
      <c r="K3" s="67"/>
      <c r="L3" s="67"/>
      <c r="M3" s="15"/>
      <c r="N3" s="15"/>
    </row>
    <row r="4" spans="1:14" ht="21">
      <c r="B4" s="81" t="s">
        <v>299</v>
      </c>
      <c r="C4" s="81"/>
      <c r="D4" s="81"/>
      <c r="E4" s="81"/>
      <c r="F4" s="81"/>
      <c r="G4" s="81"/>
      <c r="H4" s="81"/>
      <c r="I4" s="81"/>
      <c r="J4" s="81"/>
      <c r="K4" s="67"/>
      <c r="L4" s="67"/>
      <c r="M4" s="15"/>
      <c r="N4" s="15"/>
    </row>
    <row r="5" spans="1:14" ht="21">
      <c r="B5" s="80" t="s">
        <v>282</v>
      </c>
      <c r="C5" s="80"/>
      <c r="D5" s="80"/>
      <c r="E5" s="80"/>
      <c r="F5" s="80"/>
      <c r="G5" s="80"/>
      <c r="H5" s="80"/>
      <c r="I5" s="80"/>
      <c r="J5" s="80"/>
      <c r="K5" s="15"/>
      <c r="L5" s="15"/>
      <c r="M5" s="15"/>
      <c r="N5" s="15"/>
    </row>
    <row r="9" spans="1:14" ht="21">
      <c r="D9" s="30" t="s">
        <v>56</v>
      </c>
      <c r="E9" s="30" t="s">
        <v>57</v>
      </c>
      <c r="F9" s="30" t="s">
        <v>58</v>
      </c>
      <c r="G9" s="30" t="s">
        <v>8</v>
      </c>
      <c r="H9" s="63" t="s">
        <v>59</v>
      </c>
      <c r="I9" s="63" t="s">
        <v>60</v>
      </c>
      <c r="J9" s="63" t="s">
        <v>61</v>
      </c>
    </row>
    <row r="10" spans="1:14" ht="64.5">
      <c r="A10" s="4" t="s">
        <v>0</v>
      </c>
      <c r="B10" s="4" t="s">
        <v>1</v>
      </c>
      <c r="C10" s="4" t="s">
        <v>4</v>
      </c>
      <c r="D10" s="13" t="s">
        <v>318</v>
      </c>
      <c r="E10" s="13" t="s">
        <v>292</v>
      </c>
      <c r="F10" s="13" t="s">
        <v>293</v>
      </c>
      <c r="G10" s="4" t="s">
        <v>319</v>
      </c>
      <c r="H10" s="4" t="s">
        <v>152</v>
      </c>
      <c r="I10" s="4" t="s">
        <v>320</v>
      </c>
      <c r="J10" s="4" t="s">
        <v>321</v>
      </c>
    </row>
    <row r="11" spans="1:14">
      <c r="A11">
        <v>1</v>
      </c>
      <c r="B11" t="s">
        <v>22</v>
      </c>
      <c r="C11" t="s">
        <v>23</v>
      </c>
      <c r="D11" s="14">
        <f>'OCS-2.5'!Y11</f>
        <v>44.901666666666664</v>
      </c>
      <c r="E11" s="14">
        <f>'OCS-2.5'!Z11</f>
        <v>1.92</v>
      </c>
      <c r="F11" s="5">
        <f>E11/D11</f>
        <v>4.2760105415537659E-2</v>
      </c>
      <c r="G11" s="5">
        <f>'OCS-2.6'!R11</f>
        <v>5.7169191179600107E-2</v>
      </c>
      <c r="H11" s="11">
        <f>F11+G11</f>
        <v>9.9929296595137773E-2</v>
      </c>
      <c r="I11" s="11">
        <f>'OCS-2.6'!Q11</f>
        <v>4.9338382359200204E-2</v>
      </c>
      <c r="J11" s="11">
        <f>F11+I11</f>
        <v>9.2098487774737864E-2</v>
      </c>
    </row>
    <row r="12" spans="1:14">
      <c r="A12">
        <f>A11+1</f>
        <v>2</v>
      </c>
      <c r="B12" t="s">
        <v>24</v>
      </c>
      <c r="C12" t="s">
        <v>25</v>
      </c>
      <c r="D12" s="14">
        <f>'OCS-2.5'!Y12</f>
        <v>41.164999999999999</v>
      </c>
      <c r="E12" s="14">
        <f>'OCS-2.5'!Z12</f>
        <v>1.42</v>
      </c>
      <c r="F12" s="5">
        <f t="shared" ref="F12:F18" si="0">E12/D12</f>
        <v>3.4495323697315679E-2</v>
      </c>
      <c r="G12" s="5">
        <f>'OCS-2.6'!R12</f>
        <v>5.5242803337390567E-2</v>
      </c>
      <c r="H12" s="11">
        <f t="shared" ref="H12:H18" si="1">F12+G12</f>
        <v>8.9738127034706239E-2</v>
      </c>
      <c r="I12" s="11">
        <f>'OCS-2.6'!Q12</f>
        <v>5.1152273341447799E-2</v>
      </c>
      <c r="J12" s="11">
        <f t="shared" ref="J12:J18" si="2">F12+I12</f>
        <v>8.5647597038763484E-2</v>
      </c>
    </row>
    <row r="13" spans="1:14">
      <c r="A13" s="32">
        <f t="shared" ref="A13:A20" si="3">A12+1</f>
        <v>3</v>
      </c>
      <c r="B13" s="2" t="s">
        <v>26</v>
      </c>
      <c r="C13" s="2" t="s">
        <v>27</v>
      </c>
      <c r="D13" s="14">
        <f>'OCS-2.5'!Y13</f>
        <v>43.118333333333339</v>
      </c>
      <c r="E13" s="14">
        <f>'OCS-2.5'!Z13</f>
        <v>1.64</v>
      </c>
      <c r="F13" s="5">
        <f t="shared" si="0"/>
        <v>3.8034865293185414E-2</v>
      </c>
      <c r="G13" s="5">
        <f>'OCS-2.6'!R13</f>
        <v>4.7038654325767953E-2</v>
      </c>
      <c r="H13" s="11">
        <f t="shared" si="1"/>
        <v>8.5073519618953375E-2</v>
      </c>
      <c r="I13" s="11">
        <f>'OCS-2.6'!Q13</f>
        <v>5.9077308651535904E-2</v>
      </c>
      <c r="J13" s="11">
        <f t="shared" si="2"/>
        <v>9.7112173944721325E-2</v>
      </c>
    </row>
    <row r="14" spans="1:14">
      <c r="A14" s="32">
        <f t="shared" si="3"/>
        <v>4</v>
      </c>
      <c r="B14" s="2" t="s">
        <v>28</v>
      </c>
      <c r="C14" s="2" t="s">
        <v>29</v>
      </c>
      <c r="D14" s="14">
        <f>'OCS-2.5'!Y14</f>
        <v>41.186666666666667</v>
      </c>
      <c r="E14" s="14">
        <f>'OCS-2.5'!Z14</f>
        <v>1.87</v>
      </c>
      <c r="F14" s="5">
        <f t="shared" si="0"/>
        <v>4.5403043056005184E-2</v>
      </c>
      <c r="G14" s="5">
        <f>'OCS-2.6'!R14</f>
        <v>4.3562845423430543E-2</v>
      </c>
      <c r="H14" s="11">
        <f t="shared" si="1"/>
        <v>8.8965888479435734E-2</v>
      </c>
      <c r="I14" s="11">
        <f>'OCS-2.6'!Q14</f>
        <v>4.4459024180194429E-2</v>
      </c>
      <c r="J14" s="11">
        <f t="shared" si="2"/>
        <v>8.9862067236199605E-2</v>
      </c>
    </row>
    <row r="15" spans="1:14">
      <c r="A15" s="32">
        <f t="shared" si="3"/>
        <v>5</v>
      </c>
      <c r="B15" s="2" t="s">
        <v>30</v>
      </c>
      <c r="C15" s="2" t="s">
        <v>31</v>
      </c>
      <c r="D15" s="14">
        <f>'OCS-2.5'!Y15</f>
        <v>32.348333333333336</v>
      </c>
      <c r="E15" s="14">
        <f>'OCS-2.5'!Z15</f>
        <v>1.27</v>
      </c>
      <c r="F15" s="5">
        <f t="shared" si="0"/>
        <v>3.9260137049822244E-2</v>
      </c>
      <c r="G15" s="5">
        <f>'OCS-2.6'!R15</f>
        <v>4.5759043039016165E-2</v>
      </c>
      <c r="H15" s="11">
        <f t="shared" si="1"/>
        <v>8.5019180088838409E-2</v>
      </c>
      <c r="I15" s="11">
        <f>'OCS-2.6'!Q15</f>
        <v>4.7184752744699E-2</v>
      </c>
      <c r="J15" s="11">
        <f t="shared" si="2"/>
        <v>8.6444889794521251E-2</v>
      </c>
    </row>
    <row r="16" spans="1:14">
      <c r="A16" s="32">
        <f t="shared" si="3"/>
        <v>6</v>
      </c>
      <c r="B16" s="2" t="s">
        <v>32</v>
      </c>
      <c r="C16" s="2" t="s">
        <v>33</v>
      </c>
      <c r="D16" s="14">
        <f>'OCS-2.5'!Y16</f>
        <v>57.268333333333338</v>
      </c>
      <c r="E16" s="14">
        <f>'OCS-2.5'!Z16</f>
        <v>1.95</v>
      </c>
      <c r="F16" s="5">
        <f t="shared" si="0"/>
        <v>3.4050231366956722E-2</v>
      </c>
      <c r="G16" s="5">
        <f>'OCS-2.6'!R16</f>
        <v>8.104977144384734E-2</v>
      </c>
      <c r="H16" s="11">
        <f t="shared" si="1"/>
        <v>0.11510000281080407</v>
      </c>
      <c r="I16" s="11">
        <f>'OCS-2.6'!Q16</f>
        <v>9.7099542887694679E-2</v>
      </c>
      <c r="J16" s="11">
        <f t="shared" si="2"/>
        <v>0.13114977425465141</v>
      </c>
    </row>
    <row r="17" spans="1:10">
      <c r="A17" s="32">
        <f t="shared" si="3"/>
        <v>7</v>
      </c>
      <c r="B17" s="2" t="s">
        <v>34</v>
      </c>
      <c r="C17" s="2" t="s">
        <v>35</v>
      </c>
      <c r="D17" s="14">
        <f>'OCS-2.5'!Y17</f>
        <v>48.401666666666664</v>
      </c>
      <c r="E17" s="14">
        <f>'OCS-2.5'!Z17</f>
        <v>1.4</v>
      </c>
      <c r="F17" s="5">
        <f t="shared" si="0"/>
        <v>2.892462380772012E-2</v>
      </c>
      <c r="G17" s="5">
        <f>'OCS-2.6'!R17</f>
        <v>6.425795432793667E-2</v>
      </c>
      <c r="H17" s="11">
        <f t="shared" si="1"/>
        <v>9.3182578135656793E-2</v>
      </c>
      <c r="I17" s="11">
        <f>'OCS-2.6'!Q17</f>
        <v>7.8415908655873334E-2</v>
      </c>
      <c r="J17" s="11">
        <f t="shared" si="2"/>
        <v>0.10734053246359346</v>
      </c>
    </row>
    <row r="18" spans="1:10">
      <c r="A18" s="32">
        <f t="shared" si="3"/>
        <v>8</v>
      </c>
      <c r="B18" s="2" t="s">
        <v>37</v>
      </c>
      <c r="C18" s="2" t="s">
        <v>36</v>
      </c>
      <c r="D18" s="14">
        <f>'OCS-2.5'!Y18</f>
        <v>41.51</v>
      </c>
      <c r="E18" s="14">
        <f>'OCS-2.5'!Z18</f>
        <v>1.6475</v>
      </c>
      <c r="F18" s="5">
        <f t="shared" si="0"/>
        <v>3.96892315104794E-2</v>
      </c>
      <c r="G18" s="5">
        <f>'OCS-2.6'!R18</f>
        <v>4.3050609846857005E-2</v>
      </c>
      <c r="H18" s="11">
        <f t="shared" si="1"/>
        <v>8.2739841357336405E-2</v>
      </c>
      <c r="I18" s="11">
        <f>'OCS-2.6'!Q18</f>
        <v>3.9267886360380679E-2</v>
      </c>
      <c r="J18" s="11">
        <f t="shared" si="2"/>
        <v>7.8957117870860072E-2</v>
      </c>
    </row>
    <row r="19" spans="1:10" ht="18.75">
      <c r="A19" s="32">
        <f t="shared" si="3"/>
        <v>9</v>
      </c>
      <c r="B19" s="2" t="s">
        <v>109</v>
      </c>
      <c r="C19" s="2"/>
      <c r="D19" s="14">
        <f t="shared" ref="D19:J19" si="4">AVERAGE(D11:D18)</f>
        <v>43.737499999999997</v>
      </c>
      <c r="E19" s="14">
        <f t="shared" si="4"/>
        <v>1.6396875</v>
      </c>
      <c r="F19" s="5">
        <f t="shared" si="4"/>
        <v>3.7827195149627804E-2</v>
      </c>
      <c r="G19" s="5">
        <f t="shared" si="4"/>
        <v>5.4641359115480792E-2</v>
      </c>
      <c r="H19" s="70">
        <f t="shared" si="4"/>
        <v>9.2468554265108596E-2</v>
      </c>
      <c r="I19" s="11">
        <f t="shared" si="4"/>
        <v>5.8249384897628258E-2</v>
      </c>
      <c r="J19" s="70">
        <f t="shared" si="4"/>
        <v>9.6076580047256055E-2</v>
      </c>
    </row>
    <row r="20" spans="1:10" ht="18.75">
      <c r="A20" s="32">
        <f t="shared" si="3"/>
        <v>10</v>
      </c>
      <c r="B20" s="2" t="s">
        <v>211</v>
      </c>
      <c r="D20" s="14">
        <f t="shared" ref="D20:J20" si="5">MEDIAN(D11:D18)</f>
        <v>42.314166666666665</v>
      </c>
      <c r="E20" s="14">
        <f t="shared" si="5"/>
        <v>1.6437499999999998</v>
      </c>
      <c r="F20" s="5">
        <f t="shared" si="5"/>
        <v>3.8647501171503826E-2</v>
      </c>
      <c r="G20" s="5">
        <f t="shared" si="5"/>
        <v>5.114072883157926E-2</v>
      </c>
      <c r="H20" s="71">
        <f t="shared" si="5"/>
        <v>8.9352007757070986E-2</v>
      </c>
      <c r="I20" s="5">
        <f t="shared" si="5"/>
        <v>5.0245327850323998E-2</v>
      </c>
      <c r="J20" s="71">
        <f t="shared" si="5"/>
        <v>9.0980277505468735E-2</v>
      </c>
    </row>
    <row r="22" spans="1:10">
      <c r="B22" s="40" t="s">
        <v>227</v>
      </c>
    </row>
    <row r="23" spans="1:10">
      <c r="B23" s="40" t="s">
        <v>322</v>
      </c>
    </row>
    <row r="24" spans="1:10">
      <c r="B24" s="40" t="s">
        <v>323</v>
      </c>
    </row>
    <row r="25" spans="1:10">
      <c r="B25" s="40" t="s">
        <v>244</v>
      </c>
    </row>
    <row r="26" spans="1:10">
      <c r="B26" s="40" t="s">
        <v>324</v>
      </c>
    </row>
    <row r="27" spans="1:10">
      <c r="B27" s="40" t="s">
        <v>325</v>
      </c>
    </row>
    <row r="28" spans="1:10">
      <c r="B28" s="40" t="s">
        <v>326</v>
      </c>
    </row>
    <row r="29" spans="1:10">
      <c r="B29" s="40" t="s">
        <v>327</v>
      </c>
    </row>
    <row r="30" spans="1:10">
      <c r="B30" s="40"/>
    </row>
    <row r="31" spans="1:10">
      <c r="B31" s="40"/>
    </row>
    <row r="32" spans="1:10">
      <c r="B32" s="40"/>
    </row>
    <row r="33" spans="2:2">
      <c r="B33" s="40"/>
    </row>
  </sheetData>
  <mergeCells count="3">
    <mergeCell ref="B3:J3"/>
    <mergeCell ref="B4:J4"/>
    <mergeCell ref="B5:J5"/>
  </mergeCells>
  <phoneticPr fontId="5" type="noConversion"/>
  <pageMargins left="0.75" right="0.75" top="1" bottom="1" header="0.5" footer="0.5"/>
  <pageSetup scale="79" orientation="landscape" horizontalDpi="4294967292" verticalDpi="4294967292"/>
  <headerFooter>
    <oddHeader>&amp;R&amp;"Calibri,Regular"&amp;K000000Exhibit OCS 2.7_x000D_Page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sqref="A1:V6"/>
    </sheetView>
  </sheetViews>
  <sheetFormatPr defaultColWidth="11" defaultRowHeight="15.75"/>
  <sheetData/>
  <phoneticPr fontId="5" type="noConversion"/>
  <pageMargins left="0.75" right="0.75" top="1" bottom="1" header="0.5" footer="0.5"/>
  <pageSetup scale="4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FP33"/>
  <sheetViews>
    <sheetView topLeftCell="A7" workbookViewId="0">
      <selection activeCell="E24" sqref="E24"/>
    </sheetView>
  </sheetViews>
  <sheetFormatPr defaultColWidth="11" defaultRowHeight="15.75"/>
  <cols>
    <col min="1" max="1" width="7" customWidth="1"/>
    <col min="2" max="2" width="34.875" customWidth="1"/>
    <col min="20" max="20" width="32.375" customWidth="1"/>
    <col min="33" max="33" width="11.875" customWidth="1"/>
    <col min="169" max="169" width="13.375" customWidth="1"/>
    <col min="170" max="170" width="12.625" customWidth="1"/>
    <col min="171" max="171" width="14.375" customWidth="1"/>
  </cols>
  <sheetData>
    <row r="3" spans="1:172" ht="21">
      <c r="B3" s="81" t="s">
        <v>298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5"/>
      <c r="Q3" s="15"/>
      <c r="R3" s="15"/>
      <c r="S3" s="15"/>
    </row>
    <row r="4" spans="1:172" ht="21">
      <c r="B4" s="81" t="s">
        <v>299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5"/>
      <c r="Q4" s="15"/>
      <c r="R4" s="15"/>
      <c r="S4" s="15"/>
    </row>
    <row r="5" spans="1:172" ht="21">
      <c r="B5" s="80" t="s">
        <v>283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5"/>
      <c r="Q5" s="15"/>
      <c r="R5" s="15"/>
      <c r="S5" s="15"/>
    </row>
    <row r="9" spans="1:172" ht="18.75">
      <c r="D9" s="66" t="s">
        <v>56</v>
      </c>
      <c r="E9" s="66" t="s">
        <v>57</v>
      </c>
      <c r="F9" s="66" t="s">
        <v>58</v>
      </c>
      <c r="G9" s="66" t="s">
        <v>8</v>
      </c>
      <c r="H9" s="66" t="s">
        <v>59</v>
      </c>
      <c r="I9" s="66" t="s">
        <v>60</v>
      </c>
      <c r="J9" s="66" t="s">
        <v>61</v>
      </c>
      <c r="K9" s="66" t="s">
        <v>62</v>
      </c>
      <c r="L9" s="66" t="s">
        <v>63</v>
      </c>
      <c r="M9" s="66" t="s">
        <v>64</v>
      </c>
      <c r="N9" s="66" t="s">
        <v>65</v>
      </c>
      <c r="O9" s="66" t="s">
        <v>66</v>
      </c>
    </row>
    <row r="10" spans="1:172" ht="51.75">
      <c r="A10" s="4" t="s">
        <v>0</v>
      </c>
      <c r="B10" s="4" t="s">
        <v>1</v>
      </c>
      <c r="C10" s="4" t="s">
        <v>4</v>
      </c>
      <c r="D10" s="4" t="s">
        <v>153</v>
      </c>
      <c r="E10" s="4" t="s">
        <v>154</v>
      </c>
      <c r="F10" s="4" t="s">
        <v>155</v>
      </c>
      <c r="G10" s="4" t="s">
        <v>151</v>
      </c>
      <c r="H10" s="4" t="s">
        <v>156</v>
      </c>
      <c r="I10" s="4" t="s">
        <v>157</v>
      </c>
      <c r="J10" s="4" t="s">
        <v>158</v>
      </c>
      <c r="K10" s="4" t="s">
        <v>159</v>
      </c>
      <c r="L10" s="4" t="s">
        <v>160</v>
      </c>
      <c r="M10" s="4" t="s">
        <v>162</v>
      </c>
      <c r="N10" s="4" t="s">
        <v>161</v>
      </c>
      <c r="O10" s="4" t="s">
        <v>161</v>
      </c>
      <c r="T10" s="4" t="s">
        <v>1</v>
      </c>
      <c r="U10" t="s">
        <v>151</v>
      </c>
      <c r="V10" t="s">
        <v>163</v>
      </c>
      <c r="W10">
        <v>2</v>
      </c>
      <c r="X10">
        <f>W10+1</f>
        <v>3</v>
      </c>
      <c r="Y10">
        <f t="shared" ref="Y10:CJ10" si="0">X10+1</f>
        <v>4</v>
      </c>
      <c r="Z10">
        <f t="shared" si="0"/>
        <v>5</v>
      </c>
      <c r="AA10">
        <f t="shared" si="0"/>
        <v>6</v>
      </c>
      <c r="AB10">
        <f t="shared" si="0"/>
        <v>7</v>
      </c>
      <c r="AC10">
        <f t="shared" si="0"/>
        <v>8</v>
      </c>
      <c r="AD10">
        <f t="shared" si="0"/>
        <v>9</v>
      </c>
      <c r="AE10">
        <f t="shared" si="0"/>
        <v>10</v>
      </c>
      <c r="AF10">
        <f t="shared" si="0"/>
        <v>11</v>
      </c>
      <c r="AG10">
        <f t="shared" si="0"/>
        <v>12</v>
      </c>
      <c r="AH10">
        <f t="shared" si="0"/>
        <v>13</v>
      </c>
      <c r="AI10">
        <f t="shared" si="0"/>
        <v>14</v>
      </c>
      <c r="AJ10">
        <f t="shared" si="0"/>
        <v>15</v>
      </c>
      <c r="AK10">
        <f t="shared" si="0"/>
        <v>16</v>
      </c>
      <c r="AL10">
        <f t="shared" si="0"/>
        <v>17</v>
      </c>
      <c r="AM10">
        <f t="shared" si="0"/>
        <v>18</v>
      </c>
      <c r="AN10">
        <f t="shared" si="0"/>
        <v>19</v>
      </c>
      <c r="AO10">
        <f t="shared" si="0"/>
        <v>20</v>
      </c>
      <c r="AP10">
        <f t="shared" si="0"/>
        <v>21</v>
      </c>
      <c r="AQ10">
        <f t="shared" si="0"/>
        <v>22</v>
      </c>
      <c r="AR10">
        <f t="shared" si="0"/>
        <v>23</v>
      </c>
      <c r="AS10">
        <f t="shared" si="0"/>
        <v>24</v>
      </c>
      <c r="AT10">
        <f t="shared" si="0"/>
        <v>25</v>
      </c>
      <c r="AU10">
        <f t="shared" si="0"/>
        <v>26</v>
      </c>
      <c r="AV10">
        <f t="shared" si="0"/>
        <v>27</v>
      </c>
      <c r="AW10">
        <f t="shared" si="0"/>
        <v>28</v>
      </c>
      <c r="AX10">
        <f t="shared" si="0"/>
        <v>29</v>
      </c>
      <c r="AY10">
        <f t="shared" si="0"/>
        <v>30</v>
      </c>
      <c r="AZ10">
        <f t="shared" si="0"/>
        <v>31</v>
      </c>
      <c r="BA10">
        <f t="shared" si="0"/>
        <v>32</v>
      </c>
      <c r="BB10">
        <f t="shared" si="0"/>
        <v>33</v>
      </c>
      <c r="BC10">
        <f t="shared" si="0"/>
        <v>34</v>
      </c>
      <c r="BD10">
        <f t="shared" si="0"/>
        <v>35</v>
      </c>
      <c r="BE10">
        <f t="shared" si="0"/>
        <v>36</v>
      </c>
      <c r="BF10">
        <f t="shared" si="0"/>
        <v>37</v>
      </c>
      <c r="BG10">
        <f t="shared" si="0"/>
        <v>38</v>
      </c>
      <c r="BH10">
        <f t="shared" si="0"/>
        <v>39</v>
      </c>
      <c r="BI10">
        <f t="shared" si="0"/>
        <v>40</v>
      </c>
      <c r="BJ10">
        <f t="shared" si="0"/>
        <v>41</v>
      </c>
      <c r="BK10">
        <f t="shared" si="0"/>
        <v>42</v>
      </c>
      <c r="BL10">
        <f t="shared" si="0"/>
        <v>43</v>
      </c>
      <c r="BM10">
        <f t="shared" si="0"/>
        <v>44</v>
      </c>
      <c r="BN10">
        <f t="shared" si="0"/>
        <v>45</v>
      </c>
      <c r="BO10">
        <f t="shared" si="0"/>
        <v>46</v>
      </c>
      <c r="BP10">
        <f t="shared" si="0"/>
        <v>47</v>
      </c>
      <c r="BQ10">
        <f t="shared" si="0"/>
        <v>48</v>
      </c>
      <c r="BR10">
        <f t="shared" si="0"/>
        <v>49</v>
      </c>
      <c r="BS10">
        <f t="shared" si="0"/>
        <v>50</v>
      </c>
      <c r="BT10">
        <f t="shared" si="0"/>
        <v>51</v>
      </c>
      <c r="BU10">
        <f t="shared" si="0"/>
        <v>52</v>
      </c>
      <c r="BV10">
        <f t="shared" si="0"/>
        <v>53</v>
      </c>
      <c r="BW10">
        <f t="shared" si="0"/>
        <v>54</v>
      </c>
      <c r="BX10">
        <f t="shared" si="0"/>
        <v>55</v>
      </c>
      <c r="BY10">
        <f t="shared" si="0"/>
        <v>56</v>
      </c>
      <c r="BZ10">
        <f t="shared" si="0"/>
        <v>57</v>
      </c>
      <c r="CA10">
        <f t="shared" si="0"/>
        <v>58</v>
      </c>
      <c r="CB10">
        <f t="shared" si="0"/>
        <v>59</v>
      </c>
      <c r="CC10">
        <f t="shared" si="0"/>
        <v>60</v>
      </c>
      <c r="CD10">
        <f t="shared" si="0"/>
        <v>61</v>
      </c>
      <c r="CE10">
        <f t="shared" si="0"/>
        <v>62</v>
      </c>
      <c r="CF10">
        <f t="shared" si="0"/>
        <v>63</v>
      </c>
      <c r="CG10">
        <f t="shared" si="0"/>
        <v>64</v>
      </c>
      <c r="CH10">
        <f t="shared" si="0"/>
        <v>65</v>
      </c>
      <c r="CI10">
        <f t="shared" si="0"/>
        <v>66</v>
      </c>
      <c r="CJ10">
        <f t="shared" si="0"/>
        <v>67</v>
      </c>
      <c r="CK10">
        <f t="shared" ref="CK10:EV10" si="1">CJ10+1</f>
        <v>68</v>
      </c>
      <c r="CL10">
        <f t="shared" si="1"/>
        <v>69</v>
      </c>
      <c r="CM10">
        <f t="shared" si="1"/>
        <v>70</v>
      </c>
      <c r="CN10">
        <f t="shared" si="1"/>
        <v>71</v>
      </c>
      <c r="CO10">
        <f t="shared" si="1"/>
        <v>72</v>
      </c>
      <c r="CP10">
        <f t="shared" si="1"/>
        <v>73</v>
      </c>
      <c r="CQ10">
        <f t="shared" si="1"/>
        <v>74</v>
      </c>
      <c r="CR10">
        <f t="shared" si="1"/>
        <v>75</v>
      </c>
      <c r="CS10">
        <f t="shared" si="1"/>
        <v>76</v>
      </c>
      <c r="CT10">
        <f t="shared" si="1"/>
        <v>77</v>
      </c>
      <c r="CU10">
        <f t="shared" si="1"/>
        <v>78</v>
      </c>
      <c r="CV10">
        <f t="shared" si="1"/>
        <v>79</v>
      </c>
      <c r="CW10">
        <f t="shared" si="1"/>
        <v>80</v>
      </c>
      <c r="CX10">
        <f t="shared" si="1"/>
        <v>81</v>
      </c>
      <c r="CY10">
        <f t="shared" si="1"/>
        <v>82</v>
      </c>
      <c r="CZ10">
        <f t="shared" si="1"/>
        <v>83</v>
      </c>
      <c r="DA10">
        <f t="shared" si="1"/>
        <v>84</v>
      </c>
      <c r="DB10">
        <f t="shared" si="1"/>
        <v>85</v>
      </c>
      <c r="DC10">
        <f t="shared" si="1"/>
        <v>86</v>
      </c>
      <c r="DD10">
        <f t="shared" si="1"/>
        <v>87</v>
      </c>
      <c r="DE10">
        <f t="shared" si="1"/>
        <v>88</v>
      </c>
      <c r="DF10">
        <f t="shared" si="1"/>
        <v>89</v>
      </c>
      <c r="DG10">
        <f t="shared" si="1"/>
        <v>90</v>
      </c>
      <c r="DH10">
        <f t="shared" si="1"/>
        <v>91</v>
      </c>
      <c r="DI10">
        <f t="shared" si="1"/>
        <v>92</v>
      </c>
      <c r="DJ10">
        <f t="shared" si="1"/>
        <v>93</v>
      </c>
      <c r="DK10">
        <f t="shared" si="1"/>
        <v>94</v>
      </c>
      <c r="DL10">
        <f t="shared" si="1"/>
        <v>95</v>
      </c>
      <c r="DM10">
        <f t="shared" si="1"/>
        <v>96</v>
      </c>
      <c r="DN10">
        <f t="shared" si="1"/>
        <v>97</v>
      </c>
      <c r="DO10">
        <f t="shared" si="1"/>
        <v>98</v>
      </c>
      <c r="DP10">
        <f t="shared" si="1"/>
        <v>99</v>
      </c>
      <c r="DQ10">
        <f t="shared" si="1"/>
        <v>100</v>
      </c>
      <c r="DR10">
        <f t="shared" si="1"/>
        <v>101</v>
      </c>
      <c r="DS10">
        <f t="shared" si="1"/>
        <v>102</v>
      </c>
      <c r="DT10">
        <f t="shared" si="1"/>
        <v>103</v>
      </c>
      <c r="DU10">
        <f t="shared" si="1"/>
        <v>104</v>
      </c>
      <c r="DV10">
        <f t="shared" si="1"/>
        <v>105</v>
      </c>
      <c r="DW10">
        <f t="shared" si="1"/>
        <v>106</v>
      </c>
      <c r="DX10">
        <f t="shared" si="1"/>
        <v>107</v>
      </c>
      <c r="DY10">
        <f t="shared" si="1"/>
        <v>108</v>
      </c>
      <c r="DZ10">
        <f t="shared" si="1"/>
        <v>109</v>
      </c>
      <c r="EA10">
        <f t="shared" si="1"/>
        <v>110</v>
      </c>
      <c r="EB10">
        <f t="shared" si="1"/>
        <v>111</v>
      </c>
      <c r="EC10">
        <f t="shared" si="1"/>
        <v>112</v>
      </c>
      <c r="ED10">
        <f t="shared" si="1"/>
        <v>113</v>
      </c>
      <c r="EE10">
        <f t="shared" si="1"/>
        <v>114</v>
      </c>
      <c r="EF10">
        <f t="shared" si="1"/>
        <v>115</v>
      </c>
      <c r="EG10">
        <f t="shared" si="1"/>
        <v>116</v>
      </c>
      <c r="EH10">
        <f t="shared" si="1"/>
        <v>117</v>
      </c>
      <c r="EI10">
        <f t="shared" si="1"/>
        <v>118</v>
      </c>
      <c r="EJ10">
        <f t="shared" si="1"/>
        <v>119</v>
      </c>
      <c r="EK10">
        <f t="shared" si="1"/>
        <v>120</v>
      </c>
      <c r="EL10">
        <f t="shared" si="1"/>
        <v>121</v>
      </c>
      <c r="EM10">
        <f t="shared" si="1"/>
        <v>122</v>
      </c>
      <c r="EN10">
        <f t="shared" si="1"/>
        <v>123</v>
      </c>
      <c r="EO10">
        <f t="shared" si="1"/>
        <v>124</v>
      </c>
      <c r="EP10">
        <f t="shared" si="1"/>
        <v>125</v>
      </c>
      <c r="EQ10">
        <f t="shared" si="1"/>
        <v>126</v>
      </c>
      <c r="ER10">
        <f t="shared" si="1"/>
        <v>127</v>
      </c>
      <c r="ES10">
        <f t="shared" si="1"/>
        <v>128</v>
      </c>
      <c r="ET10">
        <f t="shared" si="1"/>
        <v>129</v>
      </c>
      <c r="EU10">
        <f t="shared" si="1"/>
        <v>130</v>
      </c>
      <c r="EV10">
        <f t="shared" si="1"/>
        <v>131</v>
      </c>
      <c r="EW10">
        <f t="shared" ref="EW10:FO10" si="2">EV10+1</f>
        <v>132</v>
      </c>
      <c r="EX10">
        <f t="shared" si="2"/>
        <v>133</v>
      </c>
      <c r="EY10">
        <f t="shared" si="2"/>
        <v>134</v>
      </c>
      <c r="EZ10">
        <f t="shared" si="2"/>
        <v>135</v>
      </c>
      <c r="FA10">
        <f t="shared" si="2"/>
        <v>136</v>
      </c>
      <c r="FB10">
        <f t="shared" si="2"/>
        <v>137</v>
      </c>
      <c r="FC10">
        <f t="shared" si="2"/>
        <v>138</v>
      </c>
      <c r="FD10">
        <f t="shared" si="2"/>
        <v>139</v>
      </c>
      <c r="FE10">
        <f t="shared" si="2"/>
        <v>140</v>
      </c>
      <c r="FF10">
        <f t="shared" si="2"/>
        <v>141</v>
      </c>
      <c r="FG10">
        <f t="shared" si="2"/>
        <v>142</v>
      </c>
      <c r="FH10">
        <f t="shared" si="2"/>
        <v>143</v>
      </c>
      <c r="FI10">
        <f t="shared" si="2"/>
        <v>144</v>
      </c>
      <c r="FJ10">
        <f t="shared" si="2"/>
        <v>145</v>
      </c>
      <c r="FK10">
        <f t="shared" si="2"/>
        <v>146</v>
      </c>
      <c r="FL10">
        <f t="shared" si="2"/>
        <v>147</v>
      </c>
      <c r="FM10">
        <f t="shared" si="2"/>
        <v>148</v>
      </c>
      <c r="FN10">
        <f t="shared" si="2"/>
        <v>149</v>
      </c>
      <c r="FO10">
        <f t="shared" si="2"/>
        <v>150</v>
      </c>
      <c r="FP10" t="s">
        <v>164</v>
      </c>
    </row>
    <row r="11" spans="1:172">
      <c r="A11">
        <v>1</v>
      </c>
      <c r="B11" t="s">
        <v>22</v>
      </c>
      <c r="C11" t="s">
        <v>23</v>
      </c>
      <c r="D11" s="14">
        <f>'GAS GROUP INPUT P1'!H11</f>
        <v>1.92</v>
      </c>
      <c r="E11" s="14">
        <f>'GAS GROUP INPUT P1'!I11</f>
        <v>2.3199999999999998</v>
      </c>
      <c r="F11" s="9">
        <f>(E11-D11)/3</f>
        <v>0.1333333333333333</v>
      </c>
      <c r="G11" s="14">
        <f>'OCS-2.7'!D11</f>
        <v>44.901666666666664</v>
      </c>
      <c r="H11" s="14">
        <f>D11</f>
        <v>1.92</v>
      </c>
      <c r="I11" s="14">
        <f>H11+F11</f>
        <v>2.0533333333333332</v>
      </c>
      <c r="J11" s="18">
        <f>I11+F11</f>
        <v>2.1866666666666665</v>
      </c>
      <c r="K11" s="7">
        <f>J11+F11</f>
        <v>2.3199999999999998</v>
      </c>
      <c r="L11" s="14">
        <f>(1+M11)*K11</f>
        <v>2.4344650470733442</v>
      </c>
      <c r="M11" s="11">
        <f>'OCS-2.6'!Q11</f>
        <v>4.9338382359200204E-2</v>
      </c>
      <c r="N11" s="11">
        <f>FP11</f>
        <v>9.3825407056548515E-2</v>
      </c>
      <c r="O11" s="11">
        <f>N11</f>
        <v>9.3825407056548515E-2</v>
      </c>
      <c r="T11" t="s">
        <v>22</v>
      </c>
      <c r="U11" s="14">
        <f>-1*G11</f>
        <v>-44.901666666666664</v>
      </c>
      <c r="V11" s="14">
        <f>H11</f>
        <v>1.92</v>
      </c>
      <c r="W11" s="14">
        <f>I11</f>
        <v>2.0533333333333332</v>
      </c>
      <c r="X11" s="18">
        <f>J11</f>
        <v>2.1866666666666665</v>
      </c>
      <c r="Y11" s="18">
        <f>K11</f>
        <v>2.3199999999999998</v>
      </c>
      <c r="Z11" s="14">
        <f>(1+$M$11)*Y11</f>
        <v>2.4344650470733442</v>
      </c>
      <c r="AA11" s="14">
        <f t="shared" ref="AA11:CL11" si="3">(1+$M$11)*Z11</f>
        <v>2.5545776144059573</v>
      </c>
      <c r="AB11" s="14">
        <f t="shared" si="3"/>
        <v>2.6806163415117719</v>
      </c>
      <c r="AC11" s="14">
        <f t="shared" si="3"/>
        <v>2.8128736155276002</v>
      </c>
      <c r="AD11" s="14">
        <f t="shared" si="3"/>
        <v>2.9516562494986069</v>
      </c>
      <c r="AE11" s="14">
        <f t="shared" si="3"/>
        <v>3.0972861941292922</v>
      </c>
      <c r="AF11" s="14">
        <f t="shared" si="3"/>
        <v>3.250101284651115</v>
      </c>
      <c r="AG11" s="14">
        <f t="shared" si="3"/>
        <v>3.4104560245393594</v>
      </c>
      <c r="AH11" s="14">
        <f t="shared" si="3"/>
        <v>3.5787224078973199</v>
      </c>
      <c r="AI11" s="14">
        <f t="shared" si="3"/>
        <v>3.7552907824155954</v>
      </c>
      <c r="AJ11" s="14">
        <f t="shared" si="3"/>
        <v>3.9405707549083959</v>
      </c>
      <c r="AK11" s="14">
        <f t="shared" si="3"/>
        <v>4.1349921415275483</v>
      </c>
      <c r="AL11" s="14">
        <f t="shared" si="3"/>
        <v>4.3390059648585222</v>
      </c>
      <c r="AM11" s="14">
        <f t="shared" si="3"/>
        <v>4.5530855002115622</v>
      </c>
      <c r="AN11" s="14">
        <f t="shared" si="3"/>
        <v>4.7777273735351304</v>
      </c>
      <c r="AO11" s="14">
        <f t="shared" si="3"/>
        <v>5.0134527134986238</v>
      </c>
      <c r="AP11" s="14">
        <f t="shared" si="3"/>
        <v>5.2608083604169886</v>
      </c>
      <c r="AQ11" s="14">
        <f t="shared" si="3"/>
        <v>5.5203681348217186</v>
      </c>
      <c r="AR11" s="14">
        <f t="shared" si="3"/>
        <v>5.7927341686210969</v>
      </c>
      <c r="AS11" s="14">
        <f t="shared" si="3"/>
        <v>6.0785383019377281</v>
      </c>
      <c r="AT11" s="14">
        <f t="shared" si="3"/>
        <v>6.3784435488637756</v>
      </c>
      <c r="AU11" s="14">
        <f t="shared" si="3"/>
        <v>6.6931456355341901</v>
      </c>
      <c r="AV11" s="14">
        <f t="shared" si="3"/>
        <v>7.0233746140859878</v>
      </c>
      <c r="AW11" s="14">
        <f t="shared" si="3"/>
        <v>7.3698965562476619</v>
      </c>
      <c r="AX11" s="14">
        <f t="shared" si="3"/>
        <v>7.7335153304875615</v>
      </c>
      <c r="AY11" s="14">
        <f t="shared" si="3"/>
        <v>8.1150744668438932</v>
      </c>
      <c r="AZ11" s="14">
        <f t="shared" si="3"/>
        <v>8.5154591137624198</v>
      </c>
      <c r="BA11" s="14">
        <f t="shared" si="3"/>
        <v>8.9355980914813653</v>
      </c>
      <c r="BB11" s="14">
        <f t="shared" si="3"/>
        <v>9.3764660467270122</v>
      </c>
      <c r="BC11" s="14">
        <f t="shared" si="3"/>
        <v>9.8390857137184877</v>
      </c>
      <c r="BD11" s="14">
        <f t="shared" si="3"/>
        <v>10.324530286726874</v>
      </c>
      <c r="BE11" s="14">
        <f t="shared" si="3"/>
        <v>10.833925909692548</v>
      </c>
      <c r="BF11" s="14">
        <f t="shared" si="3"/>
        <v>11.368454288676205</v>
      </c>
      <c r="BG11" s="14">
        <f t="shared" si="3"/>
        <v>11.929355433204</v>
      </c>
      <c r="BH11" s="14">
        <f t="shared" si="3"/>
        <v>12.51793053286622</v>
      </c>
      <c r="BI11" s="14">
        <f t="shared" si="3"/>
        <v>13.135544975842681</v>
      </c>
      <c r="BJ11" s="14">
        <f t="shared" si="3"/>
        <v>13.783631516357278</v>
      </c>
      <c r="BK11" s="14">
        <f t="shared" si="3"/>
        <v>14.463693598409636</v>
      </c>
      <c r="BL11" s="14">
        <f t="shared" si="3"/>
        <v>15.177308843494286</v>
      </c>
      <c r="BM11" s="14">
        <f t="shared" si="3"/>
        <v>15.926132710398278</v>
      </c>
      <c r="BN11" s="14">
        <f t="shared" si="3"/>
        <v>16.711902335567274</v>
      </c>
      <c r="BO11" s="14">
        <f t="shared" si="3"/>
        <v>17.536440562949103</v>
      </c>
      <c r="BP11" s="14">
        <f t="shared" si="3"/>
        <v>18.401660172663274</v>
      </c>
      <c r="BQ11" s="14">
        <f t="shared" si="3"/>
        <v>19.309568318306201</v>
      </c>
      <c r="BR11" s="14">
        <f t="shared" si="3"/>
        <v>20.262271183185891</v>
      </c>
      <c r="BS11" s="14">
        <f t="shared" si="3"/>
        <v>21.26197886628772</v>
      </c>
      <c r="BT11" s="14">
        <f t="shared" si="3"/>
        <v>22.311010509305856</v>
      </c>
      <c r="BU11" s="14">
        <f t="shared" si="3"/>
        <v>23.411799676634121</v>
      </c>
      <c r="BV11" s="14">
        <f t="shared" si="3"/>
        <v>24.566900000796895</v>
      </c>
      <c r="BW11" s="14">
        <f t="shared" si="3"/>
        <v>25.778991106416449</v>
      </c>
      <c r="BX11" s="14">
        <f t="shared" si="3"/>
        <v>27.050884826459246</v>
      </c>
      <c r="BY11" s="14">
        <f t="shared" si="3"/>
        <v>28.385531725181778</v>
      </c>
      <c r="BZ11" s="14">
        <f t="shared" si="3"/>
        <v>29.786027942908003</v>
      </c>
      <c r="CA11" s="14">
        <f t="shared" si="3"/>
        <v>31.255622378517018</v>
      </c>
      <c r="CB11" s="14">
        <f t="shared" si="3"/>
        <v>32.797724226303067</v>
      </c>
      <c r="CC11" s="14">
        <f t="shared" si="3"/>
        <v>34.415910884692011</v>
      </c>
      <c r="CD11" s="14">
        <f t="shared" si="3"/>
        <v>36.113936255161107</v>
      </c>
      <c r="CE11" s="14">
        <f t="shared" si="3"/>
        <v>37.89573945061403</v>
      </c>
      <c r="CF11" s="14">
        <f t="shared" si="3"/>
        <v>39.765453933413049</v>
      </c>
      <c r="CG11" s="14">
        <f t="shared" si="3"/>
        <v>41.727417104266941</v>
      </c>
      <c r="CH11" s="14">
        <f t="shared" si="3"/>
        <v>43.786180364219092</v>
      </c>
      <c r="CI11" s="14">
        <f t="shared" si="3"/>
        <v>45.946519673077837</v>
      </c>
      <c r="CJ11" s="14">
        <f t="shared" si="3"/>
        <v>48.213446628782663</v>
      </c>
      <c r="CK11" s="14">
        <f t="shared" si="3"/>
        <v>50.592220093408436</v>
      </c>
      <c r="CL11" s="14">
        <f t="shared" si="3"/>
        <v>53.088358392777835</v>
      </c>
      <c r="CM11" s="14">
        <f t="shared" ref="CM11:EX11" si="4">(1+$M$11)*CL11</f>
        <v>55.70765211798296</v>
      </c>
      <c r="CN11" s="14">
        <f t="shared" si="4"/>
        <v>58.456177558513311</v>
      </c>
      <c r="CO11" s="14">
        <f t="shared" si="4"/>
        <v>61.340310798152537</v>
      </c>
      <c r="CP11" s="14">
        <f t="shared" si="4"/>
        <v>64.366742506343968</v>
      </c>
      <c r="CQ11" s="14">
        <f t="shared" si="4"/>
        <v>67.542493459338147</v>
      </c>
      <c r="CR11" s="14">
        <f t="shared" si="4"/>
        <v>70.87493082712875</v>
      </c>
      <c r="CS11" s="14">
        <f t="shared" si="4"/>
        <v>74.371785263959495</v>
      </c>
      <c r="CT11" s="14">
        <f t="shared" si="4"/>
        <v>78.041168842049061</v>
      </c>
      <c r="CU11" s="14">
        <f t="shared" si="4"/>
        <v>81.891593870136973</v>
      </c>
      <c r="CV11" s="14">
        <f t="shared" si="4"/>
        <v>85.931992640506124</v>
      </c>
      <c r="CW11" s="14">
        <f t="shared" si="4"/>
        <v>90.17173815029139</v>
      </c>
      <c r="CX11" s="14">
        <f t="shared" si="4"/>
        <v>94.620665845144146</v>
      </c>
      <c r="CY11" s="14">
        <f t="shared" si="4"/>
        <v>99.289096435693978</v>
      </c>
      <c r="CZ11" s="14">
        <f t="shared" si="4"/>
        <v>104.18785983973774</v>
      </c>
      <c r="DA11" s="14">
        <f t="shared" si="4"/>
        <v>109.32832030569747</v>
      </c>
      <c r="DB11" s="14">
        <f t="shared" si="4"/>
        <v>114.72240277562909</v>
      </c>
      <c r="DC11" s="14">
        <f t="shared" si="4"/>
        <v>120.38262054893924</v>
      </c>
      <c r="DD11" s="14">
        <f t="shared" si="4"/>
        <v>126.32210431098532</v>
      </c>
      <c r="DE11" s="14">
        <f t="shared" si="4"/>
        <v>132.5546325938995</v>
      </c>
      <c r="DF11" s="14">
        <f t="shared" si="4"/>
        <v>139.0946637403006</v>
      </c>
      <c r="DG11" s="14">
        <f t="shared" si="4"/>
        <v>145.95736944404393</v>
      </c>
      <c r="DH11" s="14">
        <f t="shared" si="4"/>
        <v>153.15866994581722</v>
      </c>
      <c r="DI11" s="14">
        <f t="shared" si="4"/>
        <v>160.7152709652305</v>
      </c>
      <c r="DJ11" s="14">
        <f t="shared" si="4"/>
        <v>168.6447024550755</v>
      </c>
      <c r="DK11" s="14">
        <f t="shared" si="4"/>
        <v>176.96535926765756</v>
      </c>
      <c r="DL11" s="14">
        <f t="shared" si="4"/>
        <v>185.69654382753848</v>
      </c>
      <c r="DM11" s="14">
        <f t="shared" si="4"/>
        <v>194.85851090968353</v>
      </c>
      <c r="DN11" s="14">
        <f t="shared" si="4"/>
        <v>204.47251462688988</v>
      </c>
      <c r="DO11" s="14">
        <f t="shared" si="4"/>
        <v>214.56085773549853</v>
      </c>
      <c r="DP11" s="14">
        <f t="shared" si="4"/>
        <v>225.14694337377051</v>
      </c>
      <c r="DQ11" s="14">
        <f t="shared" si="4"/>
        <v>236.25532935295078</v>
      </c>
      <c r="DR11" s="14">
        <f t="shared" si="4"/>
        <v>247.91178512696544</v>
      </c>
      <c r="DS11" s="14">
        <f t="shared" si="4"/>
        <v>260.14335157291151</v>
      </c>
      <c r="DT11" s="14">
        <f t="shared" si="4"/>
        <v>272.97840372101967</v>
      </c>
      <c r="DU11" s="14">
        <f t="shared" si="4"/>
        <v>286.44671657961146</v>
      </c>
      <c r="DV11" s="14">
        <f t="shared" si="4"/>
        <v>300.5795342077538</v>
      </c>
      <c r="DW11" s="14">
        <f t="shared" si="4"/>
        <v>315.40964219584623</v>
      </c>
      <c r="DX11" s="14">
        <f t="shared" si="4"/>
        <v>330.97144372228342</v>
      </c>
      <c r="DY11" s="14">
        <f t="shared" si="4"/>
        <v>347.30103936262992</v>
      </c>
      <c r="DZ11" s="14">
        <f t="shared" si="4"/>
        <v>364.43631083645101</v>
      </c>
      <c r="EA11" s="14">
        <f t="shared" si="4"/>
        <v>382.41700888607619</v>
      </c>
      <c r="EB11" s="14">
        <f t="shared" si="4"/>
        <v>401.28484549115905</v>
      </c>
      <c r="EC11" s="14">
        <f t="shared" si="4"/>
        <v>421.08359063295444</v>
      </c>
      <c r="ED11" s="14">
        <f t="shared" si="4"/>
        <v>441.85917383278809</v>
      </c>
      <c r="EE11" s="14">
        <f t="shared" si="4"/>
        <v>463.65979070027049</v>
      </c>
      <c r="EF11" s="14">
        <f t="shared" si="4"/>
        <v>486.53601473842718</v>
      </c>
      <c r="EG11" s="14">
        <f t="shared" si="4"/>
        <v>510.54091466511318</v>
      </c>
      <c r="EH11" s="14">
        <f t="shared" si="4"/>
        <v>535.73017752287637</v>
      </c>
      <c r="EI11" s="14">
        <f t="shared" si="4"/>
        <v>562.16223786286218</v>
      </c>
      <c r="EJ11" s="14">
        <f t="shared" si="4"/>
        <v>589.89841330244371</v>
      </c>
      <c r="EK11" s="14">
        <f t="shared" si="4"/>
        <v>619.00304677104521</v>
      </c>
      <c r="EL11" s="14">
        <f t="shared" si="4"/>
        <v>649.5436557741449</v>
      </c>
      <c r="EM11" s="14">
        <f t="shared" si="4"/>
        <v>681.59108902172238</v>
      </c>
      <c r="EN11" s="14">
        <f t="shared" si="4"/>
        <v>715.21969078449979</v>
      </c>
      <c r="EO11" s="14">
        <f t="shared" si="4"/>
        <v>750.50747335925439</v>
      </c>
      <c r="EP11" s="14">
        <f t="shared" si="4"/>
        <v>787.53629804329057</v>
      </c>
      <c r="EQ11" s="14">
        <f t="shared" si="4"/>
        <v>826.39206503789944</v>
      </c>
      <c r="ER11" s="14">
        <f t="shared" si="4"/>
        <v>867.1649127213484</v>
      </c>
      <c r="ES11" s="14">
        <f t="shared" si="4"/>
        <v>909.94942675367679</v>
      </c>
      <c r="ET11" s="14">
        <f t="shared" si="4"/>
        <v>954.84485949838472</v>
      </c>
      <c r="EU11" s="14">
        <f t="shared" si="4"/>
        <v>1001.9553602700328</v>
      </c>
      <c r="EV11" s="14">
        <f t="shared" si="4"/>
        <v>1051.3902169418859</v>
      </c>
      <c r="EW11" s="14">
        <f t="shared" si="4"/>
        <v>1103.264109474087</v>
      </c>
      <c r="EX11" s="14">
        <f t="shared" si="4"/>
        <v>1157.697375950502</v>
      </c>
      <c r="EY11" s="14">
        <f t="shared" ref="EY11:FO11" si="5">(1+$M$11)*EX11</f>
        <v>1214.8162917413906</v>
      </c>
      <c r="EZ11" s="14">
        <f t="shared" si="5"/>
        <v>1274.753362439513</v>
      </c>
      <c r="FA11" s="14">
        <f t="shared" si="5"/>
        <v>1337.6476312492298</v>
      </c>
      <c r="FB11" s="14">
        <f t="shared" si="5"/>
        <v>1403.6450015416826</v>
      </c>
      <c r="FC11" s="14">
        <f t="shared" si="5"/>
        <v>1472.8985753243262</v>
      </c>
      <c r="FD11" s="14">
        <f t="shared" si="5"/>
        <v>1545.569008409999</v>
      </c>
      <c r="FE11" s="14">
        <f t="shared" si="5"/>
        <v>1621.8248831094613</v>
      </c>
      <c r="FF11" s="14">
        <f t="shared" si="5"/>
        <v>1701.8430993119812</v>
      </c>
      <c r="FG11" s="14">
        <f t="shared" si="5"/>
        <v>1785.8092848612021</v>
      </c>
      <c r="FH11" s="14">
        <f t="shared" si="5"/>
        <v>1873.9182261782939</v>
      </c>
      <c r="FI11" s="14">
        <f t="shared" si="5"/>
        <v>1966.3743201313528</v>
      </c>
      <c r="FJ11" s="14">
        <f t="shared" si="5"/>
        <v>2063.3920481993059</v>
      </c>
      <c r="FK11" s="14">
        <f t="shared" si="5"/>
        <v>2165.1964740302965</v>
      </c>
      <c r="FL11" s="14">
        <f t="shared" si="5"/>
        <v>2272.0237655487954</v>
      </c>
      <c r="FM11" s="14">
        <f t="shared" si="5"/>
        <v>2384.1217428226319</v>
      </c>
      <c r="FN11" s="14">
        <f t="shared" si="5"/>
        <v>2501.7504529608977</v>
      </c>
      <c r="FO11" s="14">
        <f t="shared" si="5"/>
        <v>2625.1827733763848</v>
      </c>
      <c r="FP11" s="5">
        <f>IRR(U11:FO11,0.1)</f>
        <v>9.3825407056548515E-2</v>
      </c>
    </row>
    <row r="12" spans="1:172">
      <c r="A12">
        <f>A11+1</f>
        <v>2</v>
      </c>
      <c r="B12" t="s">
        <v>24</v>
      </c>
      <c r="C12" t="s">
        <v>25</v>
      </c>
      <c r="D12" s="14">
        <f>'GAS GROUP INPUT P1'!H12</f>
        <v>1.42</v>
      </c>
      <c r="E12" s="14">
        <f>'GAS GROUP INPUT P1'!I12</f>
        <v>1.5</v>
      </c>
      <c r="F12" s="9">
        <f t="shared" ref="F12:F18" si="6">(E12-D12)/3</f>
        <v>2.6666666666666689E-2</v>
      </c>
      <c r="G12" s="14">
        <f>'OCS-2.7'!D12</f>
        <v>41.164999999999999</v>
      </c>
      <c r="H12" s="14">
        <f t="shared" ref="H12:H18" si="7">D12</f>
        <v>1.42</v>
      </c>
      <c r="I12" s="14">
        <f t="shared" ref="I12:I19" si="8">H12+F12</f>
        <v>1.4466666666666665</v>
      </c>
      <c r="J12" s="18">
        <f t="shared" ref="J12:J19" si="9">I12+F12</f>
        <v>1.4733333333333332</v>
      </c>
      <c r="K12" s="7">
        <f t="shared" ref="K12:K19" si="10">J12+F12</f>
        <v>1.4999999999999998</v>
      </c>
      <c r="L12" s="14">
        <f t="shared" ref="L12:L18" si="11">(1+M12)*K12</f>
        <v>1.5767284100121715</v>
      </c>
      <c r="M12" s="11">
        <f>'OCS-2.6'!Q12</f>
        <v>5.1152273341447799E-2</v>
      </c>
      <c r="N12" s="11">
        <f t="shared" ref="N12:N18" si="12">FP12</f>
        <v>8.2308690405272375E-2</v>
      </c>
      <c r="O12" s="11">
        <f t="shared" ref="O12" si="13">N12</f>
        <v>8.2308690405272375E-2</v>
      </c>
      <c r="T12" t="s">
        <v>24</v>
      </c>
      <c r="U12" s="14">
        <f t="shared" ref="U12:U18" si="14">-1*G12</f>
        <v>-41.164999999999999</v>
      </c>
      <c r="V12" s="14">
        <f t="shared" ref="V12:V18" si="15">H12</f>
        <v>1.42</v>
      </c>
      <c r="W12" s="14">
        <f t="shared" ref="W12:W18" si="16">I12</f>
        <v>1.4466666666666665</v>
      </c>
      <c r="X12" s="18">
        <f t="shared" ref="X12:X18" si="17">J12</f>
        <v>1.4733333333333332</v>
      </c>
      <c r="Y12" s="18">
        <f t="shared" ref="Y12:Y18" si="18">K12</f>
        <v>1.4999999999999998</v>
      </c>
      <c r="Z12" s="14">
        <f>(1+$M$12)*Y12</f>
        <v>1.5767284100121715</v>
      </c>
      <c r="AA12" s="14">
        <f t="shared" ref="AA12:CL12" si="19">(1+$M$12)*Z12</f>
        <v>1.6573816526263403</v>
      </c>
      <c r="AB12" s="14">
        <f t="shared" si="19"/>
        <v>1.7421604919525833</v>
      </c>
      <c r="AC12" s="14">
        <f t="shared" si="19"/>
        <v>1.831275961641613</v>
      </c>
      <c r="AD12" s="14">
        <f t="shared" si="19"/>
        <v>1.9249498901951274</v>
      </c>
      <c r="AE12" s="14">
        <f t="shared" si="19"/>
        <v>2.0234154531469786</v>
      </c>
      <c r="AF12" s="14">
        <f t="shared" si="19"/>
        <v>2.1269177534896624</v>
      </c>
      <c r="AG12" s="14">
        <f t="shared" si="19"/>
        <v>2.2357144317909436</v>
      </c>
      <c r="AH12" s="14">
        <f t="shared" si="19"/>
        <v>2.3500763075193336</v>
      </c>
      <c r="AI12" s="14">
        <f t="shared" si="19"/>
        <v>2.4702880531748228</v>
      </c>
      <c r="AJ12" s="14">
        <f t="shared" si="19"/>
        <v>2.5966489029029343</v>
      </c>
      <c r="AK12" s="14">
        <f t="shared" si="19"/>
        <v>2.7294733973559957</v>
      </c>
      <c r="AL12" s="14">
        <f t="shared" si="19"/>
        <v>2.8690921666557596</v>
      </c>
      <c r="AM12" s="14">
        <f t="shared" si="19"/>
        <v>3.0158527534063415</v>
      </c>
      <c r="AN12" s="14">
        <f t="shared" si="19"/>
        <v>3.1701204778061407</v>
      </c>
      <c r="AO12" s="14">
        <f t="shared" si="19"/>
        <v>3.3322793470122014</v>
      </c>
      <c r="AP12" s="14">
        <f t="shared" si="19"/>
        <v>3.5027330110206307</v>
      </c>
      <c r="AQ12" s="14">
        <f t="shared" si="19"/>
        <v>3.6819057674424704</v>
      </c>
      <c r="AR12" s="14">
        <f t="shared" si="19"/>
        <v>3.8702436176761408</v>
      </c>
      <c r="AS12" s="14">
        <f t="shared" si="19"/>
        <v>4.0682153771055045</v>
      </c>
      <c r="AT12" s="14">
        <f t="shared" si="19"/>
        <v>4.2763138420870863</v>
      </c>
      <c r="AU12" s="14">
        <f t="shared" si="19"/>
        <v>4.4950570166313417</v>
      </c>
      <c r="AV12" s="14">
        <f t="shared" si="19"/>
        <v>4.7249894018314613</v>
      </c>
      <c r="AW12" s="14">
        <f t="shared" si="19"/>
        <v>4.9666833512493884</v>
      </c>
      <c r="AX12" s="14">
        <f t="shared" si="19"/>
        <v>5.2207404956329153</v>
      </c>
      <c r="AY12" s="14">
        <f t="shared" si="19"/>
        <v>5.487793240510296</v>
      </c>
      <c r="AZ12" s="14">
        <f t="shared" si="19"/>
        <v>5.7685063403902284</v>
      </c>
      <c r="BA12" s="14">
        <f t="shared" si="19"/>
        <v>6.063578553485744</v>
      </c>
      <c r="BB12" s="14">
        <f t="shared" si="19"/>
        <v>6.3737443810809875</v>
      </c>
      <c r="BC12" s="14">
        <f t="shared" si="19"/>
        <v>6.6997758958705589</v>
      </c>
      <c r="BD12" s="14">
        <f t="shared" si="19"/>
        <v>7.0424846638225729</v>
      </c>
      <c r="BE12" s="14">
        <f t="shared" si="19"/>
        <v>7.4027237643493793</v>
      </c>
      <c r="BF12" s="14">
        <f t="shared" si="19"/>
        <v>7.7813899138146096</v>
      </c>
      <c r="BG12" s="14">
        <f t="shared" si="19"/>
        <v>8.17942569766244</v>
      </c>
      <c r="BH12" s="14">
        <f t="shared" si="19"/>
        <v>8.5978219167253318</v>
      </c>
      <c r="BI12" s="14">
        <f t="shared" si="19"/>
        <v>9.0376200535507571</v>
      </c>
      <c r="BJ12" s="14">
        <f t="shared" si="19"/>
        <v>9.4999148648861347</v>
      </c>
      <c r="BK12" s="14">
        <f t="shared" si="19"/>
        <v>9.9858571067752724</v>
      </c>
      <c r="BL12" s="14">
        <f t="shared" si="19"/>
        <v>10.49665639904968</v>
      </c>
      <c r="BM12" s="14">
        <f t="shared" si="19"/>
        <v>11.033584236345126</v>
      </c>
      <c r="BN12" s="14">
        <f t="shared" si="19"/>
        <v>11.597977153138542</v>
      </c>
      <c r="BO12" s="14">
        <f t="shared" si="19"/>
        <v>12.191240050683751</v>
      </c>
      <c r="BP12" s="14">
        <f t="shared" si="19"/>
        <v>12.814849694127531</v>
      </c>
      <c r="BQ12" s="14">
        <f t="shared" si="19"/>
        <v>13.47035838851111</v>
      </c>
      <c r="BR12" s="14">
        <f t="shared" si="19"/>
        <v>14.159397842807495</v>
      </c>
      <c r="BS12" s="14">
        <f t="shared" si="19"/>
        <v>14.883683231613091</v>
      </c>
      <c r="BT12" s="14">
        <f t="shared" si="19"/>
        <v>15.645017464604086</v>
      </c>
      <c r="BU12" s="14">
        <f t="shared" si="19"/>
        <v>16.445295674385239</v>
      </c>
      <c r="BV12" s="14">
        <f t="shared" si="19"/>
        <v>17.286509933902323</v>
      </c>
      <c r="BW12" s="14">
        <f t="shared" si="19"/>
        <v>18.170754215160947</v>
      </c>
      <c r="BX12" s="14">
        <f t="shared" si="19"/>
        <v>19.100229601595125</v>
      </c>
      <c r="BY12" s="14">
        <f t="shared" si="19"/>
        <v>20.07724976706033</v>
      </c>
      <c r="BZ12" s="14">
        <f t="shared" si="19"/>
        <v>21.104246735089518</v>
      </c>
      <c r="CA12" s="14">
        <f t="shared" si="19"/>
        <v>22.183776932748174</v>
      </c>
      <c r="CB12" s="14">
        <f t="shared" si="19"/>
        <v>23.318527554157811</v>
      </c>
      <c r="CC12" s="14">
        <f t="shared" si="19"/>
        <v>24.511323249528171</v>
      </c>
      <c r="CD12" s="14">
        <f t="shared" si="19"/>
        <v>25.765133156348622</v>
      </c>
      <c r="CE12" s="14">
        <f t="shared" si="19"/>
        <v>27.083078290240966</v>
      </c>
      <c r="CF12" s="14">
        <f t="shared" si="19"/>
        <v>28.468439313871201</v>
      </c>
      <c r="CG12" s="14">
        <f t="shared" si="19"/>
        <v>29.92466470325876</v>
      </c>
      <c r="CH12" s="14">
        <f t="shared" si="19"/>
        <v>31.455379331811027</v>
      </c>
      <c r="CI12" s="14">
        <f t="shared" si="19"/>
        <v>33.064393493450751</v>
      </c>
      <c r="CJ12" s="14">
        <f t="shared" si="19"/>
        <v>34.755712387296931</v>
      </c>
      <c r="CK12" s="14">
        <f t="shared" si="19"/>
        <v>36.533546087508689</v>
      </c>
      <c r="CL12" s="14">
        <f t="shared" si="19"/>
        <v>38.402320023109311</v>
      </c>
      <c r="CM12" s="14">
        <f t="shared" ref="CM12:EX12" si="20">(1+$M$12)*CL12</f>
        <v>40.366685993877155</v>
      </c>
      <c r="CN12" s="14">
        <f t="shared" si="20"/>
        <v>42.431533749724352</v>
      </c>
      <c r="CO12" s="14">
        <f t="shared" si="20"/>
        <v>44.60200316238712</v>
      </c>
      <c r="CP12" s="14">
        <f t="shared" si="20"/>
        <v>46.883497019725667</v>
      </c>
      <c r="CQ12" s="14">
        <f t="shared" si="20"/>
        <v>49.281694474481625</v>
      </c>
      <c r="CR12" s="14">
        <f t="shared" si="20"/>
        <v>51.802565180970028</v>
      </c>
      <c r="CS12" s="14">
        <f t="shared" si="20"/>
        <v>54.452384154895171</v>
      </c>
      <c r="CT12" s="14">
        <f t="shared" si="20"/>
        <v>57.237747393279889</v>
      </c>
      <c r="CU12" s="14">
        <f t="shared" si="20"/>
        <v>60.165588293389682</v>
      </c>
      <c r="CV12" s="14">
        <f t="shared" si="20"/>
        <v>63.24319491152216</v>
      </c>
      <c r="CW12" s="14">
        <f t="shared" si="20"/>
        <v>66.478228104622801</v>
      </c>
      <c r="CX12" s="14">
        <f t="shared" si="20"/>
        <v>69.878740599885589</v>
      </c>
      <c r="CY12" s="14">
        <f t="shared" si="20"/>
        <v>73.453197039807065</v>
      </c>
      <c r="CZ12" s="14">
        <f t="shared" si="20"/>
        <v>77.210495052590502</v>
      </c>
      <c r="DA12" s="14">
        <f t="shared" si="20"/>
        <v>81.15998740034911</v>
      </c>
      <c r="DB12" s="14">
        <f t="shared" si="20"/>
        <v>85.311505260240224</v>
      </c>
      <c r="DC12" s="14">
        <f t="shared" si="20"/>
        <v>89.675382696482387</v>
      </c>
      <c r="DD12" s="14">
        <f t="shared" si="20"/>
        <v>94.26248238417179</v>
      </c>
      <c r="DE12" s="14">
        <f t="shared" si="20"/>
        <v>99.08422264893035</v>
      </c>
      <c r="DF12" s="14">
        <f t="shared" si="20"/>
        <v>104.15260588969331</v>
      </c>
      <c r="DG12" s="14">
        <f t="shared" si="20"/>
        <v>109.48024845538698</v>
      </c>
      <c r="DH12" s="14">
        <f t="shared" si="20"/>
        <v>115.08041204986655</v>
      </c>
      <c r="DI12" s="14">
        <f t="shared" si="20"/>
        <v>120.96703674328776</v>
      </c>
      <c r="DJ12" s="14">
        <f t="shared" si="20"/>
        <v>127.15477567208538</v>
      </c>
      <c r="DK12" s="14">
        <f t="shared" si="20"/>
        <v>133.65903151393437</v>
      </c>
      <c r="DL12" s="14">
        <f t="shared" si="20"/>
        <v>140.49599482848831</v>
      </c>
      <c r="DM12" s="14">
        <f t="shared" si="20"/>
        <v>147.68268435933376</v>
      </c>
      <c r="DN12" s="14">
        <f t="shared" si="20"/>
        <v>155.23698939748115</v>
      </c>
      <c r="DO12" s="14">
        <f t="shared" si="20"/>
        <v>163.17771431184454</v>
      </c>
      <c r="DP12" s="14">
        <f t="shared" si="20"/>
        <v>171.52462535755669</v>
      </c>
      <c r="DQ12" s="14">
        <f t="shared" si="20"/>
        <v>180.29849987863585</v>
      </c>
      <c r="DR12" s="14">
        <f t="shared" si="20"/>
        <v>189.52117802748083</v>
      </c>
      <c r="DS12" s="14">
        <f t="shared" si="20"/>
        <v>199.21561712993571</v>
      </c>
      <c r="DT12" s="14">
        <f t="shared" si="20"/>
        <v>209.40594883125138</v>
      </c>
      <c r="DU12" s="14">
        <f t="shared" si="20"/>
        <v>220.11753916519277</v>
      </c>
      <c r="DV12" s="14">
        <f t="shared" si="20"/>
        <v>231.37705169581756</v>
      </c>
      <c r="DW12" s="14">
        <f t="shared" si="20"/>
        <v>243.21251388910031</v>
      </c>
      <c r="DX12" s="14">
        <f t="shared" si="20"/>
        <v>255.65338687961622</v>
      </c>
      <c r="DY12" s="14">
        <f t="shared" si="20"/>
        <v>268.73063880594924</v>
      </c>
      <c r="DZ12" s="14">
        <f t="shared" si="20"/>
        <v>282.47682189737304</v>
      </c>
      <c r="EA12" s="14">
        <f t="shared" si="20"/>
        <v>296.92615350369095</v>
      </c>
      <c r="EB12" s="14">
        <f t="shared" si="20"/>
        <v>312.11460126993643</v>
      </c>
      <c r="EC12" s="14">
        <f t="shared" si="20"/>
        <v>328.0799726679532</v>
      </c>
      <c r="ED12" s="14">
        <f t="shared" si="20"/>
        <v>344.86200910771908</v>
      </c>
      <c r="EE12" s="14">
        <f t="shared" si="20"/>
        <v>362.50248486267799</v>
      </c>
      <c r="EF12" s="14">
        <f t="shared" si="20"/>
        <v>381.04531105532772</v>
      </c>
      <c r="EG12" s="14">
        <f t="shared" si="20"/>
        <v>400.53664496190686</v>
      </c>
      <c r="EH12" s="14">
        <f t="shared" si="20"/>
        <v>421.02500490826475</v>
      </c>
      <c r="EI12" s="14">
        <f t="shared" si="20"/>
        <v>442.56139104291668</v>
      </c>
      <c r="EJ12" s="14">
        <f t="shared" si="20"/>
        <v>465.19941228791532</v>
      </c>
      <c r="EK12" s="14">
        <f t="shared" si="20"/>
        <v>488.99541978354762</v>
      </c>
      <c r="EL12" s="14">
        <f t="shared" si="20"/>
        <v>514.00864715903163</v>
      </c>
      <c r="EM12" s="14">
        <f t="shared" si="20"/>
        <v>540.30135797837818</v>
      </c>
      <c r="EN12" s="14">
        <f t="shared" si="20"/>
        <v>567.9390007284436</v>
      </c>
      <c r="EO12" s="14">
        <f t="shared" si="20"/>
        <v>596.99037173497368</v>
      </c>
      <c r="EP12" s="14">
        <f t="shared" si="20"/>
        <v>627.52778641217355</v>
      </c>
      <c r="EQ12" s="14">
        <f t="shared" si="20"/>
        <v>659.62725927208271</v>
      </c>
      <c r="ER12" s="14">
        <f t="shared" si="20"/>
        <v>693.36869314183832</v>
      </c>
      <c r="ES12" s="14">
        <f t="shared" si="20"/>
        <v>728.83607805983206</v>
      </c>
      <c r="ET12" s="14">
        <f t="shared" si="20"/>
        <v>766.11770034585732</v>
      </c>
      <c r="EU12" s="14">
        <f t="shared" si="20"/>
        <v>805.30636236567</v>
      </c>
      <c r="EV12" s="14">
        <f t="shared" si="20"/>
        <v>846.49961353700576</v>
      </c>
      <c r="EW12" s="14">
        <f t="shared" si="20"/>
        <v>889.79999315208056</v>
      </c>
      <c r="EX12" s="14">
        <f t="shared" si="20"/>
        <v>935.31528562101414</v>
      </c>
      <c r="EY12" s="14">
        <f t="shared" ref="EY12:FO12" si="21">(1+$M$12)*EX12</f>
        <v>983.15878877153455</v>
      </c>
      <c r="EZ12" s="14">
        <f t="shared" si="21"/>
        <v>1033.4495958728228</v>
      </c>
      <c r="FA12" s="14">
        <f t="shared" si="21"/>
        <v>1086.3128920855181</v>
      </c>
      <c r="FB12" s="14">
        <f t="shared" si="21"/>
        <v>1141.8802660758151</v>
      </c>
      <c r="FC12" s="14">
        <f t="shared" si="21"/>
        <v>1200.2900375693303</v>
      </c>
      <c r="FD12" s="14">
        <f t="shared" si="21"/>
        <v>1261.6876016600932</v>
      </c>
      <c r="FE12" s="14">
        <f t="shared" si="21"/>
        <v>1326.225790731726</v>
      </c>
      <c r="FF12" s="14">
        <f t="shared" si="21"/>
        <v>1394.065254891713</v>
      </c>
      <c r="FG12" s="14">
        <f t="shared" si="21"/>
        <v>1465.3748618657489</v>
      </c>
      <c r="FH12" s="14">
        <f t="shared" si="21"/>
        <v>1540.332117347592</v>
      </c>
      <c r="FI12" s="14">
        <f t="shared" si="21"/>
        <v>1619.1236068507669</v>
      </c>
      <c r="FJ12" s="14">
        <f t="shared" si="21"/>
        <v>1701.9454601619882</v>
      </c>
      <c r="FK12" s="14">
        <f t="shared" si="21"/>
        <v>1789.0038395524302</v>
      </c>
      <c r="FL12" s="14">
        <f t="shared" si="21"/>
        <v>1880.5154529621157</v>
      </c>
      <c r="FM12" s="14">
        <f t="shared" si="21"/>
        <v>1976.7080934348503</v>
      </c>
      <c r="FN12" s="14">
        <f t="shared" si="21"/>
        <v>2077.8212061464819</v>
      </c>
      <c r="FO12" s="14">
        <f t="shared" si="21"/>
        <v>2184.1064844379434</v>
      </c>
      <c r="FP12" s="5">
        <f t="shared" ref="FP12:FP18" si="22">IRR(U12:FO12,0.1)</f>
        <v>8.2308690405272375E-2</v>
      </c>
    </row>
    <row r="13" spans="1:172">
      <c r="A13" s="32">
        <f t="shared" ref="A13:A20" si="23">A12+1</f>
        <v>3</v>
      </c>
      <c r="B13" s="2" t="s">
        <v>26</v>
      </c>
      <c r="C13" s="2" t="s">
        <v>27</v>
      </c>
      <c r="D13" s="14">
        <f>'GAS GROUP INPUT P1'!H13</f>
        <v>1.64</v>
      </c>
      <c r="E13" s="14">
        <f>'GAS GROUP INPUT P1'!I13</f>
        <v>1.72</v>
      </c>
      <c r="F13" s="9">
        <f t="shared" si="6"/>
        <v>2.6666666666666689E-2</v>
      </c>
      <c r="G13" s="14">
        <f>'OCS-2.7'!D13</f>
        <v>43.118333333333339</v>
      </c>
      <c r="H13" s="14">
        <f t="shared" si="7"/>
        <v>1.64</v>
      </c>
      <c r="I13" s="14">
        <f t="shared" si="8"/>
        <v>1.6666666666666665</v>
      </c>
      <c r="J13" s="18">
        <f t="shared" si="9"/>
        <v>1.6933333333333331</v>
      </c>
      <c r="K13" s="7">
        <f t="shared" si="10"/>
        <v>1.7199999999999998</v>
      </c>
      <c r="L13" s="14">
        <f t="shared" si="11"/>
        <v>1.8216129708806414</v>
      </c>
      <c r="M13" s="11">
        <f>'OCS-2.6'!Q13</f>
        <v>5.9077308651535904E-2</v>
      </c>
      <c r="N13" s="11">
        <f t="shared" si="12"/>
        <v>9.2609350674234772E-2</v>
      </c>
      <c r="O13" s="11">
        <f>N13</f>
        <v>9.2609350674234772E-2</v>
      </c>
      <c r="T13" s="2" t="s">
        <v>26</v>
      </c>
      <c r="U13" s="14">
        <f t="shared" si="14"/>
        <v>-43.118333333333339</v>
      </c>
      <c r="V13" s="14">
        <f t="shared" si="15"/>
        <v>1.64</v>
      </c>
      <c r="W13" s="14">
        <f t="shared" si="16"/>
        <v>1.6666666666666665</v>
      </c>
      <c r="X13" s="18">
        <f t="shared" si="17"/>
        <v>1.6933333333333331</v>
      </c>
      <c r="Y13" s="18">
        <f t="shared" si="18"/>
        <v>1.7199999999999998</v>
      </c>
      <c r="Z13" s="14">
        <f>(1+$M$13)*Y13</f>
        <v>1.8216129708806414</v>
      </c>
      <c r="AA13" s="14">
        <f t="shared" ref="AA13:CL13" si="24">(1+$M$13)*Z13</f>
        <v>1.9292289626049985</v>
      </c>
      <c r="AB13" s="14">
        <f t="shared" si="24"/>
        <v>2.0432026174882965</v>
      </c>
      <c r="AC13" s="14">
        <f t="shared" si="24"/>
        <v>2.1639095291592785</v>
      </c>
      <c r="AD13" s="14">
        <f t="shared" si="24"/>
        <v>2.2917474803074209</v>
      </c>
      <c r="AE13" s="14">
        <f t="shared" si="24"/>
        <v>2.4271377535529224</v>
      </c>
      <c r="AF13" s="14">
        <f t="shared" si="24"/>
        <v>2.5705265197593641</v>
      </c>
      <c r="AG13" s="14">
        <f t="shared" si="24"/>
        <v>2.7223863083641464</v>
      </c>
      <c r="AH13" s="14">
        <f t="shared" si="24"/>
        <v>2.8832175645720906</v>
      </c>
      <c r="AI13" s="14">
        <f t="shared" si="24"/>
        <v>3.0535502985438456</v>
      </c>
      <c r="AJ13" s="14">
        <f t="shared" si="24"/>
        <v>3.2339458320139101</v>
      </c>
      <c r="AK13" s="14">
        <f t="shared" si="24"/>
        <v>3.4249986480941441</v>
      </c>
      <c r="AL13" s="14">
        <f t="shared" si="24"/>
        <v>3.6273383503586953</v>
      </c>
      <c r="AM13" s="14">
        <f t="shared" si="24"/>
        <v>3.8416317376663893</v>
      </c>
      <c r="AN13" s="14">
        <f t="shared" si="24"/>
        <v>4.0685850015580431</v>
      </c>
      <c r="AO13" s="14">
        <f t="shared" si="24"/>
        <v>4.3089460534700974</v>
      </c>
      <c r="AP13" s="14">
        <f t="shared" si="24"/>
        <v>4.5635069894337681</v>
      </c>
      <c r="AQ13" s="14">
        <f t="shared" si="24"/>
        <v>4.8331067003819888</v>
      </c>
      <c r="AR13" s="14">
        <f t="shared" si="24"/>
        <v>5.1186336366662619</v>
      </c>
      <c r="AS13" s="14">
        <f t="shared" si="24"/>
        <v>5.4210287358937288</v>
      </c>
      <c r="AT13" s="14">
        <f t="shared" si="24"/>
        <v>5.7412885237329681</v>
      </c>
      <c r="AU13" s="14">
        <f t="shared" si="24"/>
        <v>6.0804683979070617</v>
      </c>
      <c r="AV13" s="14">
        <f t="shared" si="24"/>
        <v>6.4396861061961275</v>
      </c>
      <c r="AW13" s="14">
        <f t="shared" si="24"/>
        <v>6.8201254299108838</v>
      </c>
      <c r="AX13" s="14">
        <f t="shared" si="24"/>
        <v>7.223040084975918</v>
      </c>
      <c r="AY13" s="14">
        <f t="shared" si="24"/>
        <v>7.6497578534784569</v>
      </c>
      <c r="AZ13" s="14">
        <f t="shared" si="24"/>
        <v>8.1016849592979145</v>
      </c>
      <c r="BA13" s="14">
        <f t="shared" si="24"/>
        <v>8.5803107022358631</v>
      </c>
      <c r="BB13" s="14">
        <f t="shared" si="24"/>
        <v>9.087212365917928</v>
      </c>
      <c r="BC13" s="14">
        <f t="shared" si="24"/>
        <v>9.6240604156413152</v>
      </c>
      <c r="BD13" s="14">
        <f t="shared" si="24"/>
        <v>10.192624003297187</v>
      </c>
      <c r="BE13" s="14">
        <f t="shared" si="24"/>
        <v>10.794776797509028</v>
      </c>
      <c r="BF13" s="14">
        <f t="shared" si="24"/>
        <v>11.432503158199907</v>
      </c>
      <c r="BG13" s="14">
        <f t="shared" si="24"/>
        <v>12.107904675936542</v>
      </c>
      <c r="BH13" s="14">
        <f t="shared" si="24"/>
        <v>12.823207097600219</v>
      </c>
      <c r="BI13" s="14">
        <f t="shared" si="24"/>
        <v>13.580767661207714</v>
      </c>
      <c r="BJ13" s="14">
        <f t="shared" si="24"/>
        <v>14.38308286405368</v>
      </c>
      <c r="BK13" s="14">
        <f t="shared" si="24"/>
        <v>15.232796689773997</v>
      </c>
      <c r="BL13" s="14">
        <f t="shared" si="24"/>
        <v>16.132709321441869</v>
      </c>
      <c r="BM13" s="14">
        <f t="shared" si="24"/>
        <v>17.085786369410201</v>
      </c>
      <c r="BN13" s="14">
        <f t="shared" si="24"/>
        <v>18.095168644310053</v>
      </c>
      <c r="BO13" s="14">
        <f t="shared" si="24"/>
        <v>19.164182507411553</v>
      </c>
      <c r="BP13" s="14">
        <f t="shared" si="24"/>
        <v>20.29635083245627</v>
      </c>
      <c r="BQ13" s="14">
        <f t="shared" si="24"/>
        <v>21.495404615085146</v>
      </c>
      <c r="BR13" s="14">
        <f t="shared" si="24"/>
        <v>22.76529526812018</v>
      </c>
      <c r="BS13" s="14">
        <f t="shared" si="24"/>
        <v>24.110207643218267</v>
      </c>
      <c r="BT13" s="14">
        <f t="shared" si="24"/>
        <v>25.534573821809293</v>
      </c>
      <c r="BU13" s="14">
        <f t="shared" si="24"/>
        <v>27.043087720765751</v>
      </c>
      <c r="BV13" s="14">
        <f t="shared" si="24"/>
        <v>28.640720560935989</v>
      </c>
      <c r="BW13" s="14">
        <f t="shared" si="24"/>
        <v>30.332737249516796</v>
      </c>
      <c r="BX13" s="14">
        <f t="shared" si="24"/>
        <v>32.124713730252438</v>
      </c>
      <c r="BY13" s="14">
        <f t="shared" si="24"/>
        <v>34.022555358636794</v>
      </c>
      <c r="BZ13" s="14">
        <f t="shared" si="24"/>
        <v>36.032516362672951</v>
      </c>
      <c r="CA13" s="14">
        <f t="shared" si="24"/>
        <v>38.161220453322102</v>
      </c>
      <c r="CB13" s="14">
        <f t="shared" si="24"/>
        <v>40.415682652562317</v>
      </c>
      <c r="CC13" s="14">
        <f t="shared" si="24"/>
        <v>42.803332410990265</v>
      </c>
      <c r="CD13" s="14">
        <f t="shared" si="24"/>
        <v>45.332038091148625</v>
      </c>
      <c r="CE13" s="14">
        <f t="shared" si="24"/>
        <v>48.010132897262594</v>
      </c>
      <c r="CF13" s="14">
        <f t="shared" si="24"/>
        <v>50.846442336835437</v>
      </c>
      <c r="CG13" s="14">
        <f t="shared" si="24"/>
        <v>53.850313304601187</v>
      </c>
      <c r="CH13" s="14">
        <f t="shared" si="24"/>
        <v>57.031644884679025</v>
      </c>
      <c r="CI13" s="14">
        <f t="shared" si="24"/>
        <v>60.400920972435998</v>
      </c>
      <c r="CJ13" s="14">
        <f t="shared" si="24"/>
        <v>63.969244823561631</v>
      </c>
      <c r="CK13" s="14">
        <f t="shared" si="24"/>
        <v>67.748375644208849</v>
      </c>
      <c r="CL13" s="14">
        <f t="shared" si="24"/>
        <v>71.75076734278197</v>
      </c>
      <c r="CM13" s="14">
        <f t="shared" ref="CM13:EX13" si="25">(1+$M$13)*CL13</f>
        <v>75.989609571076045</v>
      </c>
      <c r="CN13" s="14">
        <f t="shared" si="25"/>
        <v>80.478871190016207</v>
      </c>
      <c r="CO13" s="14">
        <f t="shared" si="25"/>
        <v>85.233346303236004</v>
      </c>
      <c r="CP13" s="14">
        <f t="shared" si="25"/>
        <v>90.268703010195523</v>
      </c>
      <c r="CQ13" s="14">
        <f t="shared" si="25"/>
        <v>95.601535039502679</v>
      </c>
      <c r="CR13" s="14">
        <f t="shared" si="25"/>
        <v>101.249416432592</v>
      </c>
      <c r="CS13" s="14">
        <f t="shared" si="25"/>
        <v>107.23095945796813</v>
      </c>
      <c r="CT13" s="14">
        <f t="shared" si="25"/>
        <v>113.56587594686684</v>
      </c>
      <c r="CU13" s="14">
        <f t="shared" si="25"/>
        <v>120.27504225246193</v>
      </c>
      <c r="CV13" s="14">
        <f t="shared" si="25"/>
        <v>127.38056804668715</v>
      </c>
      <c r="CW13" s="14">
        <f t="shared" si="25"/>
        <v>134.90586918138925</v>
      </c>
      <c r="CX13" s="14">
        <f t="shared" si="25"/>
        <v>142.8757448539219</v>
      </c>
      <c r="CY13" s="14">
        <f t="shared" si="25"/>
        <v>151.31645933147513</v>
      </c>
      <c r="CZ13" s="14">
        <f t="shared" si="25"/>
        <v>160.25582850345828</v>
      </c>
      <c r="DA13" s="14">
        <f t="shared" si="25"/>
        <v>169.72331154716468</v>
      </c>
      <c r="DB13" s="14">
        <f t="shared" si="25"/>
        <v>179.75010800879733</v>
      </c>
      <c r="DC13" s="14">
        <f t="shared" si="25"/>
        <v>190.36926061977996</v>
      </c>
      <c r="DD13" s="14">
        <f t="shared" si="25"/>
        <v>201.61576418717939</v>
      </c>
      <c r="DE13" s="14">
        <f t="shared" si="25"/>
        <v>213.52668091708068</v>
      </c>
      <c r="DF13" s="14">
        <f t="shared" si="25"/>
        <v>226.14126255095709</v>
      </c>
      <c r="DG13" s="14">
        <f t="shared" si="25"/>
        <v>239.501079717528</v>
      </c>
      <c r="DH13" s="14">
        <f t="shared" si="25"/>
        <v>253.65015892637652</v>
      </c>
      <c r="DI13" s="14">
        <f t="shared" si="25"/>
        <v>268.63512765478123</v>
      </c>
      <c r="DJ13" s="14">
        <f t="shared" si="25"/>
        <v>284.50536800588748</v>
      </c>
      <c r="DK13" s="14">
        <f t="shared" si="25"/>
        <v>301.31317944459011</v>
      </c>
      <c r="DL13" s="14">
        <f t="shared" si="25"/>
        <v>319.11395114741379</v>
      </c>
      <c r="DM13" s="14">
        <f t="shared" si="25"/>
        <v>337.9663445343607</v>
      </c>
      <c r="DN13" s="14">
        <f t="shared" si="25"/>
        <v>357.93248658424847</v>
      </c>
      <c r="DO13" s="14">
        <f t="shared" si="25"/>
        <v>379.07817457059787</v>
      </c>
      <c r="DP13" s="14">
        <f t="shared" si="25"/>
        <v>401.47309289276592</v>
      </c>
      <c r="DQ13" s="14">
        <f t="shared" si="25"/>
        <v>425.1910427168786</v>
      </c>
      <c r="DR13" s="14">
        <f t="shared" si="25"/>
        <v>450.31018518333201</v>
      </c>
      <c r="DS13" s="14">
        <f t="shared" si="25"/>
        <v>476.91329898233801</v>
      </c>
      <c r="DT13" s="14">
        <f t="shared" si="25"/>
        <v>505.0880531463398</v>
      </c>
      <c r="DU13" s="14">
        <f t="shared" si="25"/>
        <v>534.9272959582695</v>
      </c>
      <c r="DV13" s="14">
        <f t="shared" si="25"/>
        <v>566.52936092772768</v>
      </c>
      <c r="DW13" s="14">
        <f t="shared" si="25"/>
        <v>599.99839084341249</v>
      </c>
      <c r="DX13" s="14">
        <f t="shared" si="25"/>
        <v>635.44468096969365</v>
      </c>
      <c r="DY13" s="14">
        <f t="shared" si="25"/>
        <v>672.98504251831707</v>
      </c>
      <c r="DZ13" s="14">
        <f t="shared" si="25"/>
        <v>712.74318759303867</v>
      </c>
      <c r="EA13" s="14">
        <f t="shared" si="25"/>
        <v>754.85013687575224</v>
      </c>
      <c r="EB13" s="14">
        <f t="shared" si="25"/>
        <v>799.44465139761519</v>
      </c>
      <c r="EC13" s="14">
        <f t="shared" si="25"/>
        <v>846.67368981805168</v>
      </c>
      <c r="ED13" s="14">
        <f t="shared" si="25"/>
        <v>896.69289271856746</v>
      </c>
      <c r="EE13" s="14">
        <f t="shared" si="25"/>
        <v>949.66709550734083</v>
      </c>
      <c r="EF13" s="14">
        <f t="shared" si="25"/>
        <v>1005.7708716248356</v>
      </c>
      <c r="EG13" s="14">
        <f t="shared" si="25"/>
        <v>1065.1891078405404</v>
      </c>
      <c r="EH13" s="14">
        <f t="shared" si="25"/>
        <v>1128.1176135366902</v>
      </c>
      <c r="EI13" s="14">
        <f t="shared" si="25"/>
        <v>1194.7637659868315</v>
      </c>
      <c r="EJ13" s="14">
        <f t="shared" si="25"/>
        <v>1265.3471937557069</v>
      </c>
      <c r="EK13" s="14">
        <f t="shared" si="25"/>
        <v>1340.1005004725678</v>
      </c>
      <c r="EL13" s="14">
        <f t="shared" si="25"/>
        <v>1419.2700313630635</v>
      </c>
      <c r="EM13" s="14">
        <f t="shared" si="25"/>
        <v>1503.1166850657742</v>
      </c>
      <c r="EN13" s="14">
        <f t="shared" si="25"/>
        <v>1591.9167734086784</v>
      </c>
      <c r="EO13" s="14">
        <f t="shared" si="25"/>
        <v>1685.9629319789001</v>
      </c>
      <c r="EP13" s="14">
        <f t="shared" si="25"/>
        <v>1785.565084486466</v>
      </c>
      <c r="EQ13" s="14">
        <f t="shared" si="25"/>
        <v>1891.0514641000789</v>
      </c>
      <c r="ER13" s="14">
        <f t="shared" si="25"/>
        <v>2002.7696951206581</v>
      </c>
      <c r="ES13" s="14">
        <f t="shared" si="25"/>
        <v>2121.0879385572439</v>
      </c>
      <c r="ET13" s="14">
        <f t="shared" si="25"/>
        <v>2246.3961053804401</v>
      </c>
      <c r="EU13" s="14">
        <f t="shared" si="25"/>
        <v>2379.1071414516086</v>
      </c>
      <c r="EV13" s="14">
        <f t="shared" si="25"/>
        <v>2519.6583883622188</v>
      </c>
      <c r="EW13" s="14">
        <f t="shared" si="25"/>
        <v>2668.513024667925</v>
      </c>
      <c r="EX13" s="14">
        <f t="shared" si="25"/>
        <v>2826.1615922668757</v>
      </c>
      <c r="EY13" s="14">
        <f t="shared" ref="EY13:FO13" si="26">(1+$M$13)*EX13</f>
        <v>2993.1236129523422</v>
      </c>
      <c r="EZ13" s="14">
        <f t="shared" si="26"/>
        <v>3169.949300466928</v>
      </c>
      <c r="FA13" s="14">
        <f t="shared" si="26"/>
        <v>3357.2213737003331</v>
      </c>
      <c r="FB13" s="14">
        <f t="shared" si="26"/>
        <v>3555.556977005961</v>
      </c>
      <c r="FC13" s="14">
        <f t="shared" si="26"/>
        <v>3765.609713964664</v>
      </c>
      <c r="FD13" s="14">
        <f t="shared" si="26"/>
        <v>3988.0718012977763</v>
      </c>
      <c r="FE13" s="14">
        <f t="shared" si="26"/>
        <v>4223.676350027532</v>
      </c>
      <c r="FF13" s="14">
        <f t="shared" si="26"/>
        <v>4473.1997814023016</v>
      </c>
      <c r="FG13" s="14">
        <f t="shared" si="26"/>
        <v>4737.4643855481881</v>
      </c>
      <c r="FH13" s="14">
        <f t="shared" si="26"/>
        <v>5017.3410312788774</v>
      </c>
      <c r="FI13" s="14">
        <f t="shared" si="26"/>
        <v>5313.7520359937553</v>
      </c>
      <c r="FJ13" s="14">
        <f t="shared" si="26"/>
        <v>5627.6742051218862</v>
      </c>
      <c r="FK13" s="14">
        <f t="shared" si="26"/>
        <v>5960.1420511281594</v>
      </c>
      <c r="FL13" s="14">
        <f t="shared" si="26"/>
        <v>6312.2512026896566</v>
      </c>
      <c r="FM13" s="14">
        <f t="shared" si="26"/>
        <v>6685.1620152769819</v>
      </c>
      <c r="FN13" s="14">
        <f t="shared" si="26"/>
        <v>7080.1033950390238</v>
      </c>
      <c r="FO13" s="14">
        <f t="shared" si="26"/>
        <v>7498.376848592532</v>
      </c>
      <c r="FP13" s="5">
        <f t="shared" si="22"/>
        <v>9.2609350674234772E-2</v>
      </c>
    </row>
    <row r="14" spans="1:172">
      <c r="A14" s="32">
        <f t="shared" si="23"/>
        <v>4</v>
      </c>
      <c r="B14" s="2" t="s">
        <v>28</v>
      </c>
      <c r="C14" s="2" t="s">
        <v>29</v>
      </c>
      <c r="D14" s="14">
        <f>'GAS GROUP INPUT P1'!H14</f>
        <v>1.87</v>
      </c>
      <c r="E14" s="14">
        <f>'GAS GROUP INPUT P1'!I14</f>
        <v>2</v>
      </c>
      <c r="F14" s="9">
        <f t="shared" si="6"/>
        <v>4.33333333333333E-2</v>
      </c>
      <c r="G14" s="14">
        <f>'OCS-2.7'!D14</f>
        <v>41.186666666666667</v>
      </c>
      <c r="H14" s="14">
        <f t="shared" si="7"/>
        <v>1.87</v>
      </c>
      <c r="I14" s="14">
        <f t="shared" si="8"/>
        <v>1.9133333333333333</v>
      </c>
      <c r="J14" s="18">
        <f t="shared" si="9"/>
        <v>1.9566666666666666</v>
      </c>
      <c r="K14" s="7">
        <f t="shared" si="10"/>
        <v>1.9999999999999998</v>
      </c>
      <c r="L14" s="14">
        <f t="shared" si="11"/>
        <v>2.0889180483603886</v>
      </c>
      <c r="M14" s="11">
        <f>'OCS-2.6'!Q14</f>
        <v>4.4459024180194429E-2</v>
      </c>
      <c r="N14" s="11">
        <f t="shared" si="12"/>
        <v>8.7186836323892764E-2</v>
      </c>
      <c r="O14" s="11">
        <f t="shared" ref="O14" si="27">N14</f>
        <v>8.7186836323892764E-2</v>
      </c>
      <c r="T14" s="2" t="s">
        <v>28</v>
      </c>
      <c r="U14" s="14">
        <f t="shared" si="14"/>
        <v>-41.186666666666667</v>
      </c>
      <c r="V14" s="14">
        <f t="shared" si="15"/>
        <v>1.87</v>
      </c>
      <c r="W14" s="14">
        <f t="shared" si="16"/>
        <v>1.9133333333333333</v>
      </c>
      <c r="X14" s="18">
        <f t="shared" si="17"/>
        <v>1.9566666666666666</v>
      </c>
      <c r="Y14" s="18">
        <f t="shared" si="18"/>
        <v>1.9999999999999998</v>
      </c>
      <c r="Z14" s="14">
        <f>(1+$M$14)*Y14</f>
        <v>2.0889180483603886</v>
      </c>
      <c r="AA14" s="14">
        <f t="shared" ref="AA14:CL14" si="28">(1+$M$14)*Z14</f>
        <v>2.1817893063828881</v>
      </c>
      <c r="AB14" s="14">
        <f t="shared" si="28"/>
        <v>2.2787895299114549</v>
      </c>
      <c r="AC14" s="14">
        <f t="shared" si="28"/>
        <v>2.3801022887233625</v>
      </c>
      <c r="AD14" s="14">
        <f t="shared" si="28"/>
        <v>2.4859193139290507</v>
      </c>
      <c r="AE14" s="14">
        <f t="shared" si="28"/>
        <v>2.5964408608170348</v>
      </c>
      <c r="AF14" s="14">
        <f t="shared" si="28"/>
        <v>2.7118760878305443</v>
      </c>
      <c r="AG14" s="14">
        <f t="shared" si="28"/>
        <v>2.8324434523930937</v>
      </c>
      <c r="AH14" s="14">
        <f t="shared" si="28"/>
        <v>2.9583711243320718</v>
      </c>
      <c r="AI14" s="14">
        <f t="shared" si="28"/>
        <v>3.0898974176827405</v>
      </c>
      <c r="AJ14" s="14">
        <f t="shared" si="28"/>
        <v>3.2272712416898179</v>
      </c>
      <c r="AK14" s="14">
        <f t="shared" si="28"/>
        <v>3.3707525718601521</v>
      </c>
      <c r="AL14" s="14">
        <f t="shared" si="28"/>
        <v>3.5206129419579355</v>
      </c>
      <c r="AM14" s="14">
        <f t="shared" si="28"/>
        <v>3.6771359578735492</v>
      </c>
      <c r="AN14" s="14">
        <f t="shared" si="28"/>
        <v>3.840617834338512</v>
      </c>
      <c r="AO14" s="14">
        <f t="shared" si="28"/>
        <v>4.0113679555022541</v>
      </c>
      <c r="AP14" s="14">
        <f t="shared" si="28"/>
        <v>4.1897094604315868</v>
      </c>
      <c r="AQ14" s="14">
        <f t="shared" si="28"/>
        <v>4.3759798546409048</v>
      </c>
      <c r="AR14" s="14">
        <f t="shared" si="28"/>
        <v>4.5705316488104293</v>
      </c>
      <c r="AS14" s="14">
        <f t="shared" si="28"/>
        <v>4.7737330259012367</v>
      </c>
      <c r="AT14" s="14">
        <f t="shared" si="28"/>
        <v>4.9859685379295726</v>
      </c>
      <c r="AU14" s="14">
        <f t="shared" si="28"/>
        <v>5.2076398337190728</v>
      </c>
      <c r="AV14" s="14">
        <f t="shared" si="28"/>
        <v>5.4391664190081332</v>
      </c>
      <c r="AW14" s="14">
        <f t="shared" si="28"/>
        <v>5.6809864503509182</v>
      </c>
      <c r="AX14" s="14">
        <f t="shared" si="28"/>
        <v>5.9335575643144276</v>
      </c>
      <c r="AY14" s="14">
        <f t="shared" si="28"/>
        <v>6.1973577435408593</v>
      </c>
      <c r="AZ14" s="14">
        <f t="shared" si="28"/>
        <v>6.4728862213142584</v>
      </c>
      <c r="BA14" s="14">
        <f t="shared" si="28"/>
        <v>6.7606644263433173</v>
      </c>
      <c r="BB14" s="14">
        <f t="shared" si="28"/>
        <v>7.0612369695482959</v>
      </c>
      <c r="BC14" s="14">
        <f t="shared" si="28"/>
        <v>7.3751726747195274</v>
      </c>
      <c r="BD14" s="14">
        <f t="shared" si="28"/>
        <v>7.7030656549979932</v>
      </c>
      <c r="BE14" s="14">
        <f t="shared" si="28"/>
        <v>8.0455364372151745</v>
      </c>
      <c r="BF14" s="14">
        <f t="shared" si="28"/>
        <v>8.4032331362199599</v>
      </c>
      <c r="BG14" s="14">
        <f t="shared" si="28"/>
        <v>8.7768326814149749</v>
      </c>
      <c r="BH14" s="14">
        <f t="shared" si="28"/>
        <v>9.1670420978235256</v>
      </c>
      <c r="BI14" s="14">
        <f t="shared" si="28"/>
        <v>9.574599844111523</v>
      </c>
      <c r="BJ14" s="14">
        <f t="shared" si="28"/>
        <v>10.000277210096565</v>
      </c>
      <c r="BK14" s="14">
        <f t="shared" si="28"/>
        <v>10.444879776388897</v>
      </c>
      <c r="BL14" s="14">
        <f t="shared" si="28"/>
        <v>10.909248938926595</v>
      </c>
      <c r="BM14" s="14">
        <f t="shared" si="28"/>
        <v>11.394263501290094</v>
      </c>
      <c r="BN14" s="14">
        <f t="shared" si="28"/>
        <v>11.900841337809458</v>
      </c>
      <c r="BO14" s="14">
        <f t="shared" si="28"/>
        <v>12.429941130611788</v>
      </c>
      <c r="BP14" s="14">
        <f t="shared" si="28"/>
        <v>12.982564183896052</v>
      </c>
      <c r="BQ14" s="14">
        <f t="shared" si="28"/>
        <v>13.559756318868814</v>
      </c>
      <c r="BR14" s="14">
        <f t="shared" si="28"/>
        <v>14.162609852926948</v>
      </c>
      <c r="BS14" s="14">
        <f t="shared" si="28"/>
        <v>14.79226566683289</v>
      </c>
      <c r="BT14" s="14">
        <f t="shared" si="28"/>
        <v>15.449915363794474</v>
      </c>
      <c r="BU14" s="14">
        <f t="shared" si="28"/>
        <v>16.136803524535374</v>
      </c>
      <c r="BV14" s="14">
        <f t="shared" si="28"/>
        <v>16.854230062623742</v>
      </c>
      <c r="BW14" s="14">
        <f t="shared" si="28"/>
        <v>17.603552684516494</v>
      </c>
      <c r="BX14" s="14">
        <f t="shared" si="28"/>
        <v>18.386189458974741</v>
      </c>
      <c r="BY14" s="14">
        <f t="shared" si="28"/>
        <v>19.203621500712938</v>
      </c>
      <c r="BZ14" s="14">
        <f t="shared" si="28"/>
        <v>20.057395773360437</v>
      </c>
      <c r="CA14" s="14">
        <f t="shared" si="28"/>
        <v>20.94912801704</v>
      </c>
      <c r="CB14" s="14">
        <f t="shared" si="28"/>
        <v>21.880505806103571</v>
      </c>
      <c r="CC14" s="14">
        <f t="shared" si="28"/>
        <v>22.853291742812015</v>
      </c>
      <c r="CD14" s="14">
        <f t="shared" si="28"/>
        <v>23.869326793002735</v>
      </c>
      <c r="CE14" s="14">
        <f t="shared" si="28"/>
        <v>24.93053377005781</v>
      </c>
      <c r="CF14" s="14">
        <f t="shared" si="28"/>
        <v>26.038920973765968</v>
      </c>
      <c r="CG14" s="14">
        <f t="shared" si="28"/>
        <v>27.196585990964806</v>
      </c>
      <c r="CH14" s="14">
        <f t="shared" si="28"/>
        <v>28.40571966515585</v>
      </c>
      <c r="CI14" s="14">
        <f t="shared" si="28"/>
        <v>29.668610242604842</v>
      </c>
      <c r="CJ14" s="14">
        <f t="shared" si="28"/>
        <v>30.987647702773579</v>
      </c>
      <c r="CK14" s="14">
        <f t="shared" si="28"/>
        <v>32.365328281278536</v>
      </c>
      <c r="CL14" s="14">
        <f t="shared" si="28"/>
        <v>33.804259193935835</v>
      </c>
      <c r="CM14" s="14">
        <f t="shared" ref="CM14:EX14" si="29">(1+$M$14)*CL14</f>
        <v>35.307163570832593</v>
      </c>
      <c r="CN14" s="14">
        <f t="shared" si="29"/>
        <v>36.876885609762326</v>
      </c>
      <c r="CO14" s="14">
        <f t="shared" si="29"/>
        <v>38.516395958777018</v>
      </c>
      <c r="CP14" s="14">
        <f t="shared" si="29"/>
        <v>40.228797338042234</v>
      </c>
      <c r="CQ14" s="14">
        <f t="shared" si="29"/>
        <v>42.017330411634397</v>
      </c>
      <c r="CR14" s="14">
        <f t="shared" si="29"/>
        <v>43.885379920392474</v>
      </c>
      <c r="CS14" s="14">
        <f t="shared" si="29"/>
        <v>45.836481087430229</v>
      </c>
      <c r="CT14" s="14">
        <f t="shared" si="29"/>
        <v>47.874326308431321</v>
      </c>
      <c r="CU14" s="14">
        <f t="shared" si="29"/>
        <v>50.002772139388391</v>
      </c>
      <c r="CV14" s="14">
        <f t="shared" si="29"/>
        <v>52.225846595010218</v>
      </c>
      <c r="CW14" s="14">
        <f t="shared" si="29"/>
        <v>54.54775677160891</v>
      </c>
      <c r="CX14" s="14">
        <f t="shared" si="29"/>
        <v>56.972896808893239</v>
      </c>
      <c r="CY14" s="14">
        <f t="shared" si="29"/>
        <v>59.505856205735554</v>
      </c>
      <c r="CZ14" s="14">
        <f t="shared" si="29"/>
        <v>62.151428505649534</v>
      </c>
      <c r="DA14" s="14">
        <f t="shared" si="29"/>
        <v>64.914620368415839</v>
      </c>
      <c r="DB14" s="14">
        <f t="shared" si="29"/>
        <v>67.800661045023389</v>
      </c>
      <c r="DC14" s="14">
        <f t="shared" si="29"/>
        <v>70.815012273857263</v>
      </c>
      <c r="DD14" s="14">
        <f t="shared" si="29"/>
        <v>73.963378616861462</v>
      </c>
      <c r="DE14" s="14">
        <f t="shared" si="29"/>
        <v>77.251718255237392</v>
      </c>
      <c r="DF14" s="14">
        <f t="shared" si="29"/>
        <v>80.686254265108573</v>
      </c>
      <c r="DG14" s="14">
        <f t="shared" si="29"/>
        <v>84.273486394490362</v>
      </c>
      <c r="DH14" s="14">
        <f t="shared" si="29"/>
        <v>88.020203363852303</v>
      </c>
      <c r="DI14" s="14">
        <f t="shared" si="29"/>
        <v>91.933495713551451</v>
      </c>
      <c r="DJ14" s="14">
        <f t="shared" si="29"/>
        <v>96.020769222450042</v>
      </c>
      <c r="DK14" s="14">
        <f t="shared" si="29"/>
        <v>100.28975892311183</v>
      </c>
      <c r="DL14" s="14">
        <f t="shared" si="29"/>
        <v>104.74854374010035</v>
      </c>
      <c r="DM14" s="14">
        <f t="shared" si="29"/>
        <v>109.40556177908164</v>
      </c>
      <c r="DN14" s="14">
        <f t="shared" si="29"/>
        <v>114.26962629566559</v>
      </c>
      <c r="DO14" s="14">
        <f t="shared" si="29"/>
        <v>119.34994237420638</v>
      </c>
      <c r="DP14" s="14">
        <f t="shared" si="29"/>
        <v>124.65612434812604</v>
      </c>
      <c r="DQ14" s="14">
        <f t="shared" si="29"/>
        <v>130.19821399472872</v>
      </c>
      <c r="DR14" s="14">
        <f t="shared" si="29"/>
        <v>135.9866995389385</v>
      </c>
      <c r="DS14" s="14">
        <f t="shared" si="29"/>
        <v>142.03253550192503</v>
      </c>
      <c r="DT14" s="14">
        <f t="shared" si="29"/>
        <v>148.34716343217946</v>
      </c>
      <c r="DU14" s="14">
        <f t="shared" si="29"/>
        <v>154.94253355827399</v>
      </c>
      <c r="DV14" s="14">
        <f t="shared" si="29"/>
        <v>161.83112740428189</v>
      </c>
      <c r="DW14" s="14">
        <f t="shared" si="29"/>
        <v>169.02598141065701</v>
      </c>
      <c r="DX14" s="14">
        <f t="shared" si="29"/>
        <v>176.54071160527451</v>
      </c>
      <c r="DY14" s="14">
        <f t="shared" si="29"/>
        <v>184.38953937132217</v>
      </c>
      <c r="DZ14" s="14">
        <f t="shared" si="29"/>
        <v>192.58731836080671</v>
      </c>
      <c r="EA14" s="14">
        <f t="shared" si="29"/>
        <v>201.14956260460863</v>
      </c>
      <c r="EB14" s="14">
        <f t="shared" si="29"/>
        <v>210.09247587228248</v>
      </c>
      <c r="EC14" s="14">
        <f t="shared" si="29"/>
        <v>219.43298233716521</v>
      </c>
      <c r="ED14" s="14">
        <f t="shared" si="29"/>
        <v>229.18875860482544</v>
      </c>
      <c r="EE14" s="14">
        <f t="shared" si="29"/>
        <v>239.37826716546613</v>
      </c>
      <c r="EF14" s="14">
        <f t="shared" si="29"/>
        <v>250.02079133358865</v>
      </c>
      <c r="EG14" s="14">
        <f t="shared" si="29"/>
        <v>261.13647174104005</v>
      </c>
      <c r="EH14" s="14">
        <f t="shared" si="29"/>
        <v>272.74634445250564</v>
      </c>
      <c r="EI14" s="14">
        <f t="shared" si="29"/>
        <v>284.87238077557924</v>
      </c>
      <c r="EJ14" s="14">
        <f t="shared" si="29"/>
        <v>297.53752884075033</v>
      </c>
      <c r="EK14" s="14">
        <f t="shared" si="29"/>
        <v>310.76575702999656</v>
      </c>
      <c r="EL14" s="14">
        <f t="shared" si="29"/>
        <v>324.58209933616962</v>
      </c>
      <c r="EM14" s="14">
        <f t="shared" si="29"/>
        <v>339.01270273901468</v>
      </c>
      <c r="EN14" s="14">
        <f t="shared" si="29"/>
        <v>354.08487668748165</v>
      </c>
      <c r="EO14" s="14">
        <f t="shared" si="29"/>
        <v>369.82714478197158</v>
      </c>
      <c r="EP14" s="14">
        <f t="shared" si="29"/>
        <v>386.26929875432558</v>
      </c>
      <c r="EQ14" s="14">
        <f t="shared" si="29"/>
        <v>403.44245484771091</v>
      </c>
      <c r="ER14" s="14">
        <f t="shared" si="29"/>
        <v>421.37911270310235</v>
      </c>
      <c r="ES14" s="14">
        <f t="shared" si="29"/>
        <v>440.11321686379847</v>
      </c>
      <c r="ET14" s="14">
        <f t="shared" si="29"/>
        <v>459.68022101436929</v>
      </c>
      <c r="EU14" s="14">
        <f t="shared" si="29"/>
        <v>480.11715507560433</v>
      </c>
      <c r="EV14" s="14">
        <f t="shared" si="29"/>
        <v>501.46269528243681</v>
      </c>
      <c r="EW14" s="14">
        <f t="shared" si="29"/>
        <v>523.75723737746421</v>
      </c>
      <c r="EX14" s="14">
        <f t="shared" si="29"/>
        <v>547.04297305858074</v>
      </c>
      <c r="EY14" s="14">
        <f t="shared" ref="EY14:FO14" si="30">(1+$M$14)*EX14</f>
        <v>571.3639698253977</v>
      </c>
      <c r="EZ14" s="14">
        <f t="shared" si="30"/>
        <v>596.76625437555697</v>
      </c>
      <c r="FA14" s="14">
        <f t="shared" si="30"/>
        <v>623.29789970876402</v>
      </c>
      <c r="FB14" s="14">
        <f t="shared" si="30"/>
        <v>651.00911610338039</v>
      </c>
      <c r="FC14" s="14">
        <f t="shared" si="30"/>
        <v>679.95234613774767</v>
      </c>
      <c r="FD14" s="14">
        <f t="shared" si="30"/>
        <v>710.18236393606583</v>
      </c>
      <c r="FE14" s="14">
        <f t="shared" si="30"/>
        <v>741.75637882664705</v>
      </c>
      <c r="FF14" s="14">
        <f t="shared" si="30"/>
        <v>774.73414360871448</v>
      </c>
      <c r="FG14" s="14">
        <f t="shared" si="30"/>
        <v>809.17806763263661</v>
      </c>
      <c r="FH14" s="14">
        <f t="shared" si="30"/>
        <v>845.15333490759906</v>
      </c>
      <c r="FI14" s="14">
        <f t="shared" si="30"/>
        <v>882.72802746022808</v>
      </c>
      <c r="FJ14" s="14">
        <f t="shared" si="30"/>
        <v>921.97325417761783</v>
      </c>
      <c r="FK14" s="14">
        <f t="shared" si="30"/>
        <v>962.96328537859324</v>
      </c>
      <c r="FL14" s="14">
        <f t="shared" si="30"/>
        <v>1005.7756933678797</v>
      </c>
      <c r="FM14" s="14">
        <f t="shared" si="30"/>
        <v>1050.4914992391743</v>
      </c>
      <c r="FN14" s="14">
        <f t="shared" si="30"/>
        <v>1097.1953262049376</v>
      </c>
      <c r="FO14" s="14">
        <f t="shared" si="30"/>
        <v>1145.9755597430794</v>
      </c>
      <c r="FP14" s="5">
        <f t="shared" si="22"/>
        <v>8.7186836323892764E-2</v>
      </c>
    </row>
    <row r="15" spans="1:172">
      <c r="A15" s="32">
        <f t="shared" si="23"/>
        <v>5</v>
      </c>
      <c r="B15" s="2" t="s">
        <v>30</v>
      </c>
      <c r="C15" s="2" t="s">
        <v>31</v>
      </c>
      <c r="D15" s="14">
        <f>'GAS GROUP INPUT P1'!H15</f>
        <v>1.27</v>
      </c>
      <c r="E15" s="14">
        <f>'GAS GROUP INPUT P1'!I15</f>
        <v>1.39</v>
      </c>
      <c r="F15" s="9">
        <f t="shared" si="6"/>
        <v>3.9999999999999959E-2</v>
      </c>
      <c r="G15" s="14">
        <f>'OCS-2.7'!D15</f>
        <v>32.348333333333336</v>
      </c>
      <c r="H15" s="14">
        <f t="shared" si="7"/>
        <v>1.27</v>
      </c>
      <c r="I15" s="14">
        <f t="shared" si="8"/>
        <v>1.31</v>
      </c>
      <c r="J15" s="18">
        <f t="shared" si="9"/>
        <v>1.35</v>
      </c>
      <c r="K15" s="7">
        <f t="shared" si="10"/>
        <v>1.3900000000000001</v>
      </c>
      <c r="L15" s="14">
        <f t="shared" si="11"/>
        <v>1.4555868063151316</v>
      </c>
      <c r="M15" s="11">
        <f>'OCS-2.6'!Q15</f>
        <v>4.7184752744699E-2</v>
      </c>
      <c r="N15" s="11">
        <f t="shared" si="12"/>
        <v>8.4534342845496324E-2</v>
      </c>
      <c r="O15" s="11">
        <f>N15</f>
        <v>8.4534342845496324E-2</v>
      </c>
      <c r="T15" s="2" t="s">
        <v>30</v>
      </c>
      <c r="U15" s="14">
        <f t="shared" si="14"/>
        <v>-32.348333333333336</v>
      </c>
      <c r="V15" s="14">
        <f t="shared" si="15"/>
        <v>1.27</v>
      </c>
      <c r="W15" s="14">
        <f t="shared" si="16"/>
        <v>1.31</v>
      </c>
      <c r="X15" s="18">
        <f t="shared" si="17"/>
        <v>1.35</v>
      </c>
      <c r="Y15" s="18">
        <f t="shared" si="18"/>
        <v>1.3900000000000001</v>
      </c>
      <c r="Z15" s="14">
        <f>(1+$M$15)*Y15</f>
        <v>1.4555868063151316</v>
      </c>
      <c r="AA15" s="14">
        <f t="shared" ref="AA15:CL15" si="31">(1+$M$15)*Z15</f>
        <v>1.5242683098695571</v>
      </c>
      <c r="AB15" s="14">
        <f t="shared" si="31"/>
        <v>1.5961905331873323</v>
      </c>
      <c r="AC15" s="14">
        <f t="shared" si="31"/>
        <v>1.6715063888292057</v>
      </c>
      <c r="AD15" s="14">
        <f t="shared" si="31"/>
        <v>1.7503760044972962</v>
      </c>
      <c r="AE15" s="14">
        <f t="shared" si="31"/>
        <v>1.8329670634797552</v>
      </c>
      <c r="AF15" s="14">
        <f t="shared" si="31"/>
        <v>1.9194551611592243</v>
      </c>
      <c r="AG15" s="14">
        <f t="shared" si="31"/>
        <v>2.0100241783430586</v>
      </c>
      <c r="AH15" s="14">
        <f t="shared" si="31"/>
        <v>2.1048666722090426</v>
      </c>
      <c r="AI15" s="14">
        <f t="shared" si="31"/>
        <v>2.2041842856977834</v>
      </c>
      <c r="AJ15" s="14">
        <f t="shared" si="31"/>
        <v>2.3081881762221839</v>
      </c>
      <c r="AK15" s="14">
        <f t="shared" si="31"/>
        <v>2.4170994646054651</v>
      </c>
      <c r="AL15" s="14">
        <f t="shared" si="31"/>
        <v>2.531149705202218</v>
      </c>
      <c r="AM15" s="14">
        <f t="shared" si="31"/>
        <v>2.6505813782020025</v>
      </c>
      <c r="AN15" s="14">
        <f t="shared" si="31"/>
        <v>2.7756484051621673</v>
      </c>
      <c r="AO15" s="14">
        <f t="shared" si="31"/>
        <v>2.9066166888659621</v>
      </c>
      <c r="AP15" s="14">
        <f t="shared" si="31"/>
        <v>3.043764678653718</v>
      </c>
      <c r="AQ15" s="14">
        <f t="shared" si="31"/>
        <v>3.1873839624290414</v>
      </c>
      <c r="AR15" s="14">
        <f t="shared" si="31"/>
        <v>3.3377798865986743</v>
      </c>
      <c r="AS15" s="14">
        <f t="shared" si="31"/>
        <v>3.4952722052640621</v>
      </c>
      <c r="AT15" s="14">
        <f t="shared" si="31"/>
        <v>3.6601957600448656</v>
      </c>
      <c r="AU15" s="14">
        <f t="shared" si="31"/>
        <v>3.832901191979778</v>
      </c>
      <c r="AV15" s="14">
        <f t="shared" si="31"/>
        <v>4.0137556870182056</v>
      </c>
      <c r="AW15" s="14">
        <f t="shared" si="31"/>
        <v>4.2031437566877887</v>
      </c>
      <c r="AX15" s="14">
        <f t="shared" si="31"/>
        <v>4.401468055597527</v>
      </c>
      <c r="AY15" s="14">
        <f t="shared" si="31"/>
        <v>4.6091502375145872</v>
      </c>
      <c r="AZ15" s="14">
        <f t="shared" si="31"/>
        <v>4.8266318518348834</v>
      </c>
      <c r="BA15" s="14">
        <f t="shared" si="31"/>
        <v>5.0543752823534005</v>
      </c>
      <c r="BB15" s="14">
        <f t="shared" si="31"/>
        <v>5.2928647303301632</v>
      </c>
      <c r="BC15" s="14">
        <f t="shared" si="31"/>
        <v>5.5426072439419292</v>
      </c>
      <c r="BD15" s="14">
        <f t="shared" si="31"/>
        <v>5.8041337963083057</v>
      </c>
      <c r="BE15" s="14">
        <f t="shared" si="31"/>
        <v>6.0780004143842641</v>
      </c>
      <c r="BF15" s="14">
        <f t="shared" si="31"/>
        <v>6.364789361119163</v>
      </c>
      <c r="BG15" s="14">
        <f t="shared" si="31"/>
        <v>6.6651103733956605</v>
      </c>
      <c r="BH15" s="14">
        <f t="shared" si="31"/>
        <v>6.9796019583804627</v>
      </c>
      <c r="BI15" s="14">
        <f t="shared" si="31"/>
        <v>7.3089327510430611</v>
      </c>
      <c r="BJ15" s="14">
        <f t="shared" si="31"/>
        <v>7.6538029357286597</v>
      </c>
      <c r="BK15" s="14">
        <f t="shared" si="31"/>
        <v>8.0149457348076663</v>
      </c>
      <c r="BL15" s="14">
        <f t="shared" si="31"/>
        <v>8.3931289675667458</v>
      </c>
      <c r="BM15" s="14">
        <f t="shared" si="31"/>
        <v>8.7891566826557526</v>
      </c>
      <c r="BN15" s="14">
        <f t="shared" si="31"/>
        <v>9.2038708675612817</v>
      </c>
      <c r="BO15" s="14">
        <f t="shared" si="31"/>
        <v>9.6381532387412978</v>
      </c>
      <c r="BP15" s="14">
        <f t="shared" si="31"/>
        <v>10.092927116226825</v>
      </c>
      <c r="BQ15" s="14">
        <f t="shared" si="31"/>
        <v>10.569159386676255</v>
      </c>
      <c r="BR15" s="14">
        <f t="shared" si="31"/>
        <v>11.067862559055888</v>
      </c>
      <c r="BS15" s="14">
        <f t="shared" si="31"/>
        <v>11.590096917317251</v>
      </c>
      <c r="BT15" s="14">
        <f t="shared" si="31"/>
        <v>12.136972774647962</v>
      </c>
      <c r="BU15" s="14">
        <f t="shared" si="31"/>
        <v>12.709652834088867</v>
      </c>
      <c r="BV15" s="14">
        <f t="shared" si="31"/>
        <v>13.309354660536313</v>
      </c>
      <c r="BW15" s="14">
        <f t="shared" si="31"/>
        <v>13.937353269385225</v>
      </c>
      <c r="BX15" s="14">
        <f t="shared" si="31"/>
        <v>14.594983837316688</v>
      </c>
      <c r="BY15" s="14">
        <f t="shared" si="31"/>
        <v>15.283644540993352</v>
      </c>
      <c r="BZ15" s="14">
        <f t="shared" si="31"/>
        <v>16.004799529697991</v>
      </c>
      <c r="CA15" s="14">
        <f t="shared" si="31"/>
        <v>16.759982038235265</v>
      </c>
      <c r="CB15" s="14">
        <f t="shared" si="31"/>
        <v>17.55079764671499</v>
      </c>
      <c r="CC15" s="14">
        <f t="shared" si="31"/>
        <v>18.378927694147482</v>
      </c>
      <c r="CD15" s="14">
        <f t="shared" si="31"/>
        <v>19.246132853108531</v>
      </c>
      <c r="CE15" s="14">
        <f t="shared" si="31"/>
        <v>20.154256873074083</v>
      </c>
      <c r="CF15" s="14">
        <f t="shared" si="31"/>
        <v>21.105230500383232</v>
      </c>
      <c r="CG15" s="14">
        <f t="shared" si="31"/>
        <v>22.101075583163695</v>
      </c>
      <c r="CH15" s="14">
        <f t="shared" si="31"/>
        <v>23.143909369947178</v>
      </c>
      <c r="CI15" s="14">
        <f t="shared" si="31"/>
        <v>24.235949011113856</v>
      </c>
      <c r="CJ15" s="14">
        <f t="shared" si="31"/>
        <v>25.379516272736392</v>
      </c>
      <c r="CK15" s="14">
        <f t="shared" si="31"/>
        <v>26.577042472845523</v>
      </c>
      <c r="CL15" s="14">
        <f t="shared" si="31"/>
        <v>27.831073650612101</v>
      </c>
      <c r="CM15" s="14">
        <f t="shared" ref="CM15:EX15" si="32">(1+$M$15)*CL15</f>
        <v>29.144275979435736</v>
      </c>
      <c r="CN15" s="14">
        <f t="shared" si="32"/>
        <v>30.51944143544868</v>
      </c>
      <c r="CO15" s="14">
        <f t="shared" si="32"/>
        <v>31.959493733486646</v>
      </c>
      <c r="CP15" s="14">
        <f t="shared" si="32"/>
        <v>33.467494543146969</v>
      </c>
      <c r="CQ15" s="14">
        <f t="shared" si="32"/>
        <v>35.046649998149917</v>
      </c>
      <c r="CR15" s="14">
        <f t="shared" si="32"/>
        <v>36.700317512842624</v>
      </c>
      <c r="CS15" s="14">
        <f t="shared" si="32"/>
        <v>38.432012920338046</v>
      </c>
      <c r="CT15" s="14">
        <f t="shared" si="32"/>
        <v>40.24541794746527</v>
      </c>
      <c r="CU15" s="14">
        <f t="shared" si="32"/>
        <v>42.144388042423486</v>
      </c>
      <c r="CV15" s="14">
        <f t="shared" si="32"/>
        <v>44.132960571781886</v>
      </c>
      <c r="CW15" s="14">
        <f t="shared" si="32"/>
        <v>46.215363404252962</v>
      </c>
      <c r="CX15" s="14">
        <f t="shared" si="32"/>
        <v>48.396023899489045</v>
      </c>
      <c r="CY15" s="14">
        <f t="shared" si="32"/>
        <v>50.679578321012976</v>
      </c>
      <c r="CZ15" s="14">
        <f t="shared" si="32"/>
        <v>53.070881693295576</v>
      </c>
      <c r="DA15" s="14">
        <f t="shared" si="32"/>
        <v>55.575018123936893</v>
      </c>
      <c r="DB15" s="14">
        <f t="shared" si="32"/>
        <v>58.197311612897018</v>
      </c>
      <c r="DC15" s="14">
        <f t="shared" si="32"/>
        <v>60.943337371757757</v>
      </c>
      <c r="DD15" s="14">
        <f t="shared" si="32"/>
        <v>63.818933677080913</v>
      </c>
      <c r="DE15" s="14">
        <f t="shared" si="32"/>
        <v>66.830214283064308</v>
      </c>
      <c r="DF15" s="14">
        <f t="shared" si="32"/>
        <v>69.983581419885937</v>
      </c>
      <c r="DG15" s="14">
        <f t="shared" si="32"/>
        <v>73.285739405371757</v>
      </c>
      <c r="DH15" s="14">
        <f t="shared" si="32"/>
        <v>76.743708898926656</v>
      </c>
      <c r="DI15" s="14">
        <f t="shared" si="32"/>
        <v>80.364841828033661</v>
      </c>
      <c r="DJ15" s="14">
        <f t="shared" si="32"/>
        <v>84.156837019056269</v>
      </c>
      <c r="DK15" s="14">
        <f t="shared" si="32"/>
        <v>88.127756565576362</v>
      </c>
      <c r="DL15" s="14">
        <f t="shared" si="32"/>
        <v>92.286042969068106</v>
      </c>
      <c r="DM15" s="14">
        <f t="shared" si="32"/>
        <v>96.640537088350243</v>
      </c>
      <c r="DN15" s="14">
        <f t="shared" si="32"/>
        <v>101.20049693597895</v>
      </c>
      <c r="DO15" s="14">
        <f t="shared" si="32"/>
        <v>105.97561736154377</v>
      </c>
      <c r="DP15" s="14">
        <f t="shared" si="32"/>
        <v>110.97605066371503</v>
      </c>
      <c r="DQ15" s="14">
        <f t="shared" si="32"/>
        <v>116.21242817486561</v>
      </c>
      <c r="DR15" s="14">
        <f t="shared" si="32"/>
        <v>121.69588286415772</v>
      </c>
      <c r="DS15" s="14">
        <f t="shared" si="32"/>
        <v>127.43807300715085</v>
      </c>
      <c r="DT15" s="14">
        <f t="shared" si="32"/>
        <v>133.45120697225414</v>
      </c>
      <c r="DU15" s="14">
        <f t="shared" si="32"/>
        <v>139.7480691767216</v>
      </c>
      <c r="DV15" s="14">
        <f t="shared" si="32"/>
        <v>146.34204726737428</v>
      </c>
      <c r="DW15" s="14">
        <f t="shared" si="32"/>
        <v>153.24716058383839</v>
      </c>
      <c r="DX15" s="14">
        <f t="shared" si="32"/>
        <v>160.47808996481399</v>
      </c>
      <c r="DY15" s="14">
        <f t="shared" si="32"/>
        <v>168.05020896074529</v>
      </c>
      <c r="DZ15" s="14">
        <f t="shared" si="32"/>
        <v>175.97961651925306</v>
      </c>
      <c r="EA15" s="14">
        <f t="shared" si="32"/>
        <v>184.28317121282095</v>
      </c>
      <c r="EB15" s="14">
        <f t="shared" si="32"/>
        <v>192.97852708150691</v>
      </c>
      <c r="EC15" s="14">
        <f t="shared" si="32"/>
        <v>202.084171166884</v>
      </c>
      <c r="ED15" s="14">
        <f t="shared" si="32"/>
        <v>211.61946281701083</v>
      </c>
      <c r="EE15" s="14">
        <f t="shared" si="32"/>
        <v>221.60467484599749</v>
      </c>
      <c r="EF15" s="14">
        <f t="shared" si="32"/>
        <v>232.06103663567529</v>
      </c>
      <c r="EG15" s="14">
        <f t="shared" si="32"/>
        <v>243.01077927100815</v>
      </c>
      <c r="EH15" s="14">
        <f t="shared" si="32"/>
        <v>254.47718280520726</v>
      </c>
      <c r="EI15" s="14">
        <f t="shared" si="32"/>
        <v>266.48462575503851</v>
      </c>
      <c r="EJ15" s="14">
        <f t="shared" si="32"/>
        <v>279.05863693155362</v>
      </c>
      <c r="EK15" s="14">
        <f t="shared" si="32"/>
        <v>292.22594971644168</v>
      </c>
      <c r="EL15" s="14">
        <f t="shared" si="32"/>
        <v>306.01455889939677</v>
      </c>
      <c r="EM15" s="14">
        <f t="shared" si="32"/>
        <v>320.45378019734289</v>
      </c>
      <c r="EN15" s="14">
        <f t="shared" si="32"/>
        <v>335.57431258205861</v>
      </c>
      <c r="EO15" s="14">
        <f t="shared" si="32"/>
        <v>351.40830354871537</v>
      </c>
      <c r="EP15" s="14">
        <f t="shared" si="32"/>
        <v>367.9894174640956</v>
      </c>
      <c r="EQ15" s="14">
        <f t="shared" si="32"/>
        <v>385.35290713980476</v>
      </c>
      <c r="ER15" s="14">
        <f t="shared" si="32"/>
        <v>403.53568878264736</v>
      </c>
      <c r="ES15" s="14">
        <f t="shared" si="32"/>
        <v>422.57642048151831</v>
      </c>
      <c r="ET15" s="14">
        <f t="shared" si="32"/>
        <v>442.51558439767865</v>
      </c>
      <c r="EU15" s="14">
        <f t="shared" si="32"/>
        <v>463.39557283315906</v>
      </c>
      <c r="EV15" s="14">
        <f t="shared" si="32"/>
        <v>485.2607783602798</v>
      </c>
      <c r="EW15" s="14">
        <f t="shared" si="32"/>
        <v>508.15768820390974</v>
      </c>
      <c r="EX15" s="14">
        <f t="shared" si="32"/>
        <v>532.13498307712905</v>
      </c>
      <c r="EY15" s="14">
        <f t="shared" ref="EY15:FO15" si="33">(1+$M$15)*EX15</f>
        <v>557.24364068042792</v>
      </c>
      <c r="EZ15" s="14">
        <f t="shared" si="33"/>
        <v>583.53704408448971</v>
      </c>
      <c r="FA15" s="14">
        <f t="shared" si="33"/>
        <v>611.07109522698886</v>
      </c>
      <c r="FB15" s="14">
        <f t="shared" si="33"/>
        <v>639.90433376470673</v>
      </c>
      <c r="FC15" s="14">
        <f t="shared" si="33"/>
        <v>670.09806153365571</v>
      </c>
      <c r="FD15" s="14">
        <f t="shared" si="33"/>
        <v>701.71647288182328</v>
      </c>
      <c r="FE15" s="14">
        <f t="shared" si="33"/>
        <v>734.82679115163432</v>
      </c>
      <c r="FF15" s="14">
        <f t="shared" si="33"/>
        <v>769.49941160230469</v>
      </c>
      <c r="FG15" s="14">
        <f t="shared" si="33"/>
        <v>805.80805107595074</v>
      </c>
      <c r="FH15" s="14">
        <f t="shared" si="33"/>
        <v>843.82990472565723</v>
      </c>
      <c r="FI15" s="14">
        <f t="shared" si="33"/>
        <v>883.64581013872021</v>
      </c>
      <c r="FJ15" s="14">
        <f t="shared" si="33"/>
        <v>925.34041920400489</v>
      </c>
      <c r="FK15" s="14">
        <f t="shared" si="33"/>
        <v>969.00237808882184</v>
      </c>
      <c r="FL15" s="14">
        <f t="shared" si="33"/>
        <v>1014.7245157079682</v>
      </c>
      <c r="FM15" s="14">
        <f t="shared" si="33"/>
        <v>1062.6040410856331</v>
      </c>
      <c r="FN15" s="14">
        <f t="shared" si="33"/>
        <v>1112.7427500297765</v>
      </c>
      <c r="FO15" s="14">
        <f t="shared" si="33"/>
        <v>1165.2472415583877</v>
      </c>
      <c r="FP15" s="5">
        <f t="shared" si="22"/>
        <v>8.4534342845496324E-2</v>
      </c>
    </row>
    <row r="16" spans="1:172">
      <c r="A16" s="32">
        <f t="shared" si="23"/>
        <v>6</v>
      </c>
      <c r="B16" s="2" t="s">
        <v>32</v>
      </c>
      <c r="C16" s="2" t="s">
        <v>33</v>
      </c>
      <c r="D16" s="14">
        <f>'GAS GROUP INPUT P1'!H16</f>
        <v>1.95</v>
      </c>
      <c r="E16" s="14">
        <f>'GAS GROUP INPUT P1'!I16</f>
        <v>2.4500000000000002</v>
      </c>
      <c r="F16" s="9">
        <f t="shared" si="6"/>
        <v>0.16666666666666674</v>
      </c>
      <c r="G16" s="14">
        <f>'OCS-2.7'!D16</f>
        <v>57.268333333333338</v>
      </c>
      <c r="H16" s="14">
        <f t="shared" si="7"/>
        <v>1.95</v>
      </c>
      <c r="I16" s="14">
        <f t="shared" si="8"/>
        <v>2.1166666666666667</v>
      </c>
      <c r="J16" s="18">
        <f t="shared" si="9"/>
        <v>2.2833333333333332</v>
      </c>
      <c r="K16" s="7">
        <f t="shared" si="10"/>
        <v>2.4500000000000002</v>
      </c>
      <c r="L16" s="14">
        <f t="shared" si="11"/>
        <v>2.687893880074852</v>
      </c>
      <c r="M16" s="11">
        <f>'OCS-2.6'!Q16</f>
        <v>9.7099542887694679E-2</v>
      </c>
      <c r="N16" s="11">
        <f t="shared" si="12"/>
        <v>0.12916918349357534</v>
      </c>
      <c r="O16" s="11">
        <f t="shared" ref="O16:O18" si="34">N16</f>
        <v>0.12916918349357534</v>
      </c>
      <c r="T16" s="2" t="s">
        <v>32</v>
      </c>
      <c r="U16" s="14">
        <f t="shared" si="14"/>
        <v>-57.268333333333338</v>
      </c>
      <c r="V16" s="14">
        <f t="shared" si="15"/>
        <v>1.95</v>
      </c>
      <c r="W16" s="14">
        <f t="shared" si="16"/>
        <v>2.1166666666666667</v>
      </c>
      <c r="X16" s="18">
        <f t="shared" si="17"/>
        <v>2.2833333333333332</v>
      </c>
      <c r="Y16" s="18">
        <f t="shared" si="18"/>
        <v>2.4500000000000002</v>
      </c>
      <c r="Z16" s="14">
        <f>(1+$M$16)*Y16</f>
        <v>2.687893880074852</v>
      </c>
      <c r="AA16" s="14">
        <f t="shared" ref="AA16:CL16" si="35">(1+$M$16)*Z16</f>
        <v>2.9488871471607521</v>
      </c>
      <c r="AB16" s="14">
        <f t="shared" si="35"/>
        <v>3.2352227411774588</v>
      </c>
      <c r="AC16" s="14">
        <f t="shared" si="35"/>
        <v>3.5493613904856645</v>
      </c>
      <c r="AD16" s="14">
        <f t="shared" si="35"/>
        <v>3.8940027590450548</v>
      </c>
      <c r="AE16" s="14">
        <f t="shared" si="35"/>
        <v>4.2721086469517511</v>
      </c>
      <c r="AF16" s="14">
        <f t="shared" si="35"/>
        <v>4.686928443737334</v>
      </c>
      <c r="AG16" s="14">
        <f t="shared" si="35"/>
        <v>5.1420270531715628</v>
      </c>
      <c r="AH16" s="14">
        <f t="shared" si="35"/>
        <v>5.6413155295506812</v>
      </c>
      <c r="AI16" s="14">
        <f t="shared" si="35"/>
        <v>6.1890846887553055</v>
      </c>
      <c r="AJ16" s="14">
        <f t="shared" si="35"/>
        <v>6.7900419829266756</v>
      </c>
      <c r="AK16" s="14">
        <f t="shared" si="35"/>
        <v>7.4493519556571117</v>
      </c>
      <c r="AL16" s="14">
        <f t="shared" si="35"/>
        <v>8.1726806253609716</v>
      </c>
      <c r="AM16" s="14">
        <f t="shared" si="35"/>
        <v>8.9662441782506406</v>
      </c>
      <c r="AN16" s="14">
        <f t="shared" si="35"/>
        <v>9.836862389378231</v>
      </c>
      <c r="AO16" s="14">
        <f t="shared" si="35"/>
        <v>10.792017230836013</v>
      </c>
      <c r="AP16" s="14">
        <f t="shared" si="35"/>
        <v>11.839917170786313</v>
      </c>
      <c r="AQ16" s="14">
        <f t="shared" si="35"/>
        <v>12.989567715897831</v>
      </c>
      <c r="AR16" s="14">
        <f t="shared" si="35"/>
        <v>14.250848803420265</v>
      </c>
      <c r="AS16" s="14">
        <f t="shared" si="35"/>
        <v>15.634599707994022</v>
      </c>
      <c r="AT16" s="14">
        <f t="shared" si="35"/>
        <v>17.152712192872325</v>
      </c>
      <c r="AU16" s="14">
        <f t="shared" si="35"/>
        <v>18.818232706084416</v>
      </c>
      <c r="AV16" s="14">
        <f t="shared" si="35"/>
        <v>20.645474499799477</v>
      </c>
      <c r="AW16" s="14">
        <f t="shared" si="35"/>
        <v>22.650140636429562</v>
      </c>
      <c r="AX16" s="14">
        <f t="shared" si="35"/>
        <v>24.849458938568869</v>
      </c>
      <c r="AY16" s="14">
        <f t="shared" si="35"/>
        <v>27.262330042510442</v>
      </c>
      <c r="AZ16" s="14">
        <f t="shared" si="35"/>
        <v>29.909489827691669</v>
      </c>
      <c r="BA16" s="14">
        <f t="shared" si="35"/>
        <v>32.813687617964682</v>
      </c>
      <c r="BB16" s="14">
        <f t="shared" si="35"/>
        <v>35.99988168612866</v>
      </c>
      <c r="BC16" s="14">
        <f t="shared" si="35"/>
        <v>39.495453741862839</v>
      </c>
      <c r="BD16" s="14">
        <f t="shared" si="35"/>
        <v>43.330444246339809</v>
      </c>
      <c r="BE16" s="14">
        <f t="shared" si="35"/>
        <v>47.537810575780142</v>
      </c>
      <c r="BF16" s="14">
        <f t="shared" si="35"/>
        <v>52.153710252570207</v>
      </c>
      <c r="BG16" s="14">
        <f t="shared" si="35"/>
        <v>57.217811677992046</v>
      </c>
      <c r="BH16" s="14">
        <f t="shared" si="35"/>
        <v>62.77363503695927</v>
      </c>
      <c r="BI16" s="14">
        <f t="shared" si="35"/>
        <v>68.868926304446987</v>
      </c>
      <c r="BJ16" s="14">
        <f t="shared" si="35"/>
        <v>75.556067567775116</v>
      </c>
      <c r="BK16" s="14">
        <f t="shared" si="35"/>
        <v>82.892527190997853</v>
      </c>
      <c r="BL16" s="14">
        <f t="shared" si="35"/>
        <v>90.941353690049539</v>
      </c>
      <c r="BM16" s="14">
        <f t="shared" si="35"/>
        <v>99.771717562941504</v>
      </c>
      <c r="BN16" s="14">
        <f t="shared" si="35"/>
        <v>109.45950573142329</v>
      </c>
      <c r="BO16" s="14">
        <f t="shared" si="35"/>
        <v>120.08797370265748</v>
      </c>
      <c r="BP16" s="14">
        <f t="shared" si="35"/>
        <v>131.748461055495</v>
      </c>
      <c r="BQ16" s="14">
        <f t="shared" si="35"/>
        <v>144.54117640014081</v>
      </c>
      <c r="BR16" s="14">
        <f t="shared" si="35"/>
        <v>158.57605855704412</v>
      </c>
      <c r="BS16" s="14">
        <f t="shared" si="35"/>
        <v>173.97372135586539</v>
      </c>
      <c r="BT16" s="14">
        <f t="shared" si="35"/>
        <v>190.86649017399108</v>
      </c>
      <c r="BU16" s="14">
        <f t="shared" si="35"/>
        <v>209.39953912246426</v>
      </c>
      <c r="BV16" s="14">
        <f t="shared" si="35"/>
        <v>229.73213865214947</v>
      </c>
      <c r="BW16" s="14">
        <f t="shared" si="35"/>
        <v>252.03902430188566</v>
      </c>
      <c r="BX16" s="14">
        <f t="shared" si="35"/>
        <v>276.51189835145931</v>
      </c>
      <c r="BY16" s="14">
        <f t="shared" si="35"/>
        <v>303.3610772843947</v>
      </c>
      <c r="BZ16" s="14">
        <f t="shared" si="35"/>
        <v>332.81729921862802</v>
      </c>
      <c r="CA16" s="14">
        <f t="shared" si="35"/>
        <v>365.13370683787389</v>
      </c>
      <c r="CB16" s="14">
        <f t="shared" si="35"/>
        <v>400.58802286472093</v>
      </c>
      <c r="CC16" s="14">
        <f t="shared" si="35"/>
        <v>439.48493677117068</v>
      </c>
      <c r="CD16" s="14">
        <f t="shared" si="35"/>
        <v>482.15872323767871</v>
      </c>
      <c r="CE16" s="14">
        <f t="shared" si="35"/>
        <v>528.97611486337178</v>
      </c>
      <c r="CF16" s="14">
        <f t="shared" si="35"/>
        <v>580.33945381511387</v>
      </c>
      <c r="CG16" s="14">
        <f t="shared" si="35"/>
        <v>636.69014950025576</v>
      </c>
      <c r="CH16" s="14">
        <f t="shared" si="35"/>
        <v>698.51247197782857</v>
      </c>
      <c r="CI16" s="14">
        <f t="shared" si="35"/>
        <v>766.33771370822933</v>
      </c>
      <c r="CJ16" s="14">
        <f t="shared" si="35"/>
        <v>840.74875540689936</v>
      </c>
      <c r="CK16" s="14">
        <f t="shared" si="35"/>
        <v>922.38507524030751</v>
      </c>
      <c r="CL16" s="14">
        <f t="shared" si="35"/>
        <v>1011.9482444125732</v>
      </c>
      <c r="CM16" s="14">
        <f t="shared" ref="CM16:EX16" si="36">(1+$M$16)*CL16</f>
        <v>1110.2079563710392</v>
      </c>
      <c r="CN16" s="14">
        <f t="shared" si="36"/>
        <v>1218.0086414449488</v>
      </c>
      <c r="CO16" s="14">
        <f t="shared" si="36"/>
        <v>1336.2767237625153</v>
      </c>
      <c r="CP16" s="14">
        <f t="shared" si="36"/>
        <v>1466.0285828113217</v>
      </c>
      <c r="CQ16" s="14">
        <f t="shared" si="36"/>
        <v>1608.3792880625958</v>
      </c>
      <c r="CR16" s="14">
        <f t="shared" si="36"/>
        <v>1764.5521817235096</v>
      </c>
      <c r="CS16" s="14">
        <f t="shared" si="36"/>
        <v>1935.8893919703467</v>
      </c>
      <c r="CT16" s="14">
        <f t="shared" si="36"/>
        <v>2123.8633670118043</v>
      </c>
      <c r="CU16" s="14">
        <f t="shared" si="36"/>
        <v>2330.0895291045704</v>
      </c>
      <c r="CV16" s="14">
        <f t="shared" si="36"/>
        <v>2556.3401572680277</v>
      </c>
      <c r="CW16" s="14">
        <f t="shared" si="36"/>
        <v>2804.5596180042107</v>
      </c>
      <c r="CX16" s="14">
        <f t="shared" si="36"/>
        <v>3076.8810749137069</v>
      </c>
      <c r="CY16" s="14">
        <f t="shared" si="36"/>
        <v>3375.6448208076263</v>
      </c>
      <c r="CZ16" s="14">
        <f t="shared" si="36"/>
        <v>3703.4183898592605</v>
      </c>
      <c r="DA16" s="14">
        <f t="shared" si="36"/>
        <v>4063.0186226364767</v>
      </c>
      <c r="DB16" s="14">
        <f t="shared" si="36"/>
        <v>4457.5358736386688</v>
      </c>
      <c r="DC16" s="14">
        <f t="shared" si="36"/>
        <v>4890.3605693744839</v>
      </c>
      <c r="DD16" s="14">
        <f t="shared" si="36"/>
        <v>5365.2123452167525</v>
      </c>
      <c r="DE16" s="14">
        <f t="shared" si="36"/>
        <v>5886.1720114327154</v>
      </c>
      <c r="DF16" s="14">
        <f t="shared" si="36"/>
        <v>6457.7166231011743</v>
      </c>
      <c r="DG16" s="14">
        <f t="shared" si="36"/>
        <v>7084.7579553025653</v>
      </c>
      <c r="DH16" s="14">
        <f t="shared" si="36"/>
        <v>7772.6847142324023</v>
      </c>
      <c r="DI16" s="14">
        <f t="shared" si="36"/>
        <v>8527.40884699454</v>
      </c>
      <c r="DJ16" s="14">
        <f t="shared" si="36"/>
        <v>9355.416348054192</v>
      </c>
      <c r="DK16" s="14">
        <f t="shared" si="36"/>
        <v>10263.822998974319</v>
      </c>
      <c r="DL16" s="14">
        <f t="shared" si="36"/>
        <v>11260.435520454932</v>
      </c>
      <c r="DM16" s="14">
        <f t="shared" si="36"/>
        <v>12353.818662207466</v>
      </c>
      <c r="DN16" s="14">
        <f t="shared" si="36"/>
        <v>13553.368807225283</v>
      </c>
      <c r="DO16" s="14">
        <f t="shared" si="36"/>
        <v>14869.394722995197</v>
      </c>
      <c r="DP16" s="14">
        <f t="shared" si="36"/>
        <v>16313.20615361473</v>
      </c>
      <c r="DQ16" s="14">
        <f t="shared" si="36"/>
        <v>17897.211014163448</v>
      </c>
      <c r="DR16" s="14">
        <f t="shared" si="36"/>
        <v>19635.022022603331</v>
      </c>
      <c r="DS16" s="14">
        <f t="shared" si="36"/>
        <v>21541.57368558793</v>
      </c>
      <c r="DT16" s="14">
        <f t="shared" si="36"/>
        <v>23633.250643540108</v>
      </c>
      <c r="DU16" s="14">
        <f t="shared" si="36"/>
        <v>25928.028477978169</v>
      </c>
      <c r="DV16" s="14">
        <f t="shared" si="36"/>
        <v>28445.628191168977</v>
      </c>
      <c r="DW16" s="14">
        <f t="shared" si="36"/>
        <v>31207.685685684803</v>
      </c>
      <c r="DX16" s="14">
        <f t="shared" si="36"/>
        <v>34237.937700347647</v>
      </c>
      <c r="DY16" s="14">
        <f t="shared" si="36"/>
        <v>37562.425800468773</v>
      </c>
      <c r="DZ16" s="14">
        <f t="shared" si="36"/>
        <v>41209.720175447241</v>
      </c>
      <c r="EA16" s="14">
        <f t="shared" si="36"/>
        <v>45211.165167012972</v>
      </c>
      <c r="EB16" s="14">
        <f t="shared" si="36"/>
        <v>49601.148638149993</v>
      </c>
      <c r="EC16" s="14">
        <f t="shared" si="36"/>
        <v>54417.397497618957</v>
      </c>
      <c r="ED16" s="14">
        <f t="shared" si="36"/>
        <v>59701.301919775731</v>
      </c>
      <c r="EE16" s="14">
        <f t="shared" si="36"/>
        <v>65498.271045986199</v>
      </c>
      <c r="EF16" s="14">
        <f t="shared" si="36"/>
        <v>71858.123224485782</v>
      </c>
      <c r="EG16" s="14">
        <f t="shared" si="36"/>
        <v>78835.514142350978</v>
      </c>
      <c r="EH16" s="14">
        <f t="shared" si="36"/>
        <v>86490.406528889638</v>
      </c>
      <c r="EI16" s="14">
        <f t="shared" si="36"/>
        <v>94888.585467015699</v>
      </c>
      <c r="EJ16" s="14">
        <f t="shared" si="36"/>
        <v>104102.22374112287</v>
      </c>
      <c r="EK16" s="14">
        <f t="shared" si="36"/>
        <v>114210.50207997841</v>
      </c>
      <c r="EL16" s="14">
        <f t="shared" si="36"/>
        <v>125300.28962491841</v>
      </c>
      <c r="EM16" s="14">
        <f t="shared" si="36"/>
        <v>137466.89047119374</v>
      </c>
      <c r="EN16" s="14">
        <f t="shared" si="36"/>
        <v>150814.86269813942</v>
      </c>
      <c r="EO16" s="14">
        <f t="shared" si="36"/>
        <v>165458.9169267992</v>
      </c>
      <c r="EP16" s="14">
        <f t="shared" si="36"/>
        <v>181524.90212708444</v>
      </c>
      <c r="EQ16" s="14">
        <f t="shared" si="36"/>
        <v>199150.88714635785</v>
      </c>
      <c r="ER16" s="14">
        <f t="shared" si="36"/>
        <v>218488.34725394807</v>
      </c>
      <c r="ES16" s="14">
        <f t="shared" si="36"/>
        <v>239703.46589859432</v>
      </c>
      <c r="ET16" s="14">
        <f t="shared" si="36"/>
        <v>262978.56286594394</v>
      </c>
      <c r="EU16" s="14">
        <f t="shared" si="36"/>
        <v>288513.66110948997</v>
      </c>
      <c r="EV16" s="14">
        <f t="shared" si="36"/>
        <v>316528.20572007669</v>
      </c>
      <c r="EW16" s="14">
        <f t="shared" si="36"/>
        <v>347262.94980655832</v>
      </c>
      <c r="EX16" s="14">
        <f t="shared" si="36"/>
        <v>380982.02349460759</v>
      </c>
      <c r="EY16" s="14">
        <f t="shared" ref="EY16:FO16" si="37">(1+$M$16)*EX16</f>
        <v>417975.20382436295</v>
      </c>
      <c r="EZ16" s="14">
        <f t="shared" si="37"/>
        <v>458560.40505409957</v>
      </c>
      <c r="FA16" s="14">
        <f t="shared" si="37"/>
        <v>503086.41077124875</v>
      </c>
      <c r="FB16" s="14">
        <f t="shared" si="37"/>
        <v>551935.871290148</v>
      </c>
      <c r="FC16" s="14">
        <f t="shared" si="37"/>
        <v>605528.59209574282</v>
      </c>
      <c r="FD16" s="14">
        <f t="shared" si="37"/>
        <v>664325.14159366873</v>
      </c>
      <c r="FE16" s="14">
        <f t="shared" si="37"/>
        <v>728830.80917121691</v>
      </c>
      <c r="FF16" s="14">
        <f t="shared" si="37"/>
        <v>799599.94758421066</v>
      </c>
      <c r="FG16" s="14">
        <f t="shared" si="37"/>
        <v>877240.73698766215</v>
      </c>
      <c r="FH16" s="14">
        <f t="shared" si="37"/>
        <v>962420.41155162849</v>
      </c>
      <c r="FI16" s="14">
        <f t="shared" si="37"/>
        <v>1055870.9935790785</v>
      </c>
      <c r="FJ16" s="14">
        <f t="shared" si="37"/>
        <v>1158395.5844039829</v>
      </c>
      <c r="FK16" s="14">
        <f t="shared" si="37"/>
        <v>1270875.2661327336</v>
      </c>
      <c r="FL16" s="14">
        <f t="shared" si="37"/>
        <v>1394276.6735414993</v>
      </c>
      <c r="FM16" s="14">
        <f t="shared" si="37"/>
        <v>1529660.3012013542</v>
      </c>
      <c r="FN16" s="14">
        <f t="shared" si="37"/>
        <v>1678189.617221459</v>
      </c>
      <c r="FO16" s="14">
        <f t="shared" si="37"/>
        <v>1841141.0619325379</v>
      </c>
      <c r="FP16" s="5">
        <f t="shared" si="22"/>
        <v>0.12916918349357534</v>
      </c>
    </row>
    <row r="17" spans="1:172">
      <c r="A17" s="32">
        <f t="shared" si="23"/>
        <v>7</v>
      </c>
      <c r="B17" s="2" t="s">
        <v>34</v>
      </c>
      <c r="C17" s="2" t="s">
        <v>35</v>
      </c>
      <c r="D17" s="14">
        <f>'GAS GROUP INPUT P1'!H17</f>
        <v>1.4</v>
      </c>
      <c r="E17" s="14">
        <f>'GAS GROUP INPUT P1'!I17</f>
        <v>1.64</v>
      </c>
      <c r="F17" s="9">
        <f t="shared" si="6"/>
        <v>0.08</v>
      </c>
      <c r="G17" s="14">
        <f>'OCS-2.7'!D17</f>
        <v>48.401666666666664</v>
      </c>
      <c r="H17" s="14">
        <f t="shared" si="7"/>
        <v>1.4</v>
      </c>
      <c r="I17" s="14">
        <f t="shared" si="8"/>
        <v>1.48</v>
      </c>
      <c r="J17" s="18">
        <f t="shared" si="9"/>
        <v>1.56</v>
      </c>
      <c r="K17" s="7">
        <f t="shared" si="10"/>
        <v>1.6400000000000001</v>
      </c>
      <c r="L17" s="14">
        <f t="shared" si="11"/>
        <v>1.7686020901956323</v>
      </c>
      <c r="M17" s="11">
        <f>'OCS-2.6'!Q17</f>
        <v>7.8415908655873334E-2</v>
      </c>
      <c r="N17" s="11">
        <f t="shared" si="12"/>
        <v>0.10480587721093068</v>
      </c>
      <c r="O17" s="11">
        <f t="shared" si="34"/>
        <v>0.10480587721093068</v>
      </c>
      <c r="T17" s="2" t="s">
        <v>34</v>
      </c>
      <c r="U17" s="14">
        <f t="shared" si="14"/>
        <v>-48.401666666666664</v>
      </c>
      <c r="V17" s="14">
        <f t="shared" si="15"/>
        <v>1.4</v>
      </c>
      <c r="W17" s="14">
        <f t="shared" si="16"/>
        <v>1.48</v>
      </c>
      <c r="X17" s="18">
        <f t="shared" si="17"/>
        <v>1.56</v>
      </c>
      <c r="Y17" s="18">
        <f t="shared" si="18"/>
        <v>1.6400000000000001</v>
      </c>
      <c r="Z17" s="14">
        <f>(1+$M$17)*Y17</f>
        <v>1.7686020901956323</v>
      </c>
      <c r="AA17" s="14">
        <f t="shared" ref="AA17:CL17" si="38">(1+$M$17)*Z17</f>
        <v>1.9072886301489997</v>
      </c>
      <c r="AB17" s="14">
        <f t="shared" si="38"/>
        <v>2.0568504011511495</v>
      </c>
      <c r="AC17" s="14">
        <f t="shared" si="38"/>
        <v>2.2181401943266144</v>
      </c>
      <c r="AD17" s="14">
        <f t="shared" si="38"/>
        <v>2.3920776731908511</v>
      </c>
      <c r="AE17" s="14">
        <f t="shared" si="38"/>
        <v>2.5796546175095387</v>
      </c>
      <c r="AF17" s="14">
        <f t="shared" si="38"/>
        <v>2.7819405783598685</v>
      </c>
      <c r="AG17" s="14">
        <f t="shared" si="38"/>
        <v>3.0000889766386032</v>
      </c>
      <c r="AH17" s="14">
        <f t="shared" si="38"/>
        <v>3.2353436797901884</v>
      </c>
      <c r="AI17" s="14">
        <f t="shared" si="38"/>
        <v>3.4890460942549728</v>
      </c>
      <c r="AJ17" s="14">
        <f t="shared" si="38"/>
        <v>3.7626428140782022</v>
      </c>
      <c r="AK17" s="14">
        <f t="shared" si="38"/>
        <v>4.0576938692916364</v>
      </c>
      <c r="AL17" s="14">
        <f t="shared" si="38"/>
        <v>4.3758816210995066</v>
      </c>
      <c r="AM17" s="14">
        <f t="shared" si="38"/>
        <v>4.7190203545885607</v>
      </c>
      <c r="AN17" s="14">
        <f t="shared" si="38"/>
        <v>5.0890666236591846</v>
      </c>
      <c r="AO17" s="14">
        <f t="shared" si="38"/>
        <v>5.4881304071636974</v>
      </c>
      <c r="AP17" s="14">
        <f t="shared" si="38"/>
        <v>5.9184871398633669</v>
      </c>
      <c r="AQ17" s="14">
        <f t="shared" si="38"/>
        <v>6.3825906868038533</v>
      </c>
      <c r="AR17" s="14">
        <f t="shared" si="38"/>
        <v>6.8830873350880921</v>
      </c>
      <c r="AS17" s="14">
        <f t="shared" si="38"/>
        <v>7.4228308828267586</v>
      </c>
      <c r="AT17" s="14">
        <f t="shared" si="38"/>
        <v>8.0048989113024973</v>
      </c>
      <c r="AU17" s="14">
        <f t="shared" si="38"/>
        <v>8.6326103331306943</v>
      </c>
      <c r="AV17" s="14">
        <f t="shared" si="38"/>
        <v>9.3095443164752183</v>
      </c>
      <c r="AW17" s="14">
        <f t="shared" si="38"/>
        <v>10.039560693223743</v>
      </c>
      <c r="AX17" s="14">
        <f t="shared" si="38"/>
        <v>10.826821967488673</v>
      </c>
      <c r="AY17" s="14">
        <f t="shared" si="38"/>
        <v>11.675817049924667</v>
      </c>
      <c r="AZ17" s="14">
        <f t="shared" si="38"/>
        <v>12.591386853194249</v>
      </c>
      <c r="BA17" s="14">
        <f t="shared" si="38"/>
        <v>13.578751894525094</v>
      </c>
      <c r="BB17" s="14">
        <f t="shared" si="38"/>
        <v>14.643542062746942</v>
      </c>
      <c r="BC17" s="14">
        <f t="shared" si="38"/>
        <v>15.791828719537746</v>
      </c>
      <c r="BD17" s="14">
        <f t="shared" si="38"/>
        <v>17.030159317918216</v>
      </c>
      <c r="BE17" s="14">
        <f t="shared" si="38"/>
        <v>18.365594735387059</v>
      </c>
      <c r="BF17" s="14">
        <f t="shared" si="38"/>
        <v>19.805749534567958</v>
      </c>
      <c r="BG17" s="14">
        <f t="shared" si="38"/>
        <v>21.358835380931744</v>
      </c>
      <c r="BH17" s="14">
        <f t="shared" si="38"/>
        <v>23.033707865158725</v>
      </c>
      <c r="BI17" s="14">
        <f t="shared" si="38"/>
        <v>24.839916997119083</v>
      </c>
      <c r="BJ17" s="14">
        <f t="shared" si="38"/>
        <v>26.78776165938465</v>
      </c>
      <c r="BK17" s="14">
        <f t="shared" si="38"/>
        <v>28.888348330762263</v>
      </c>
      <c r="BL17" s="14">
        <f t="shared" si="38"/>
        <v>31.153654414686368</v>
      </c>
      <c r="BM17" s="14">
        <f t="shared" si="38"/>
        <v>33.596596533565062</v>
      </c>
      <c r="BN17" s="14">
        <f t="shared" si="38"/>
        <v>36.231104178489332</v>
      </c>
      <c r="BO17" s="14">
        <f t="shared" si="38"/>
        <v>39.072199134251186</v>
      </c>
      <c r="BP17" s="14">
        <f t="shared" si="38"/>
        <v>42.136081132546721</v>
      </c>
      <c r="BQ17" s="14">
        <f t="shared" si="38"/>
        <v>45.440220221752973</v>
      </c>
      <c r="BR17" s="14">
        <f t="shared" si="38"/>
        <v>49.003456379964724</v>
      </c>
      <c r="BS17" s="14">
        <f t="shared" si="38"/>
        <v>52.846106939278108</v>
      </c>
      <c r="BT17" s="14">
        <f t="shared" si="38"/>
        <v>56.990082433847057</v>
      </c>
      <c r="BU17" s="14">
        <f t="shared" si="38"/>
        <v>61.459011532270303</v>
      </c>
      <c r="BV17" s="14">
        <f t="shared" si="38"/>
        <v>66.278375766665079</v>
      </c>
      <c r="BW17" s="14">
        <f t="shared" si="38"/>
        <v>71.475654826643535</v>
      </c>
      <c r="BX17" s="14">
        <f t="shared" si="38"/>
        <v>77.080483246648342</v>
      </c>
      <c r="BY17" s="14">
        <f t="shared" si="38"/>
        <v>83.124819380068089</v>
      </c>
      <c r="BZ17" s="14">
        <f t="shared" si="38"/>
        <v>89.643127623611477</v>
      </c>
      <c r="CA17" s="14">
        <f t="shared" si="38"/>
        <v>96.672574930971393</v>
      </c>
      <c r="CB17" s="14">
        <f t="shared" si="38"/>
        <v>104.25324273628652</v>
      </c>
      <c r="CC17" s="14">
        <f t="shared" si="38"/>
        <v>112.42835549577376</v>
      </c>
      <c r="CD17" s="14">
        <f t="shared" si="38"/>
        <v>121.2445271506604</v>
      </c>
      <c r="CE17" s="14">
        <f t="shared" si="38"/>
        <v>130.75202691673115</v>
      </c>
      <c r="CF17" s="14">
        <f t="shared" si="38"/>
        <v>141.00506591600384</v>
      </c>
      <c r="CG17" s="14">
        <f t="shared" si="38"/>
        <v>152.06210628488859</v>
      </c>
      <c r="CH17" s="14">
        <f t="shared" si="38"/>
        <v>163.98619452134412</v>
      </c>
      <c r="CI17" s="14">
        <f t="shared" si="38"/>
        <v>176.84532097175412</v>
      </c>
      <c r="CJ17" s="14">
        <f t="shared" si="38"/>
        <v>190.7128075072938</v>
      </c>
      <c r="CK17" s="14">
        <f t="shared" si="38"/>
        <v>205.66772560029091</v>
      </c>
      <c r="CL17" s="14">
        <f t="shared" si="38"/>
        <v>221.79534718442454</v>
      </c>
      <c r="CM17" s="14">
        <f t="shared" ref="CM17:EX17" si="39">(1+$M$17)*CL17</f>
        <v>239.18763086953609</v>
      </c>
      <c r="CN17" s="14">
        <f t="shared" si="39"/>
        <v>257.94374628341637</v>
      </c>
      <c r="CO17" s="14">
        <f t="shared" si="39"/>
        <v>278.1706395303305</v>
      </c>
      <c r="CP17" s="14">
        <f t="shared" si="39"/>
        <v>299.98364299048677</v>
      </c>
      <c r="CQ17" s="14">
        <f t="shared" si="39"/>
        <v>323.50713293748493</v>
      </c>
      <c r="CR17" s="14">
        <f t="shared" si="39"/>
        <v>348.87523872343422</v>
      </c>
      <c r="CS17" s="14">
        <f t="shared" si="39"/>
        <v>376.23260757546706</v>
      </c>
      <c r="CT17" s="14">
        <f t="shared" si="39"/>
        <v>405.73522936446591</v>
      </c>
      <c r="CU17" s="14">
        <f t="shared" si="39"/>
        <v>437.55132604877969</v>
      </c>
      <c r="CV17" s="14">
        <f t="shared" si="39"/>
        <v>471.86231086447702</v>
      </c>
      <c r="CW17" s="14">
        <f t="shared" si="39"/>
        <v>508.86382273137514</v>
      </c>
      <c r="CX17" s="14">
        <f t="shared" si="39"/>
        <v>548.76684177295715</v>
      </c>
      <c r="CY17" s="14">
        <f t="shared" si="39"/>
        <v>591.79889231079744</v>
      </c>
      <c r="CZ17" s="14">
        <f t="shared" si="39"/>
        <v>638.205340192888</v>
      </c>
      <c r="DA17" s="14">
        <f t="shared" si="39"/>
        <v>688.25079185314405</v>
      </c>
      <c r="DB17" s="14">
        <f t="shared" si="39"/>
        <v>742.22060307943264</v>
      </c>
      <c r="DC17" s="14">
        <f t="shared" si="39"/>
        <v>800.42250609301664</v>
      </c>
      <c r="DD17" s="14">
        <f t="shared" si="39"/>
        <v>863.18836421691185</v>
      </c>
      <c r="DE17" s="14">
        <f t="shared" si="39"/>
        <v>930.87606413815797</v>
      </c>
      <c r="DF17" s="14">
        <f t="shared" si="39"/>
        <v>1003.8715565535547</v>
      </c>
      <c r="DG17" s="14">
        <f t="shared" si="39"/>
        <v>1082.5910568344875</v>
      </c>
      <c r="DH17" s="14">
        <f t="shared" si="39"/>
        <v>1167.4834182588861</v>
      </c>
      <c r="DI17" s="14">
        <f t="shared" si="39"/>
        <v>1259.0326913423216</v>
      </c>
      <c r="DJ17" s="14">
        <f t="shared" si="39"/>
        <v>1357.7608838613794</v>
      </c>
      <c r="DK17" s="14">
        <f t="shared" si="39"/>
        <v>1464.2309373067712</v>
      </c>
      <c r="DL17" s="14">
        <f t="shared" si="39"/>
        <v>1579.0499367377229</v>
      </c>
      <c r="DM17" s="14">
        <f t="shared" si="39"/>
        <v>1702.8725723400107</v>
      </c>
      <c r="DN17" s="14">
        <f t="shared" si="39"/>
        <v>1836.404872425217</v>
      </c>
      <c r="DO17" s="14">
        <f t="shared" si="39"/>
        <v>1980.4082291565135</v>
      </c>
      <c r="DP17" s="14">
        <f t="shared" si="39"/>
        <v>2135.7037399553906</v>
      </c>
      <c r="DQ17" s="14">
        <f t="shared" si="39"/>
        <v>2303.1768893437397</v>
      </c>
      <c r="DR17" s="14">
        <f t="shared" si="39"/>
        <v>2483.7825979168369</v>
      </c>
      <c r="DS17" s="14">
        <f t="shared" si="39"/>
        <v>2678.5506672361312</v>
      </c>
      <c r="DT17" s="14">
        <f t="shared" si="39"/>
        <v>2888.591651688248</v>
      </c>
      <c r="DU17" s="14">
        <f t="shared" si="39"/>
        <v>3115.103190791152</v>
      </c>
      <c r="DV17" s="14">
        <f t="shared" si="39"/>
        <v>3359.3768380538504</v>
      </c>
      <c r="DW17" s="14">
        <f t="shared" si="39"/>
        <v>3622.8054253273376</v>
      </c>
      <c r="DX17" s="14">
        <f t="shared" si="39"/>
        <v>3906.8910046378087</v>
      </c>
      <c r="DY17" s="14">
        <f t="shared" si="39"/>
        <v>4213.2534127859399</v>
      </c>
      <c r="DZ17" s="14">
        <f t="shared" si="39"/>
        <v>4543.6395075470091</v>
      </c>
      <c r="EA17" s="14">
        <f t="shared" si="39"/>
        <v>4899.9331281360328</v>
      </c>
      <c r="EB17" s="14">
        <f t="shared" si="39"/>
        <v>5284.165836731836</v>
      </c>
      <c r="EC17" s="14">
        <f t="shared" si="39"/>
        <v>5698.5285023074857</v>
      </c>
      <c r="ED17" s="14">
        <f t="shared" si="39"/>
        <v>6145.3837928173198</v>
      </c>
      <c r="EE17" s="14">
        <f t="shared" si="39"/>
        <v>6627.2796469701671</v>
      </c>
      <c r="EF17" s="14">
        <f t="shared" si="39"/>
        <v>7146.9638024039077</v>
      </c>
      <c r="EG17" s="14">
        <f t="shared" si="39"/>
        <v>7707.399463100046</v>
      </c>
      <c r="EH17" s="14">
        <f t="shared" si="39"/>
        <v>8311.7821953728271</v>
      </c>
      <c r="EI17" s="14">
        <f t="shared" si="39"/>
        <v>8963.5581487726977</v>
      </c>
      <c r="EJ17" s="14">
        <f t="shared" si="39"/>
        <v>9666.4437057984669</v>
      </c>
      <c r="EK17" s="14">
        <f t="shared" si="39"/>
        <v>10424.4466724595</v>
      </c>
      <c r="EL17" s="14">
        <f t="shared" si="39"/>
        <v>11241.889130515106</v>
      </c>
      <c r="EM17" s="14">
        <f t="shared" si="39"/>
        <v>12123.432081693034</v>
      </c>
      <c r="EN17" s="14">
        <f t="shared" si="39"/>
        <v>13074.102024406759</v>
      </c>
      <c r="EO17" s="14">
        <f t="shared" si="39"/>
        <v>14099.319614510208</v>
      </c>
      <c r="EP17" s="14">
        <f t="shared" si="39"/>
        <v>15204.930573511605</v>
      </c>
      <c r="EQ17" s="14">
        <f t="shared" si="39"/>
        <v>16397.239020482986</v>
      </c>
      <c r="ER17" s="14">
        <f t="shared" si="39"/>
        <v>17683.043417721703</v>
      </c>
      <c r="ES17" s="14">
        <f t="shared" si="39"/>
        <v>19069.675335123611</v>
      </c>
      <c r="ET17" s="14">
        <f t="shared" si="39"/>
        <v>20565.041254299824</v>
      </c>
      <c r="EU17" s="14">
        <f t="shared" si="39"/>
        <v>22177.667650801264</v>
      </c>
      <c r="EV17" s="14">
        <f t="shared" si="39"/>
        <v>23916.749611506813</v>
      </c>
      <c r="EW17" s="14">
        <f t="shared" si="39"/>
        <v>25792.203264388125</v>
      </c>
      <c r="EX17" s="14">
        <f t="shared" si="39"/>
        <v>27814.7223196021</v>
      </c>
      <c r="EY17" s="14">
        <f t="shared" ref="EY17:FO17" si="40">(1+$M$17)*EX17</f>
        <v>29995.839044304499</v>
      </c>
      <c r="EZ17" s="14">
        <f t="shared" si="40"/>
        <v>32347.99001885896</v>
      </c>
      <c r="FA17" s="14">
        <f t="shared" si="40"/>
        <v>34884.587049378904</v>
      </c>
      <c r="FB17" s="14">
        <f t="shared" si="40"/>
        <v>37620.09364094086</v>
      </c>
      <c r="FC17" s="14">
        <f t="shared" si="40"/>
        <v>40570.107467514281</v>
      </c>
      <c r="FD17" s="14">
        <f t="shared" si="40"/>
        <v>43751.449308845848</v>
      </c>
      <c r="FE17" s="14">
        <f t="shared" si="40"/>
        <v>47182.258961410378</v>
      </c>
      <c r="FF17" s="14">
        <f t="shared" si="40"/>
        <v>50882.098670306099</v>
      </c>
      <c r="FG17" s="14">
        <f t="shared" si="40"/>
        <v>54872.064671855958</v>
      </c>
      <c r="FH17" s="14">
        <f t="shared" si="40"/>
        <v>59174.907482923387</v>
      </c>
      <c r="FI17" s="14">
        <f t="shared" si="40"/>
        <v>63815.16162282406</v>
      </c>
      <c r="FJ17" s="14">
        <f t="shared" si="40"/>
        <v>68819.285507499226</v>
      </c>
      <c r="FK17" s="14">
        <f t="shared" si="40"/>
        <v>74215.812313617746</v>
      </c>
      <c r="FL17" s="14">
        <f t="shared" si="40"/>
        <v>80035.512672823839</v>
      </c>
      <c r="FM17" s="14">
        <f t="shared" si="40"/>
        <v>86311.570123801983</v>
      </c>
      <c r="FN17" s="14">
        <f t="shared" si="40"/>
        <v>93079.770322575045</v>
      </c>
      <c r="FO17" s="14">
        <f t="shared" si="40"/>
        <v>100378.70508989975</v>
      </c>
      <c r="FP17" s="5">
        <f t="shared" si="22"/>
        <v>0.10480587721093068</v>
      </c>
    </row>
    <row r="18" spans="1:172">
      <c r="A18" s="32">
        <f t="shared" si="23"/>
        <v>8</v>
      </c>
      <c r="B18" s="2" t="s">
        <v>37</v>
      </c>
      <c r="C18" s="2" t="s">
        <v>36</v>
      </c>
      <c r="D18" s="14">
        <f>'GAS GROUP INPUT P1'!H18</f>
        <v>1.71</v>
      </c>
      <c r="E18" s="14">
        <f>'GAS GROUP INPUT P1'!I18</f>
        <v>1.83</v>
      </c>
      <c r="F18" s="9">
        <f t="shared" si="6"/>
        <v>4.0000000000000036E-2</v>
      </c>
      <c r="G18" s="14">
        <f>'OCS-2.7'!D18</f>
        <v>41.51</v>
      </c>
      <c r="H18" s="14">
        <f t="shared" si="7"/>
        <v>1.71</v>
      </c>
      <c r="I18" s="14">
        <f t="shared" si="8"/>
        <v>1.75</v>
      </c>
      <c r="J18" s="18">
        <f t="shared" si="9"/>
        <v>1.79</v>
      </c>
      <c r="K18" s="7">
        <f t="shared" si="10"/>
        <v>1.83</v>
      </c>
      <c r="L18" s="14">
        <f t="shared" si="11"/>
        <v>1.9018602320394966</v>
      </c>
      <c r="M18" s="11">
        <f>'OCS-2.6'!Q18</f>
        <v>3.9267886360380679E-2</v>
      </c>
      <c r="N18" s="11">
        <f t="shared" si="12"/>
        <v>7.8529168867517041E-2</v>
      </c>
      <c r="O18" s="11">
        <f t="shared" si="34"/>
        <v>7.8529168867517041E-2</v>
      </c>
      <c r="T18" s="2" t="s">
        <v>37</v>
      </c>
      <c r="U18" s="14">
        <f t="shared" si="14"/>
        <v>-41.51</v>
      </c>
      <c r="V18" s="14">
        <f t="shared" si="15"/>
        <v>1.71</v>
      </c>
      <c r="W18" s="14">
        <f t="shared" si="16"/>
        <v>1.75</v>
      </c>
      <c r="X18" s="18">
        <f t="shared" si="17"/>
        <v>1.79</v>
      </c>
      <c r="Y18" s="18">
        <f t="shared" si="18"/>
        <v>1.83</v>
      </c>
      <c r="Z18" s="14">
        <f>(1+$M$18)*Y18</f>
        <v>1.9018602320394966</v>
      </c>
      <c r="AA18" s="14">
        <f t="shared" ref="AA18:CL18" si="41">(1+$M$18)*Z18</f>
        <v>1.9765422635045506</v>
      </c>
      <c r="AB18" s="14">
        <f t="shared" si="41"/>
        <v>2.0541569004943367</v>
      </c>
      <c r="AC18" s="14">
        <f t="shared" si="41"/>
        <v>2.1348193002293399</v>
      </c>
      <c r="AD18" s="14">
        <f t="shared" si="41"/>
        <v>2.2186491419106926</v>
      </c>
      <c r="AE18" s="14">
        <f t="shared" si="41"/>
        <v>2.3057708042887977</v>
      </c>
      <c r="AF18" s="14">
        <f t="shared" si="41"/>
        <v>2.3963135502046935</v>
      </c>
      <c r="AG18" s="14">
        <f t="shared" si="41"/>
        <v>2.4904117183779717</v>
      </c>
      <c r="AH18" s="14">
        <f t="shared" si="41"/>
        <v>2.5882049227257982</v>
      </c>
      <c r="AI18" s="14">
        <f t="shared" si="41"/>
        <v>2.6898382595087726</v>
      </c>
      <c r="AJ18" s="14">
        <f t="shared" si="41"/>
        <v>2.7954625226109671</v>
      </c>
      <c r="AK18" s="14">
        <f t="shared" si="41"/>
        <v>2.9052344272735575</v>
      </c>
      <c r="AL18" s="14">
        <f t="shared" si="41"/>
        <v>3.0193168426140011</v>
      </c>
      <c r="AM18" s="14">
        <f t="shared" si="41"/>
        <v>3.1378790332757509</v>
      </c>
      <c r="AN18" s="14">
        <f t="shared" si="41"/>
        <v>3.2610969105670442</v>
      </c>
      <c r="AO18" s="14">
        <f t="shared" si="41"/>
        <v>3.3891532934613791</v>
      </c>
      <c r="AP18" s="14">
        <f t="shared" si="41"/>
        <v>3.52223817984693</v>
      </c>
      <c r="AQ18" s="14">
        <f t="shared" si="41"/>
        <v>3.660549028427353</v>
      </c>
      <c r="AR18" s="14">
        <f t="shared" si="41"/>
        <v>3.8042910516922399</v>
      </c>
      <c r="AS18" s="14">
        <f t="shared" si="41"/>
        <v>3.9536775203919037</v>
      </c>
      <c r="AT18" s="14">
        <f t="shared" si="41"/>
        <v>4.1089300799682444</v>
      </c>
      <c r="AU18" s="14">
        <f t="shared" si="41"/>
        <v>4.2702790794111873</v>
      </c>
      <c r="AV18" s="14">
        <f t="shared" si="41"/>
        <v>4.4379639130286161</v>
      </c>
      <c r="AW18" s="14">
        <f t="shared" si="41"/>
        <v>4.6122333756368938</v>
      </c>
      <c r="AX18" s="14">
        <f t="shared" si="41"/>
        <v>4.7933460316989578</v>
      </c>
      <c r="AY18" s="14">
        <f t="shared" si="41"/>
        <v>4.9815705989576937</v>
      </c>
      <c r="AZ18" s="14">
        <f t="shared" si="41"/>
        <v>5.1771863471337776</v>
      </c>
      <c r="BA18" s="14">
        <f t="shared" si="41"/>
        <v>5.3804835122795405</v>
      </c>
      <c r="BB18" s="14">
        <f t="shared" si="41"/>
        <v>5.5917637274036345</v>
      </c>
      <c r="BC18" s="14">
        <f t="shared" si="41"/>
        <v>5.811340470005419</v>
      </c>
      <c r="BD18" s="14">
        <f t="shared" si="41"/>
        <v>6.0395395271830727</v>
      </c>
      <c r="BE18" s="14">
        <f t="shared" si="41"/>
        <v>6.2766994790055239</v>
      </c>
      <c r="BF18" s="14">
        <f t="shared" si="41"/>
        <v>6.523172200865373</v>
      </c>
      <c r="BG18" s="14">
        <f t="shared" si="41"/>
        <v>6.7793233855581478</v>
      </c>
      <c r="BH18" s="14">
        <f t="shared" si="41"/>
        <v>7.045533085862516</v>
      </c>
      <c r="BI18" s="14">
        <f t="shared" si="41"/>
        <v>7.3221962784264667</v>
      </c>
      <c r="BJ18" s="14">
        <f t="shared" si="41"/>
        <v>7.6097234497961193</v>
      </c>
      <c r="BK18" s="14">
        <f t="shared" si="41"/>
        <v>7.9085412054566362</v>
      </c>
      <c r="BL18" s="14">
        <f t="shared" si="41"/>
        <v>8.2190929027888942</v>
      </c>
      <c r="BM18" s="14">
        <f t="shared" si="41"/>
        <v>8.5418393088810198</v>
      </c>
      <c r="BN18" s="14">
        <f t="shared" si="41"/>
        <v>8.8772592841707922</v>
      </c>
      <c r="BO18" s="14">
        <f t="shared" si="41"/>
        <v>9.2258504929332439</v>
      </c>
      <c r="BP18" s="14">
        <f t="shared" si="41"/>
        <v>9.588130141667607</v>
      </c>
      <c r="BQ18" s="14">
        <f t="shared" si="41"/>
        <v>9.96463574647915</v>
      </c>
      <c r="BR18" s="14">
        <f t="shared" si="41"/>
        <v>10.355925930594479</v>
      </c>
      <c r="BS18" s="14">
        <f t="shared" si="41"/>
        <v>10.762581253193581</v>
      </c>
      <c r="BT18" s="14">
        <f t="shared" si="41"/>
        <v>11.185205070788349</v>
      </c>
      <c r="BU18" s="14">
        <f t="shared" si="41"/>
        <v>11.624424432425618</v>
      </c>
      <c r="BV18" s="14">
        <f t="shared" si="41"/>
        <v>12.080891010042938</v>
      </c>
      <c r="BW18" s="14">
        <f t="shared" si="41"/>
        <v>12.555282065357448</v>
      </c>
      <c r="BX18" s="14">
        <f t="shared" si="41"/>
        <v>13.048301454722429</v>
      </c>
      <c r="BY18" s="14">
        <f t="shared" si="41"/>
        <v>13.560680673442459</v>
      </c>
      <c r="BZ18" s="14">
        <f t="shared" si="41"/>
        <v>14.093179941096606</v>
      </c>
      <c r="CA18" s="14">
        <f t="shared" si="41"/>
        <v>14.646589329479983</v>
      </c>
      <c r="CB18" s="14">
        <f t="shared" si="41"/>
        <v>15.221729934837166</v>
      </c>
      <c r="CC18" s="14">
        <f t="shared" si="41"/>
        <v>15.819455096126754</v>
      </c>
      <c r="CD18" s="14">
        <f t="shared" si="41"/>
        <v>16.440651661124605</v>
      </c>
      <c r="CE18" s="14">
        <f t="shared" si="41"/>
        <v>17.086241302244247</v>
      </c>
      <c r="CF18" s="14">
        <f t="shared" si="41"/>
        <v>17.757181884026814</v>
      </c>
      <c r="CG18" s="14">
        <f t="shared" si="41"/>
        <v>18.454468884329387</v>
      </c>
      <c r="CH18" s="14">
        <f t="shared" si="41"/>
        <v>19.179136871320413</v>
      </c>
      <c r="CI18" s="14">
        <f t="shared" si="41"/>
        <v>19.932261038473609</v>
      </c>
      <c r="CJ18" s="14">
        <f t="shared" si="41"/>
        <v>20.714958799837831</v>
      </c>
      <c r="CK18" s="14">
        <f t="shared" si="41"/>
        <v>21.528391447949829</v>
      </c>
      <c r="CL18" s="14">
        <f t="shared" si="41"/>
        <v>22.373765876849713</v>
      </c>
      <c r="CM18" s="14">
        <f t="shared" ref="CM18:EX18" si="42">(1+$M$18)*CL18</f>
        <v>23.252336372755607</v>
      </c>
      <c r="CN18" s="14">
        <f t="shared" si="42"/>
        <v>24.165406475054318</v>
      </c>
      <c r="CO18" s="14">
        <f t="shared" si="42"/>
        <v>25.114330910369155</v>
      </c>
      <c r="CP18" s="14">
        <f t="shared" si="42"/>
        <v>26.100517602574524</v>
      </c>
      <c r="CQ18" s="14">
        <f t="shared" si="42"/>
        <v>27.125429761739532</v>
      </c>
      <c r="CR18" s="14">
        <f t="shared" si="42"/>
        <v>28.190588055100005</v>
      </c>
      <c r="CS18" s="14">
        <f t="shared" si="42"/>
        <v>29.297572863279974</v>
      </c>
      <c r="CT18" s="14">
        <f t="shared" si="42"/>
        <v>30.448026625110224</v>
      </c>
      <c r="CU18" s="14">
        <f t="shared" si="42"/>
        <v>31.643656274522893</v>
      </c>
      <c r="CV18" s="14">
        <f t="shared" si="42"/>
        <v>32.886235773137805</v>
      </c>
      <c r="CW18" s="14">
        <f t="shared" si="42"/>
        <v>34.177608742298062</v>
      </c>
      <c r="CX18" s="14">
        <f t="shared" si="42"/>
        <v>35.519691198460173</v>
      </c>
      <c r="CY18" s="14">
        <f t="shared" si="42"/>
        <v>36.914474395997118</v>
      </c>
      <c r="CZ18" s="14">
        <f t="shared" si="42"/>
        <v>38.364027781632309</v>
      </c>
      <c r="DA18" s="14">
        <f t="shared" si="42"/>
        <v>39.87050206488793</v>
      </c>
      <c r="DB18" s="14">
        <f t="shared" si="42"/>
        <v>41.436132409103266</v>
      </c>
      <c r="DC18" s="14">
        <f t="shared" si="42"/>
        <v>43.063241747757615</v>
      </c>
      <c r="DD18" s="14">
        <f t="shared" si="42"/>
        <v>44.754244231018156</v>
      </c>
      <c r="DE18" s="14">
        <f t="shared" si="42"/>
        <v>46.511648807626493</v>
      </c>
      <c r="DF18" s="14">
        <f t="shared" si="42"/>
        <v>48.338062947438303</v>
      </c>
      <c r="DG18" s="14">
        <f t="shared" si="42"/>
        <v>50.236196510139237</v>
      </c>
      <c r="DH18" s="14">
        <f t="shared" si="42"/>
        <v>52.208865765877135</v>
      </c>
      <c r="DI18" s="14">
        <f t="shared" si="42"/>
        <v>54.258997573775964</v>
      </c>
      <c r="DJ18" s="14">
        <f t="shared" si="42"/>
        <v>56.389633724531166</v>
      </c>
      <c r="DK18" s="14">
        <f t="shared" si="42"/>
        <v>58.603935453529537</v>
      </c>
      <c r="DL18" s="14">
        <f t="shared" si="42"/>
        <v>60.905188131189817</v>
      </c>
      <c r="DM18" s="14">
        <f t="shared" si="42"/>
        <v>63.296806137482982</v>
      </c>
      <c r="DN18" s="14">
        <f t="shared" si="42"/>
        <v>65.782337927864702</v>
      </c>
      <c r="DO18" s="14">
        <f t="shared" si="42"/>
        <v>68.365471298136242</v>
      </c>
      <c r="DP18" s="14">
        <f t="shared" si="42"/>
        <v>71.050038856045319</v>
      </c>
      <c r="DQ18" s="14">
        <f t="shared" si="42"/>
        <v>73.840023707745132</v>
      </c>
      <c r="DR18" s="14">
        <f t="shared" si="42"/>
        <v>76.739565367548678</v>
      </c>
      <c r="DS18" s="14">
        <f t="shared" si="42"/>
        <v>79.752965899746584</v>
      </c>
      <c r="DT18" s="14">
        <f t="shared" si="42"/>
        <v>82.884696301601139</v>
      </c>
      <c r="DU18" s="14">
        <f t="shared" si="42"/>
        <v>86.13940313698707</v>
      </c>
      <c r="DV18" s="14">
        <f t="shared" si="42"/>
        <v>89.52191543052129</v>
      </c>
      <c r="DW18" s="14">
        <f t="shared" si="42"/>
        <v>93.037251832410604</v>
      </c>
      <c r="DX18" s="14">
        <f t="shared" si="42"/>
        <v>96.690628064647811</v>
      </c>
      <c r="DY18" s="14">
        <f t="shared" si="42"/>
        <v>100.48746465960423</v>
      </c>
      <c r="DZ18" s="14">
        <f t="shared" si="42"/>
        <v>104.43339500250033</v>
      </c>
      <c r="EA18" s="14">
        <f t="shared" si="42"/>
        <v>108.53427368968725</v>
      </c>
      <c r="EB18" s="14">
        <f t="shared" si="42"/>
        <v>112.79618521514034</v>
      </c>
      <c r="EC18" s="14">
        <f t="shared" si="42"/>
        <v>117.22545299805292</v>
      </c>
      <c r="ED18" s="14">
        <f t="shared" si="42"/>
        <v>121.82864876492459</v>
      </c>
      <c r="EE18" s="14">
        <f t="shared" si="42"/>
        <v>126.61260230006437</v>
      </c>
      <c r="EF18" s="14">
        <f t="shared" si="42"/>
        <v>131.58441157897536</v>
      </c>
      <c r="EG18" s="14">
        <f t="shared" si="42"/>
        <v>136.75145329965611</v>
      </c>
      <c r="EH18" s="14">
        <f t="shared" si="42"/>
        <v>142.12139382744388</v>
      </c>
      <c r="EI18" s="14">
        <f t="shared" si="42"/>
        <v>147.70220056963885</v>
      </c>
      <c r="EJ18" s="14">
        <f t="shared" si="42"/>
        <v>153.50215379678556</v>
      </c>
      <c r="EK18" s="14">
        <f t="shared" si="42"/>
        <v>159.52985892815141</v>
      </c>
      <c r="EL18" s="14">
        <f t="shared" si="42"/>
        <v>165.7942592996296</v>
      </c>
      <c r="EM18" s="14">
        <f t="shared" si="42"/>
        <v>172.30464943301092</v>
      </c>
      <c r="EN18" s="14">
        <f t="shared" si="42"/>
        <v>179.07068882631162</v>
      </c>
      <c r="EO18" s="14">
        <f t="shared" si="42"/>
        <v>186.10241628561829</v>
      </c>
      <c r="EP18" s="14">
        <f t="shared" si="42"/>
        <v>193.4102648197142</v>
      </c>
      <c r="EQ18" s="14">
        <f t="shared" si="42"/>
        <v>201.00507711958585</v>
      </c>
      <c r="ER18" s="14">
        <f t="shared" si="42"/>
        <v>208.89812164577728</v>
      </c>
      <c r="ES18" s="14">
        <f t="shared" si="42"/>
        <v>217.10110934746064</v>
      </c>
      <c r="ET18" s="14">
        <f t="shared" si="42"/>
        <v>225.62621103802928</v>
      </c>
      <c r="EU18" s="14">
        <f t="shared" si="42"/>
        <v>234.48607545299387</v>
      </c>
      <c r="EV18" s="14">
        <f t="shared" si="42"/>
        <v>243.69384801697367</v>
      </c>
      <c r="EW18" s="14">
        <f t="shared" si="42"/>
        <v>253.26319034762807</v>
      </c>
      <c r="EX18" s="14">
        <f t="shared" si="42"/>
        <v>263.20830052546614</v>
      </c>
      <c r="EY18" s="14">
        <f t="shared" ref="EY18:FO18" si="43">(1+$M$18)*EX18</f>
        <v>273.54393415960902</v>
      </c>
      <c r="EZ18" s="14">
        <f t="shared" si="43"/>
        <v>284.28542628075996</v>
      </c>
      <c r="FA18" s="14">
        <f t="shared" si="43"/>
        <v>295.44871409386519</v>
      </c>
      <c r="FB18" s="14">
        <f t="shared" si="43"/>
        <v>307.05036062422369</v>
      </c>
      <c r="FC18" s="14">
        <f t="shared" si="43"/>
        <v>319.10757929212957</v>
      </c>
      <c r="FD18" s="14">
        <f t="shared" si="43"/>
        <v>331.63825945250903</v>
      </c>
      <c r="FE18" s="14">
        <f t="shared" si="43"/>
        <v>344.66099293744458</v>
      </c>
      <c r="FF18" s="14">
        <f t="shared" si="43"/>
        <v>358.19510164096806</v>
      </c>
      <c r="FG18" s="14">
        <f t="shared" si="43"/>
        <v>372.26066618705056</v>
      </c>
      <c r="FH18" s="14">
        <f t="shared" si="43"/>
        <v>386.87855572332325</v>
      </c>
      <c r="FI18" s="14">
        <f t="shared" si="43"/>
        <v>402.07045888473488</v>
      </c>
      <c r="FJ18" s="14">
        <f t="shared" si="43"/>
        <v>417.85891597308671</v>
      </c>
      <c r="FK18" s="14">
        <f t="shared" si="43"/>
        <v>434.26735240018968</v>
      </c>
      <c r="FL18" s="14">
        <f t="shared" si="43"/>
        <v>451.32011344426365</v>
      </c>
      <c r="FM18" s="14">
        <f t="shared" si="43"/>
        <v>469.04250037114707</v>
      </c>
      <c r="FN18" s="14">
        <f t="shared" si="43"/>
        <v>487.46080797391005</v>
      </c>
      <c r="FO18" s="14">
        <f t="shared" si="43"/>
        <v>506.60236358656886</v>
      </c>
      <c r="FP18" s="5">
        <f t="shared" si="22"/>
        <v>7.8529168867517041E-2</v>
      </c>
    </row>
    <row r="19" spans="1:172" ht="21">
      <c r="A19" s="32">
        <f t="shared" si="23"/>
        <v>9</v>
      </c>
      <c r="B19" s="2" t="s">
        <v>109</v>
      </c>
      <c r="C19" s="2"/>
      <c r="D19" s="14">
        <f>AVERAGE(D11:D18)</f>
        <v>1.6475</v>
      </c>
      <c r="E19" s="14">
        <f>AVERAGE(E11:E18)</f>
        <v>1.85625</v>
      </c>
      <c r="F19" s="9">
        <f>AVERAGE(F11:F18)</f>
        <v>6.9583333333333344E-2</v>
      </c>
      <c r="G19" s="14">
        <f>AVERAGE(G11:G18)</f>
        <v>43.737499999999997</v>
      </c>
      <c r="H19" s="14">
        <f>AVERAGE(H11:H18)</f>
        <v>1.6475</v>
      </c>
      <c r="I19" s="14">
        <f t="shared" si="8"/>
        <v>1.7170833333333333</v>
      </c>
      <c r="J19" s="18">
        <f t="shared" si="9"/>
        <v>1.7866666666666666</v>
      </c>
      <c r="K19" s="7">
        <f t="shared" si="10"/>
        <v>1.85625</v>
      </c>
      <c r="L19" s="14">
        <f>AVERAGE(L11:L18)</f>
        <v>1.9669584356189573</v>
      </c>
      <c r="M19" s="11">
        <f>AVERAGE(M11:M18)</f>
        <v>5.8249384897628258E-2</v>
      </c>
      <c r="N19" s="11">
        <f>AVERAGE(N11:N18)</f>
        <v>9.412110710968348E-2</v>
      </c>
      <c r="O19" s="55">
        <f>AVERAGE(O11:O18)</f>
        <v>9.412110710968348E-2</v>
      </c>
      <c r="T19" s="2" t="s">
        <v>109</v>
      </c>
      <c r="Z19" s="14">
        <f>AVERAGE(Z11:Z18)</f>
        <v>1.9669584356189573</v>
      </c>
      <c r="FP19" s="5">
        <f>AVERAGE(FP11:FP18)</f>
        <v>9.412110710968348E-2</v>
      </c>
    </row>
    <row r="20" spans="1:172" ht="21">
      <c r="A20" s="32">
        <f t="shared" si="23"/>
        <v>10</v>
      </c>
      <c r="B20" s="2" t="s">
        <v>211</v>
      </c>
      <c r="D20" s="14">
        <f t="shared" ref="D20:O20" si="44">MEDIAN(D11:D18)</f>
        <v>1.6749999999999998</v>
      </c>
      <c r="E20" s="14">
        <f t="shared" si="44"/>
        <v>1.7749999999999999</v>
      </c>
      <c r="F20" s="14">
        <f t="shared" si="44"/>
        <v>4.1666666666666671E-2</v>
      </c>
      <c r="G20" s="14">
        <f t="shared" si="44"/>
        <v>42.314166666666665</v>
      </c>
      <c r="H20" s="14">
        <f t="shared" si="44"/>
        <v>1.6749999999999998</v>
      </c>
      <c r="I20" s="14">
        <f t="shared" si="44"/>
        <v>1.7083333333333333</v>
      </c>
      <c r="J20" s="14">
        <f t="shared" si="44"/>
        <v>1.7416666666666667</v>
      </c>
      <c r="K20" s="7">
        <f t="shared" si="44"/>
        <v>1.7749999999999999</v>
      </c>
      <c r="L20" s="14">
        <f t="shared" si="44"/>
        <v>1.8617366014600689</v>
      </c>
      <c r="M20" s="5">
        <f t="shared" si="44"/>
        <v>5.0245327850323998E-2</v>
      </c>
      <c r="N20" s="5">
        <f t="shared" si="44"/>
        <v>8.9898093499063775E-2</v>
      </c>
      <c r="O20" s="58">
        <f t="shared" si="44"/>
        <v>8.9898093499063775E-2</v>
      </c>
    </row>
    <row r="22" spans="1:172">
      <c r="B22" s="40" t="s">
        <v>227</v>
      </c>
    </row>
    <row r="23" spans="1:172">
      <c r="B23" s="40" t="s">
        <v>328</v>
      </c>
    </row>
    <row r="24" spans="1:172">
      <c r="B24" s="40" t="s">
        <v>245</v>
      </c>
    </row>
    <row r="25" spans="1:172">
      <c r="B25" s="40" t="s">
        <v>329</v>
      </c>
    </row>
    <row r="26" spans="1:172">
      <c r="B26" s="40" t="s">
        <v>246</v>
      </c>
    </row>
    <row r="27" spans="1:172">
      <c r="B27" s="40" t="s">
        <v>247</v>
      </c>
    </row>
    <row r="28" spans="1:172">
      <c r="B28" s="40" t="s">
        <v>248</v>
      </c>
    </row>
    <row r="29" spans="1:172">
      <c r="B29" s="40" t="s">
        <v>249</v>
      </c>
    </row>
    <row r="30" spans="1:172">
      <c r="B30" s="40" t="s">
        <v>250</v>
      </c>
    </row>
    <row r="31" spans="1:172">
      <c r="B31" s="40" t="s">
        <v>330</v>
      </c>
    </row>
    <row r="32" spans="1:172">
      <c r="B32" s="40" t="s">
        <v>251</v>
      </c>
    </row>
    <row r="33" spans="2:2">
      <c r="B33" s="40" t="s">
        <v>287</v>
      </c>
    </row>
  </sheetData>
  <mergeCells count="3">
    <mergeCell ref="B3:O3"/>
    <mergeCell ref="B4:O4"/>
    <mergeCell ref="B5:O5"/>
  </mergeCells>
  <phoneticPr fontId="5" type="noConversion"/>
  <pageMargins left="0.75" right="0.75" top="1" bottom="1" header="0.5" footer="0.5"/>
  <pageSetup scale="62" orientation="landscape" horizontalDpi="4294967292" verticalDpi="4294967292"/>
  <headerFooter>
    <oddHeader>&amp;R&amp;"Calibri,Regular"&amp;K000000Exhibit  OCS 2.8_x000D_Page 1 0f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S1"/>
  <sheetViews>
    <sheetView workbookViewId="0">
      <selection activeCell="I27" sqref="I27"/>
    </sheetView>
  </sheetViews>
  <sheetFormatPr defaultColWidth="11" defaultRowHeight="15.75"/>
  <cols>
    <col min="1" max="1" width="5" customWidth="1"/>
    <col min="2" max="2" width="33.625" customWidth="1"/>
    <col min="18" max="18" width="4.5" customWidth="1"/>
    <col min="19" max="19" width="10.875" hidden="1" customWidth="1"/>
    <col min="20" max="20" width="29" customWidth="1"/>
    <col min="171" max="171" width="14" customWidth="1"/>
  </cols>
  <sheetData/>
  <phoneticPr fontId="5" type="noConversion"/>
  <pageMargins left="0.75" right="0.75" top="1" bottom="1" header="0.5" footer="0.5"/>
  <pageSetup scale="63" orientation="landscape" horizontalDpi="4294967292" verticalDpi="4294967292"/>
  <headerFooter>
    <oddHeader>&amp;R&amp;"Calibri,Regular"&amp;K000000Exhibit___x000D_Schedule (DJL-8)_x000D_Page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T14"/>
  <sheetViews>
    <sheetView workbookViewId="0">
      <selection activeCell="I29" sqref="I29"/>
    </sheetView>
  </sheetViews>
  <sheetFormatPr defaultColWidth="11" defaultRowHeight="15.75"/>
  <cols>
    <col min="1" max="1" width="5" customWidth="1"/>
    <col min="2" max="2" width="35.875" customWidth="1"/>
    <col min="16" max="17" width="10.875" style="32"/>
    <col min="19" max="19" width="1.875" customWidth="1"/>
    <col min="20" max="20" width="10.875" hidden="1" customWidth="1"/>
    <col min="21" max="21" width="38" customWidth="1"/>
    <col min="170" max="170" width="15.375" customWidth="1"/>
    <col min="171" max="171" width="14.5" customWidth="1"/>
    <col min="172" max="172" width="14" customWidth="1"/>
  </cols>
  <sheetData>
    <row r="1" spans="4:12">
      <c r="D1" s="9"/>
      <c r="E1" s="9"/>
      <c r="F1" s="9"/>
      <c r="G1" s="9"/>
      <c r="H1" s="9"/>
      <c r="I1" s="9"/>
      <c r="J1" s="9"/>
      <c r="K1" s="9"/>
      <c r="L1" s="9"/>
    </row>
    <row r="2" spans="4:12">
      <c r="D2" s="9"/>
      <c r="E2" s="9"/>
      <c r="F2" s="9"/>
      <c r="G2" s="9"/>
      <c r="H2" s="9"/>
      <c r="I2" s="9"/>
      <c r="J2" s="9"/>
      <c r="K2" s="9"/>
      <c r="L2" s="9"/>
    </row>
    <row r="3" spans="4:12">
      <c r="D3" s="9"/>
      <c r="E3" s="9"/>
      <c r="F3" s="9"/>
      <c r="G3" s="9"/>
      <c r="H3" s="9"/>
      <c r="I3" s="9"/>
      <c r="J3" s="9"/>
      <c r="K3" s="9"/>
      <c r="L3" s="9"/>
    </row>
    <row r="4" spans="4:12">
      <c r="D4" s="9"/>
      <c r="E4" s="9"/>
      <c r="F4" s="9"/>
      <c r="G4" s="9"/>
      <c r="H4" s="9"/>
      <c r="I4" s="9"/>
      <c r="J4" s="9"/>
      <c r="K4" s="9"/>
      <c r="L4" s="9"/>
    </row>
    <row r="5" spans="4:12">
      <c r="D5" s="9"/>
      <c r="E5" s="9"/>
      <c r="F5" s="9"/>
      <c r="G5" s="9"/>
      <c r="H5" s="9"/>
      <c r="I5" s="9"/>
      <c r="J5" s="9"/>
      <c r="K5" s="9"/>
      <c r="L5" s="9"/>
    </row>
    <row r="6" spans="4:12">
      <c r="D6" s="9"/>
      <c r="E6" s="9"/>
      <c r="F6" s="9"/>
      <c r="G6" s="9"/>
      <c r="H6" s="9"/>
      <c r="I6" s="9"/>
      <c r="J6" s="9"/>
      <c r="K6" s="9"/>
      <c r="L6" s="9"/>
    </row>
    <row r="7" spans="4:12">
      <c r="D7" s="9"/>
      <c r="E7" s="9"/>
      <c r="F7" s="9"/>
      <c r="G7" s="9"/>
      <c r="H7" s="9"/>
      <c r="I7" s="9"/>
      <c r="J7" s="9"/>
      <c r="K7" s="9"/>
      <c r="L7" s="9"/>
    </row>
    <row r="8" spans="4:12">
      <c r="D8" s="9"/>
      <c r="E8" s="9"/>
      <c r="F8" s="9"/>
      <c r="G8" s="9"/>
      <c r="H8" s="9"/>
      <c r="I8" s="9"/>
      <c r="J8" s="9"/>
      <c r="K8" s="9"/>
      <c r="L8" s="9"/>
    </row>
    <row r="9" spans="4:12">
      <c r="D9" s="9"/>
      <c r="E9" s="9"/>
      <c r="F9" s="9"/>
      <c r="G9" s="9"/>
      <c r="H9" s="9"/>
      <c r="I9" s="9"/>
      <c r="J9" s="9"/>
      <c r="K9" s="9"/>
      <c r="L9" s="9"/>
    </row>
    <row r="10" spans="4:12">
      <c r="D10" s="9"/>
      <c r="E10" s="9"/>
      <c r="F10" s="9"/>
      <c r="G10" s="9"/>
      <c r="H10" s="9"/>
      <c r="I10" s="9"/>
      <c r="J10" s="9"/>
      <c r="K10" s="9"/>
      <c r="L10" s="9"/>
    </row>
    <row r="11" spans="4:12">
      <c r="D11" s="9"/>
      <c r="E11" s="9"/>
      <c r="F11" s="9"/>
      <c r="G11" s="9"/>
      <c r="H11" s="9"/>
      <c r="I11" s="9"/>
      <c r="J11" s="9"/>
      <c r="K11" s="9"/>
      <c r="L11" s="9"/>
    </row>
    <row r="12" spans="4:12">
      <c r="D12" s="9"/>
      <c r="E12" s="9"/>
      <c r="F12" s="9"/>
      <c r="G12" s="9"/>
      <c r="H12" s="9"/>
      <c r="I12" s="9"/>
      <c r="J12" s="9"/>
      <c r="K12" s="9"/>
      <c r="L12" s="9"/>
    </row>
    <row r="13" spans="4:12">
      <c r="D13" s="9"/>
      <c r="E13" s="9"/>
      <c r="F13" s="9"/>
      <c r="G13" s="9"/>
      <c r="H13" s="9"/>
      <c r="I13" s="9"/>
      <c r="J13" s="9"/>
      <c r="K13" s="9"/>
      <c r="L13" s="9"/>
    </row>
    <row r="14" spans="4:12">
      <c r="D14" s="9"/>
      <c r="E14" s="9"/>
      <c r="F14" s="9"/>
      <c r="G14" s="9"/>
      <c r="H14" s="9"/>
      <c r="I14" s="9"/>
      <c r="J14" s="9"/>
      <c r="K14" s="9"/>
      <c r="L14" s="9"/>
    </row>
  </sheetData>
  <phoneticPr fontId="5" type="noConversion"/>
  <pageMargins left="0.75" right="0.75" top="1" bottom="1" header="0.5" footer="0.5"/>
  <pageSetup scale="56" orientation="landscape" horizontalDpi="4294967292" verticalDpi="4294967292"/>
  <headerFooter>
    <oddHeader>&amp;R&amp;"Calibri,Regular"&amp;K000000Exhibit___x000D_Scedule (DJL-8)_x000D_Page 2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U67"/>
  <sheetViews>
    <sheetView topLeftCell="A29" workbookViewId="0">
      <selection sqref="A1:H65"/>
    </sheetView>
  </sheetViews>
  <sheetFormatPr defaultColWidth="11" defaultRowHeight="15.75"/>
  <cols>
    <col min="1" max="1" width="24.5" customWidth="1"/>
    <col min="2" max="2" width="9.375" customWidth="1"/>
    <col min="3" max="3" width="22.125" customWidth="1"/>
    <col min="4" max="4" width="12.375" customWidth="1"/>
    <col min="5" max="5" width="20.375" bestFit="1" customWidth="1"/>
    <col min="6" max="6" width="12.5" customWidth="1"/>
    <col min="7" max="7" width="13" customWidth="1"/>
    <col min="10" max="10" width="12.125" customWidth="1"/>
    <col min="13" max="13" width="20.375" bestFit="1" customWidth="1"/>
  </cols>
  <sheetData>
    <row r="4" spans="1:21" ht="21">
      <c r="A4" s="81" t="s">
        <v>298</v>
      </c>
      <c r="B4" s="81"/>
      <c r="C4" s="81"/>
      <c r="D4" s="81"/>
      <c r="E4" s="81"/>
      <c r="F4" s="81"/>
      <c r="G4" s="81"/>
      <c r="H4" s="81"/>
      <c r="I4" s="67"/>
      <c r="J4" s="67"/>
      <c r="K4" s="67"/>
      <c r="L4" s="67"/>
      <c r="M4" s="67"/>
      <c r="N4" s="67"/>
    </row>
    <row r="5" spans="1:21" ht="21">
      <c r="A5" s="81" t="s">
        <v>299</v>
      </c>
      <c r="B5" s="81"/>
      <c r="C5" s="81"/>
      <c r="D5" s="81"/>
      <c r="E5" s="81"/>
      <c r="F5" s="81"/>
      <c r="G5" s="81"/>
      <c r="H5" s="81"/>
      <c r="I5" s="67"/>
      <c r="J5" s="67"/>
      <c r="K5" s="67"/>
      <c r="L5" s="67"/>
      <c r="M5" s="67"/>
      <c r="N5" s="67"/>
    </row>
    <row r="6" spans="1:21" ht="21">
      <c r="A6" s="80" t="s">
        <v>193</v>
      </c>
      <c r="B6" s="80"/>
      <c r="C6" s="80"/>
      <c r="D6" s="80"/>
      <c r="E6" s="80"/>
      <c r="F6" s="80"/>
      <c r="G6" s="80"/>
      <c r="H6" s="80"/>
      <c r="I6" s="15"/>
      <c r="J6" s="25"/>
      <c r="K6" s="25"/>
      <c r="L6" s="25"/>
    </row>
    <row r="7" spans="1:21" ht="21">
      <c r="A7" s="80" t="s">
        <v>301</v>
      </c>
      <c r="B7" s="80"/>
      <c r="C7" s="80"/>
      <c r="D7" s="80"/>
      <c r="E7" s="80"/>
      <c r="F7" s="80"/>
      <c r="G7" s="80"/>
      <c r="H7" s="80"/>
      <c r="I7" s="15"/>
    </row>
    <row r="9" spans="1:21" ht="21">
      <c r="B9" s="30"/>
      <c r="C9" s="30" t="s">
        <v>56</v>
      </c>
      <c r="D9" s="30" t="s">
        <v>57</v>
      </c>
      <c r="E9" s="30" t="s">
        <v>58</v>
      </c>
      <c r="F9" s="30" t="s">
        <v>8</v>
      </c>
      <c r="G9" s="30" t="s">
        <v>59</v>
      </c>
      <c r="H9" s="30" t="s">
        <v>60</v>
      </c>
    </row>
    <row r="10" spans="1:21" ht="47.25">
      <c r="A10" t="s">
        <v>194</v>
      </c>
      <c r="B10" s="13"/>
      <c r="C10" s="13" t="s">
        <v>195</v>
      </c>
      <c r="D10" s="13" t="s">
        <v>198</v>
      </c>
      <c r="E10" s="13" t="s">
        <v>196</v>
      </c>
      <c r="F10" s="13" t="s">
        <v>197</v>
      </c>
      <c r="G10" s="13" t="s">
        <v>198</v>
      </c>
      <c r="H10" s="13" t="s">
        <v>196</v>
      </c>
      <c r="I10" s="13"/>
      <c r="J10" s="13"/>
      <c r="K10" s="13"/>
      <c r="P10" s="13"/>
      <c r="Q10" s="13"/>
      <c r="R10" s="13"/>
      <c r="S10" s="13"/>
      <c r="T10" s="13"/>
      <c r="U10" s="13"/>
    </row>
    <row r="11" spans="1:21">
      <c r="A11">
        <v>1980</v>
      </c>
      <c r="B11" s="5"/>
      <c r="C11" s="5">
        <v>0.11269999999999999</v>
      </c>
      <c r="D11" s="5">
        <v>0.1401</v>
      </c>
      <c r="E11" s="5">
        <f>D11-C11</f>
        <v>2.7400000000000008E-2</v>
      </c>
      <c r="F11" s="5">
        <v>0.13669999999999999</v>
      </c>
      <c r="G11" s="5">
        <f>D11</f>
        <v>0.1401</v>
      </c>
      <c r="H11" s="5">
        <f>G11-F11</f>
        <v>3.4000000000000141E-3</v>
      </c>
      <c r="I11" s="11"/>
      <c r="J11" s="11"/>
      <c r="K11" s="11"/>
      <c r="M11" s="5"/>
      <c r="N11" s="5"/>
    </row>
    <row r="12" spans="1:21">
      <c r="A12">
        <f>A11+1</f>
        <v>1981</v>
      </c>
      <c r="B12" s="5"/>
      <c r="C12" s="5">
        <v>0.13450000000000001</v>
      </c>
      <c r="D12" s="5">
        <v>0.1497</v>
      </c>
      <c r="E12" s="5">
        <f t="shared" ref="E12:E43" si="0">D12-C12</f>
        <v>1.5199999999999991E-2</v>
      </c>
      <c r="F12" s="5">
        <v>0.16039999999999999</v>
      </c>
      <c r="G12" s="5">
        <f t="shared" ref="G12:G43" si="1">D12</f>
        <v>0.1497</v>
      </c>
      <c r="H12" s="5">
        <f t="shared" ref="H12:H43" si="2">G12-F12</f>
        <v>-1.0699999999999987E-2</v>
      </c>
      <c r="I12" s="11"/>
      <c r="J12" s="11"/>
      <c r="K12" s="11"/>
      <c r="M12" s="5"/>
      <c r="N12" s="5"/>
    </row>
    <row r="13" spans="1:21">
      <c r="A13">
        <f t="shared" ref="A13:A43" si="3">A12+1</f>
        <v>1982</v>
      </c>
      <c r="B13" s="5"/>
      <c r="C13" s="5">
        <v>0.12759999999999999</v>
      </c>
      <c r="D13" s="5">
        <v>0.15629999999999999</v>
      </c>
      <c r="E13" s="5">
        <f t="shared" si="0"/>
        <v>2.8700000000000003E-2</v>
      </c>
      <c r="F13" s="5">
        <v>0.16109999999999999</v>
      </c>
      <c r="G13" s="5">
        <f t="shared" si="1"/>
        <v>0.15629999999999999</v>
      </c>
      <c r="H13" s="5">
        <f t="shared" si="2"/>
        <v>-4.7999999999999987E-3</v>
      </c>
      <c r="I13" s="11"/>
      <c r="J13" s="11"/>
      <c r="K13" s="11"/>
      <c r="M13" s="5"/>
      <c r="N13" s="5"/>
    </row>
    <row r="14" spans="1:21">
      <c r="A14">
        <f t="shared" si="3"/>
        <v>1983</v>
      </c>
      <c r="B14" s="5"/>
      <c r="C14" s="5">
        <v>0.1118</v>
      </c>
      <c r="D14" s="5">
        <v>0.15229999999999999</v>
      </c>
      <c r="E14" s="5">
        <f t="shared" si="0"/>
        <v>4.0499999999999994E-2</v>
      </c>
      <c r="F14" s="5">
        <v>0.13550000000000001</v>
      </c>
      <c r="G14" s="5">
        <f t="shared" si="1"/>
        <v>0.15229999999999999</v>
      </c>
      <c r="H14" s="5">
        <f t="shared" si="2"/>
        <v>1.6799999999999982E-2</v>
      </c>
      <c r="I14" s="11"/>
      <c r="J14" s="11"/>
      <c r="K14" s="11"/>
      <c r="M14" s="5"/>
      <c r="N14" s="5"/>
    </row>
    <row r="15" spans="1:21">
      <c r="A15">
        <f t="shared" si="3"/>
        <v>1984</v>
      </c>
      <c r="B15" s="5"/>
      <c r="C15" s="5">
        <v>0.1241</v>
      </c>
      <c r="D15" s="5">
        <v>0.15290000000000001</v>
      </c>
      <c r="E15" s="5">
        <f t="shared" si="0"/>
        <v>2.8800000000000006E-2</v>
      </c>
      <c r="F15" s="5">
        <v>0.1419</v>
      </c>
      <c r="G15" s="5">
        <f t="shared" si="1"/>
        <v>0.15290000000000001</v>
      </c>
      <c r="H15" s="5">
        <f t="shared" si="2"/>
        <v>1.100000000000001E-2</v>
      </c>
      <c r="I15" s="11"/>
      <c r="J15" s="11"/>
      <c r="K15" s="11"/>
      <c r="M15" s="5"/>
      <c r="N15" s="5"/>
    </row>
    <row r="16" spans="1:21">
      <c r="A16">
        <f t="shared" si="3"/>
        <v>1985</v>
      </c>
      <c r="B16" s="5"/>
      <c r="C16" s="5">
        <v>0.1079</v>
      </c>
      <c r="D16" s="5">
        <v>0.1489</v>
      </c>
      <c r="E16" s="5">
        <f t="shared" si="0"/>
        <v>4.1000000000000009E-2</v>
      </c>
      <c r="F16" s="5">
        <v>0.12720000000000001</v>
      </c>
      <c r="G16" s="5">
        <f t="shared" si="1"/>
        <v>0.1489</v>
      </c>
      <c r="H16" s="5">
        <f t="shared" si="2"/>
        <v>2.1699999999999997E-2</v>
      </c>
      <c r="I16" s="11"/>
      <c r="J16" s="11"/>
      <c r="K16" s="11"/>
      <c r="M16" s="5"/>
      <c r="N16" s="5"/>
    </row>
    <row r="17" spans="1:14">
      <c r="A17">
        <f t="shared" si="3"/>
        <v>1986</v>
      </c>
      <c r="B17" s="5"/>
      <c r="C17" s="5">
        <v>7.7799999999999994E-2</v>
      </c>
      <c r="D17" s="5">
        <v>0.1351</v>
      </c>
      <c r="E17" s="5">
        <f t="shared" si="0"/>
        <v>5.7300000000000004E-2</v>
      </c>
      <c r="F17" s="5">
        <v>0.10390000000000001</v>
      </c>
      <c r="G17" s="5">
        <f t="shared" si="1"/>
        <v>0.1351</v>
      </c>
      <c r="H17" s="5">
        <f t="shared" si="2"/>
        <v>3.1199999999999992E-2</v>
      </c>
      <c r="I17" s="11"/>
      <c r="J17" s="11"/>
      <c r="K17" s="11"/>
      <c r="M17" s="5"/>
      <c r="N17" s="5"/>
    </row>
    <row r="18" spans="1:14">
      <c r="A18">
        <f t="shared" si="3"/>
        <v>1987</v>
      </c>
      <c r="B18" s="5"/>
      <c r="C18" s="5">
        <v>8.5900000000000004E-2</v>
      </c>
      <c r="D18" s="5">
        <v>0.12759999999999999</v>
      </c>
      <c r="E18" s="5">
        <f t="shared" si="0"/>
        <v>4.1699999999999987E-2</v>
      </c>
      <c r="F18" s="5">
        <v>0.10580000000000001</v>
      </c>
      <c r="G18" s="5">
        <f t="shared" si="1"/>
        <v>0.12759999999999999</v>
      </c>
      <c r="H18" s="5">
        <f t="shared" si="2"/>
        <v>2.1799999999999986E-2</v>
      </c>
      <c r="I18" s="11"/>
      <c r="J18" s="11"/>
      <c r="K18" s="11"/>
      <c r="M18" s="5"/>
      <c r="N18" s="5"/>
    </row>
    <row r="19" spans="1:14">
      <c r="A19">
        <f t="shared" si="3"/>
        <v>1988</v>
      </c>
      <c r="B19" s="5"/>
      <c r="C19" s="5">
        <v>8.9599999999999999E-2</v>
      </c>
      <c r="D19" s="5">
        <v>0.128</v>
      </c>
      <c r="E19" s="5">
        <f t="shared" si="0"/>
        <v>3.8400000000000004E-2</v>
      </c>
      <c r="F19" s="5">
        <v>0.10829999999999999</v>
      </c>
      <c r="G19" s="5">
        <f t="shared" si="1"/>
        <v>0.128</v>
      </c>
      <c r="H19" s="5">
        <f t="shared" si="2"/>
        <v>1.9700000000000009E-2</v>
      </c>
      <c r="I19" s="11"/>
      <c r="J19" s="11"/>
      <c r="K19" s="11"/>
      <c r="M19" s="5"/>
      <c r="N19" s="5"/>
    </row>
    <row r="20" spans="1:14">
      <c r="A20">
        <f t="shared" si="3"/>
        <v>1989</v>
      </c>
      <c r="B20" s="5"/>
      <c r="C20" s="5">
        <v>8.4500000000000006E-2</v>
      </c>
      <c r="D20" s="5">
        <v>0.12939999999999999</v>
      </c>
      <c r="E20" s="5">
        <f t="shared" si="0"/>
        <v>4.4899999999999982E-2</v>
      </c>
      <c r="F20" s="5">
        <v>0.1018</v>
      </c>
      <c r="G20" s="5">
        <f t="shared" si="1"/>
        <v>0.12939999999999999</v>
      </c>
      <c r="H20" s="5">
        <f t="shared" si="2"/>
        <v>2.7599999999999986E-2</v>
      </c>
      <c r="I20" s="11"/>
      <c r="J20" s="11"/>
      <c r="K20" s="11"/>
      <c r="M20" s="5"/>
      <c r="N20" s="5"/>
    </row>
    <row r="21" spans="1:14">
      <c r="A21">
        <f t="shared" si="3"/>
        <v>1990</v>
      </c>
      <c r="B21" s="5"/>
      <c r="C21" s="5">
        <v>8.6099999999999996E-2</v>
      </c>
      <c r="D21" s="5">
        <v>0.12670000000000001</v>
      </c>
      <c r="E21" s="5">
        <f t="shared" si="0"/>
        <v>4.0600000000000011E-2</v>
      </c>
      <c r="F21" s="5">
        <v>0.1036</v>
      </c>
      <c r="G21" s="5">
        <f t="shared" si="1"/>
        <v>0.12670000000000001</v>
      </c>
      <c r="H21" s="5">
        <f t="shared" si="2"/>
        <v>2.3100000000000009E-2</v>
      </c>
      <c r="I21" s="11"/>
      <c r="J21" s="11"/>
      <c r="K21" s="11"/>
      <c r="M21" s="5"/>
      <c r="N21" s="5"/>
    </row>
    <row r="22" spans="1:14">
      <c r="A22">
        <f t="shared" si="3"/>
        <v>1991</v>
      </c>
      <c r="B22" s="5"/>
      <c r="C22" s="5">
        <v>8.14E-2</v>
      </c>
      <c r="D22" s="5">
        <v>0.1246</v>
      </c>
      <c r="E22" s="5">
        <f t="shared" si="0"/>
        <v>4.3200000000000002E-2</v>
      </c>
      <c r="F22" s="5">
        <v>9.8000000000000004E-2</v>
      </c>
      <c r="G22" s="5">
        <f t="shared" si="1"/>
        <v>0.1246</v>
      </c>
      <c r="H22" s="5">
        <f t="shared" si="2"/>
        <v>2.6599999999999999E-2</v>
      </c>
      <c r="I22" s="11"/>
      <c r="J22" s="11"/>
      <c r="K22" s="11"/>
      <c r="M22" s="5"/>
      <c r="N22" s="5"/>
    </row>
    <row r="23" spans="1:14">
      <c r="A23">
        <f t="shared" si="3"/>
        <v>1992</v>
      </c>
      <c r="B23" s="5"/>
      <c r="C23" s="5">
        <v>7.6700000000000004E-2</v>
      </c>
      <c r="D23" s="5">
        <v>0.1201</v>
      </c>
      <c r="E23" s="5">
        <f t="shared" si="0"/>
        <v>4.3399999999999994E-2</v>
      </c>
      <c r="F23" s="5">
        <v>8.9800000000000005E-2</v>
      </c>
      <c r="G23" s="5">
        <f t="shared" si="1"/>
        <v>0.1201</v>
      </c>
      <c r="H23" s="5">
        <f t="shared" si="2"/>
        <v>3.0299999999999994E-2</v>
      </c>
      <c r="I23" s="11"/>
      <c r="J23" s="11"/>
      <c r="K23" s="11"/>
      <c r="M23" s="5"/>
      <c r="N23" s="5"/>
    </row>
    <row r="24" spans="1:14">
      <c r="A24">
        <f t="shared" si="3"/>
        <v>1993</v>
      </c>
      <c r="B24" s="5"/>
      <c r="C24" s="5">
        <v>6.59E-2</v>
      </c>
      <c r="D24" s="5">
        <v>0.1135</v>
      </c>
      <c r="E24" s="5">
        <f t="shared" si="0"/>
        <v>4.7600000000000003E-2</v>
      </c>
      <c r="F24" s="5">
        <v>7.9299999999999995E-2</v>
      </c>
      <c r="G24" s="5">
        <f t="shared" si="1"/>
        <v>0.1135</v>
      </c>
      <c r="H24" s="5">
        <f t="shared" si="2"/>
        <v>3.4200000000000008E-2</v>
      </c>
      <c r="I24" s="11"/>
      <c r="J24" s="11"/>
      <c r="K24" s="11"/>
      <c r="M24" s="5"/>
      <c r="N24" s="5"/>
    </row>
    <row r="25" spans="1:14">
      <c r="A25">
        <f t="shared" si="3"/>
        <v>1994</v>
      </c>
      <c r="B25" s="5"/>
      <c r="C25" s="5">
        <v>7.3700000000000002E-2</v>
      </c>
      <c r="D25" s="5">
        <v>0.1135</v>
      </c>
      <c r="E25" s="5">
        <f t="shared" si="0"/>
        <v>3.9800000000000002E-2</v>
      </c>
      <c r="F25" s="5">
        <v>8.6300000000000002E-2</v>
      </c>
      <c r="G25" s="5">
        <f t="shared" si="1"/>
        <v>0.1135</v>
      </c>
      <c r="H25" s="5">
        <f t="shared" si="2"/>
        <v>2.7200000000000002E-2</v>
      </c>
      <c r="I25" s="11"/>
      <c r="J25" s="11"/>
      <c r="K25" s="11"/>
      <c r="M25" s="5"/>
      <c r="N25" s="5"/>
    </row>
    <row r="26" spans="1:14">
      <c r="A26">
        <f t="shared" si="3"/>
        <v>1995</v>
      </c>
      <c r="B26" s="5"/>
      <c r="C26" s="5">
        <v>6.88E-2</v>
      </c>
      <c r="D26" s="5">
        <v>0.1143</v>
      </c>
      <c r="E26" s="5">
        <f t="shared" si="0"/>
        <v>4.5499999999999999E-2</v>
      </c>
      <c r="F26" s="5">
        <v>8.2000000000000003E-2</v>
      </c>
      <c r="G26" s="5">
        <f t="shared" si="1"/>
        <v>0.1143</v>
      </c>
      <c r="H26" s="5">
        <f t="shared" si="2"/>
        <v>3.2299999999999995E-2</v>
      </c>
      <c r="I26" s="11"/>
      <c r="J26" s="11"/>
      <c r="K26" s="11"/>
      <c r="M26" s="5"/>
      <c r="N26" s="5"/>
    </row>
    <row r="27" spans="1:14">
      <c r="A27">
        <f t="shared" si="3"/>
        <v>1996</v>
      </c>
      <c r="B27" s="5"/>
      <c r="C27" s="5">
        <v>6.7100000000000007E-2</v>
      </c>
      <c r="D27" s="5">
        <v>0.1119</v>
      </c>
      <c r="E27" s="5">
        <f t="shared" si="0"/>
        <v>4.4799999999999993E-2</v>
      </c>
      <c r="F27" s="5">
        <v>8.0500000000000002E-2</v>
      </c>
      <c r="G27" s="5">
        <f t="shared" si="1"/>
        <v>0.1119</v>
      </c>
      <c r="H27" s="5">
        <f t="shared" si="2"/>
        <v>3.1399999999999997E-2</v>
      </c>
      <c r="I27" s="11"/>
      <c r="J27" s="11"/>
      <c r="K27" s="11"/>
      <c r="M27" s="5"/>
      <c r="N27" s="5"/>
    </row>
    <row r="28" spans="1:14">
      <c r="A28">
        <f t="shared" si="3"/>
        <v>1997</v>
      </c>
      <c r="B28" s="5"/>
      <c r="C28" s="5">
        <v>6.6100000000000006E-2</v>
      </c>
      <c r="D28" s="5">
        <v>0.1129</v>
      </c>
      <c r="E28" s="5">
        <f t="shared" si="0"/>
        <v>4.6799999999999994E-2</v>
      </c>
      <c r="F28" s="5">
        <v>7.8700000000000006E-2</v>
      </c>
      <c r="G28" s="5">
        <f t="shared" si="1"/>
        <v>0.1129</v>
      </c>
      <c r="H28" s="5">
        <f t="shared" si="2"/>
        <v>3.4199999999999994E-2</v>
      </c>
      <c r="I28" s="11"/>
      <c r="J28" s="11"/>
      <c r="K28" s="11"/>
      <c r="M28" s="5"/>
      <c r="N28" s="5"/>
    </row>
    <row r="29" spans="1:14">
      <c r="A29">
        <f t="shared" si="3"/>
        <v>1998</v>
      </c>
      <c r="B29" s="5"/>
      <c r="C29" s="5">
        <v>5.5800000000000002E-2</v>
      </c>
      <c r="D29" s="5">
        <v>0.11509999999999999</v>
      </c>
      <c r="E29" s="5">
        <f t="shared" si="0"/>
        <v>5.9299999999999992E-2</v>
      </c>
      <c r="F29" s="5">
        <v>7.22E-2</v>
      </c>
      <c r="G29" s="5">
        <f t="shared" si="1"/>
        <v>0.11509999999999999</v>
      </c>
      <c r="H29" s="5">
        <f t="shared" si="2"/>
        <v>4.2899999999999994E-2</v>
      </c>
      <c r="I29" s="11"/>
      <c r="J29" s="11"/>
      <c r="K29" s="11"/>
      <c r="M29" s="5"/>
      <c r="N29" s="5"/>
    </row>
    <row r="30" spans="1:14">
      <c r="A30">
        <f t="shared" si="3"/>
        <v>1999</v>
      </c>
      <c r="B30" s="5"/>
      <c r="C30" s="5">
        <v>5.8700000000000002E-2</v>
      </c>
      <c r="D30" s="5">
        <v>0.1066</v>
      </c>
      <c r="E30" s="5">
        <f t="shared" si="0"/>
        <v>4.7899999999999998E-2</v>
      </c>
      <c r="F30" s="5">
        <v>7.8799999999999995E-2</v>
      </c>
      <c r="G30" s="5">
        <f t="shared" si="1"/>
        <v>0.1066</v>
      </c>
      <c r="H30" s="5">
        <f t="shared" si="2"/>
        <v>2.7800000000000005E-2</v>
      </c>
      <c r="I30" s="11"/>
      <c r="J30" s="11"/>
      <c r="K30" s="11"/>
      <c r="M30" s="5"/>
      <c r="N30" s="5"/>
    </row>
    <row r="31" spans="1:14">
      <c r="A31">
        <f t="shared" si="3"/>
        <v>2000</v>
      </c>
      <c r="B31" s="5"/>
      <c r="C31" s="5">
        <v>5.9400000000000001E-2</v>
      </c>
      <c r="D31" s="5">
        <v>0.1139</v>
      </c>
      <c r="E31" s="5">
        <f t="shared" si="0"/>
        <v>5.45E-2</v>
      </c>
      <c r="F31" s="5">
        <v>8.3699999999999997E-2</v>
      </c>
      <c r="G31" s="5">
        <f t="shared" si="1"/>
        <v>0.1139</v>
      </c>
      <c r="H31" s="5">
        <f t="shared" si="2"/>
        <v>3.0200000000000005E-2</v>
      </c>
      <c r="I31" s="11"/>
      <c r="J31" s="11"/>
      <c r="K31" s="11"/>
      <c r="M31" s="5"/>
      <c r="N31" s="5"/>
    </row>
    <row r="32" spans="1:14">
      <c r="A32">
        <f t="shared" si="3"/>
        <v>2001</v>
      </c>
      <c r="B32" s="5"/>
      <c r="C32" s="5">
        <v>5.4899999999999997E-2</v>
      </c>
      <c r="D32" s="5">
        <v>0.1095</v>
      </c>
      <c r="E32" s="5">
        <f t="shared" si="0"/>
        <v>5.4600000000000003E-2</v>
      </c>
      <c r="F32" s="5">
        <v>7.9500000000000001E-2</v>
      </c>
      <c r="G32" s="5">
        <f t="shared" si="1"/>
        <v>0.1095</v>
      </c>
      <c r="H32" s="5">
        <f t="shared" si="2"/>
        <v>0.03</v>
      </c>
      <c r="I32" s="11"/>
      <c r="J32" s="11"/>
      <c r="K32" s="11"/>
      <c r="M32" s="5"/>
      <c r="N32" s="5"/>
    </row>
    <row r="33" spans="1:14">
      <c r="A33">
        <f t="shared" si="3"/>
        <v>2002</v>
      </c>
      <c r="B33" s="5"/>
      <c r="C33" s="5">
        <v>5.4300000000000001E-2</v>
      </c>
      <c r="D33" s="5">
        <v>0.1103</v>
      </c>
      <c r="E33" s="5">
        <f t="shared" si="0"/>
        <v>5.5999999999999994E-2</v>
      </c>
      <c r="F33" s="5">
        <v>7.8E-2</v>
      </c>
      <c r="G33" s="5">
        <f t="shared" si="1"/>
        <v>0.1103</v>
      </c>
      <c r="H33" s="5">
        <f t="shared" si="2"/>
        <v>3.2299999999999995E-2</v>
      </c>
      <c r="I33" s="11"/>
      <c r="J33" s="11"/>
      <c r="K33" s="11"/>
      <c r="M33" s="5"/>
      <c r="N33" s="5"/>
    </row>
    <row r="34" spans="1:14">
      <c r="A34">
        <f t="shared" si="3"/>
        <v>2003</v>
      </c>
      <c r="B34" s="5"/>
      <c r="C34" s="26">
        <v>5.04E-2</v>
      </c>
      <c r="D34" s="5">
        <v>0.1099</v>
      </c>
      <c r="E34" s="5">
        <f t="shared" si="0"/>
        <v>5.9499999999999997E-2</v>
      </c>
      <c r="F34" s="5">
        <v>6.7599999999999993E-2</v>
      </c>
      <c r="G34" s="5">
        <f t="shared" si="1"/>
        <v>0.1099</v>
      </c>
      <c r="H34" s="5">
        <f t="shared" si="2"/>
        <v>4.2300000000000004E-2</v>
      </c>
      <c r="I34" s="11"/>
      <c r="J34" s="11"/>
      <c r="K34" s="11"/>
      <c r="M34" s="5"/>
      <c r="N34" s="5"/>
    </row>
    <row r="35" spans="1:14">
      <c r="A35">
        <f t="shared" si="3"/>
        <v>2004</v>
      </c>
      <c r="B35" s="5"/>
      <c r="C35" s="26">
        <v>4.6399999999999997E-2</v>
      </c>
      <c r="D35" s="5">
        <v>0.10589999999999999</v>
      </c>
      <c r="E35" s="5">
        <f t="shared" si="0"/>
        <v>5.9499999999999997E-2</v>
      </c>
      <c r="F35" s="5">
        <v>6.3899999999999998E-2</v>
      </c>
      <c r="G35" s="5">
        <f t="shared" si="1"/>
        <v>0.10589999999999999</v>
      </c>
      <c r="H35" s="5">
        <f t="shared" si="2"/>
        <v>4.1999999999999996E-2</v>
      </c>
      <c r="I35" s="11"/>
      <c r="J35" s="11"/>
      <c r="K35" s="11"/>
      <c r="M35" s="5"/>
      <c r="N35" s="5"/>
    </row>
    <row r="36" spans="1:14">
      <c r="A36">
        <f t="shared" si="3"/>
        <v>2005</v>
      </c>
      <c r="B36" s="5"/>
      <c r="C36" s="26">
        <v>0.05</v>
      </c>
      <c r="D36" s="5">
        <v>0.1046</v>
      </c>
      <c r="E36" s="5">
        <f t="shared" si="0"/>
        <v>5.4599999999999996E-2</v>
      </c>
      <c r="F36" s="5">
        <v>6.0600000000000001E-2</v>
      </c>
      <c r="G36" s="5">
        <f t="shared" si="1"/>
        <v>0.1046</v>
      </c>
      <c r="H36" s="5">
        <f t="shared" si="2"/>
        <v>4.3999999999999997E-2</v>
      </c>
      <c r="I36" s="11"/>
      <c r="J36" s="11"/>
      <c r="K36" s="11"/>
      <c r="M36" s="5"/>
      <c r="N36" s="5"/>
    </row>
    <row r="37" spans="1:14">
      <c r="A37">
        <f t="shared" si="3"/>
        <v>2006</v>
      </c>
      <c r="B37" s="5"/>
      <c r="C37" s="5">
        <v>4.9099999999999998E-2</v>
      </c>
      <c r="D37" s="5">
        <v>0.1043</v>
      </c>
      <c r="E37" s="5">
        <f t="shared" si="0"/>
        <v>5.5200000000000006E-2</v>
      </c>
      <c r="F37" s="5">
        <v>6.4799999999999996E-2</v>
      </c>
      <c r="G37" s="5">
        <f t="shared" si="1"/>
        <v>0.1043</v>
      </c>
      <c r="H37" s="5">
        <f t="shared" si="2"/>
        <v>3.9500000000000007E-2</v>
      </c>
      <c r="I37" s="11"/>
      <c r="J37" s="11"/>
      <c r="K37" s="11"/>
      <c r="M37" s="5"/>
      <c r="N37" s="5"/>
    </row>
    <row r="38" spans="1:14">
      <c r="A38">
        <f t="shared" si="3"/>
        <v>2007</v>
      </c>
      <c r="B38" s="5"/>
      <c r="C38" s="5">
        <v>4.8399999999999999E-2</v>
      </c>
      <c r="D38" s="5">
        <v>0.1024</v>
      </c>
      <c r="E38" s="5">
        <f t="shared" si="0"/>
        <v>5.4000000000000006E-2</v>
      </c>
      <c r="F38" s="5">
        <v>6.4799999999999996E-2</v>
      </c>
      <c r="G38" s="5">
        <f t="shared" si="1"/>
        <v>0.1024</v>
      </c>
      <c r="H38" s="5">
        <f t="shared" si="2"/>
        <v>3.7600000000000008E-2</v>
      </c>
      <c r="I38" s="11"/>
      <c r="J38" s="11"/>
      <c r="K38" s="11"/>
      <c r="M38" s="5"/>
      <c r="N38" s="5"/>
    </row>
    <row r="39" spans="1:14">
      <c r="A39">
        <f t="shared" si="3"/>
        <v>2008</v>
      </c>
      <c r="B39" s="5"/>
      <c r="C39" s="5">
        <v>4.2799999999999998E-2</v>
      </c>
      <c r="D39" s="5">
        <v>0.1037</v>
      </c>
      <c r="E39" s="5">
        <f t="shared" si="0"/>
        <v>6.0900000000000003E-2</v>
      </c>
      <c r="F39" s="5">
        <v>7.4399999999999994E-2</v>
      </c>
      <c r="G39" s="5">
        <f t="shared" si="1"/>
        <v>0.1037</v>
      </c>
      <c r="H39" s="5">
        <f t="shared" si="2"/>
        <v>2.9300000000000007E-2</v>
      </c>
      <c r="I39" s="11"/>
      <c r="J39" s="11"/>
      <c r="K39" s="11"/>
      <c r="M39" s="5"/>
      <c r="N39" s="5"/>
    </row>
    <row r="40" spans="1:14">
      <c r="A40">
        <f t="shared" si="3"/>
        <v>2009</v>
      </c>
      <c r="B40" s="5"/>
      <c r="C40" s="5">
        <v>4.0800000000000003E-2</v>
      </c>
      <c r="D40" s="5">
        <v>0.1019</v>
      </c>
      <c r="E40" s="5">
        <f t="shared" si="0"/>
        <v>6.1100000000000002E-2</v>
      </c>
      <c r="F40" s="5">
        <v>7.2900000000000006E-2</v>
      </c>
      <c r="G40" s="5">
        <f t="shared" si="1"/>
        <v>0.1019</v>
      </c>
      <c r="H40" s="5">
        <f t="shared" si="2"/>
        <v>2.8999999999999998E-2</v>
      </c>
      <c r="I40" s="11"/>
      <c r="J40" s="11"/>
      <c r="K40" s="11"/>
      <c r="M40" s="5"/>
      <c r="N40" s="5"/>
    </row>
    <row r="41" spans="1:14">
      <c r="A41">
        <f t="shared" si="3"/>
        <v>2010</v>
      </c>
      <c r="B41" s="5"/>
      <c r="C41" s="5">
        <v>4.2500000000000003E-2</v>
      </c>
      <c r="D41" s="5">
        <v>0.1008</v>
      </c>
      <c r="E41" s="5">
        <f t="shared" si="0"/>
        <v>5.8299999999999998E-2</v>
      </c>
      <c r="F41" s="5">
        <v>6.0400000000000002E-2</v>
      </c>
      <c r="G41" s="5">
        <f t="shared" si="1"/>
        <v>0.1008</v>
      </c>
      <c r="H41" s="5">
        <f t="shared" si="2"/>
        <v>4.0399999999999998E-2</v>
      </c>
      <c r="I41" s="11"/>
      <c r="J41" s="11"/>
      <c r="K41" s="11"/>
      <c r="M41" s="5"/>
      <c r="N41" s="5"/>
    </row>
    <row r="42" spans="1:14">
      <c r="A42">
        <f t="shared" si="3"/>
        <v>2011</v>
      </c>
      <c r="B42" s="5"/>
      <c r="C42" s="5">
        <v>3.9100000000000003E-2</v>
      </c>
      <c r="D42" s="5">
        <v>0.1</v>
      </c>
      <c r="E42" s="5">
        <f t="shared" si="0"/>
        <v>6.0900000000000003E-2</v>
      </c>
      <c r="F42" s="5">
        <v>5.6599999999999998E-2</v>
      </c>
      <c r="G42" s="5">
        <f t="shared" si="1"/>
        <v>0.1</v>
      </c>
      <c r="H42" s="5">
        <f t="shared" si="2"/>
        <v>4.3400000000000008E-2</v>
      </c>
      <c r="I42" s="11"/>
      <c r="J42" s="11"/>
      <c r="K42" s="11"/>
      <c r="M42" s="5"/>
      <c r="N42" s="5"/>
    </row>
    <row r="43" spans="1:14">
      <c r="A43">
        <f t="shared" si="3"/>
        <v>2012</v>
      </c>
      <c r="B43" s="5"/>
      <c r="C43" s="5">
        <v>2.92E-2</v>
      </c>
      <c r="D43" s="5">
        <v>9.9400000000000002E-2</v>
      </c>
      <c r="E43" s="5">
        <f t="shared" si="0"/>
        <v>7.0199999999999999E-2</v>
      </c>
      <c r="F43" s="5">
        <v>4.9399999999999999E-2</v>
      </c>
      <c r="G43" s="5">
        <f t="shared" si="1"/>
        <v>9.9400000000000002E-2</v>
      </c>
      <c r="H43" s="5">
        <f t="shared" si="2"/>
        <v>0.05</v>
      </c>
      <c r="I43" s="11"/>
      <c r="J43" s="11"/>
      <c r="K43" s="11"/>
      <c r="M43" s="5"/>
      <c r="N43" s="5"/>
    </row>
    <row r="44" spans="1:14">
      <c r="A44" t="s">
        <v>109</v>
      </c>
      <c r="B44" s="5"/>
      <c r="C44" s="5">
        <f t="shared" ref="C44:H44" si="4">AVERAGE(C11:C43)</f>
        <v>7.1636363636363637E-2</v>
      </c>
      <c r="D44" s="5">
        <f t="shared" si="4"/>
        <v>0.1195787878787879</v>
      </c>
      <c r="E44" s="5">
        <f t="shared" si="4"/>
        <v>4.7942424242424238E-2</v>
      </c>
      <c r="F44" s="5">
        <f t="shared" si="4"/>
        <v>9.1163636363636349E-2</v>
      </c>
      <c r="G44" s="5">
        <f t="shared" si="4"/>
        <v>0.1195787878787879</v>
      </c>
      <c r="H44" s="5">
        <f t="shared" si="4"/>
        <v>2.8415151515151518E-2</v>
      </c>
      <c r="M44" s="5"/>
      <c r="N44" s="5"/>
    </row>
    <row r="45" spans="1:14">
      <c r="B45" s="5"/>
      <c r="C45" s="5"/>
      <c r="D45" s="5"/>
      <c r="E45" s="5"/>
      <c r="F45" s="5"/>
      <c r="G45" s="5"/>
      <c r="H45" s="5"/>
      <c r="M45" s="5"/>
      <c r="N45" s="5"/>
    </row>
    <row r="46" spans="1:14">
      <c r="A46" s="5"/>
      <c r="B46" s="31" t="s">
        <v>199</v>
      </c>
      <c r="C46" s="28"/>
      <c r="D46" s="5"/>
      <c r="E46" s="5"/>
      <c r="F46" s="27" t="s">
        <v>199</v>
      </c>
      <c r="G46" s="28"/>
      <c r="L46" s="5"/>
      <c r="M46" s="5"/>
    </row>
    <row r="47" spans="1:14">
      <c r="A47" s="5"/>
      <c r="B47" s="84" t="s">
        <v>200</v>
      </c>
      <c r="C47" s="84"/>
      <c r="D47" s="5">
        <f>'OCS 2.3'!B69</f>
        <v>3.7200000000000004E-2</v>
      </c>
      <c r="E47" s="5"/>
      <c r="F47" s="84" t="s">
        <v>210</v>
      </c>
      <c r="G47" s="84"/>
      <c r="H47" s="11">
        <f>'OCS 2.3'!F69</f>
        <v>5.4033333333333329E-2</v>
      </c>
      <c r="L47" s="5"/>
      <c r="M47" s="5"/>
    </row>
    <row r="48" spans="1:14">
      <c r="A48" s="5"/>
      <c r="B48" s="84" t="s">
        <v>201</v>
      </c>
      <c r="C48" s="84"/>
      <c r="D48" s="5">
        <f>C44</f>
        <v>7.1636363636363637E-2</v>
      </c>
      <c r="E48" s="5"/>
      <c r="F48" s="84" t="s">
        <v>201</v>
      </c>
      <c r="G48" s="84"/>
      <c r="H48" s="11">
        <f>F44</f>
        <v>9.1163636363636349E-2</v>
      </c>
      <c r="L48" s="5"/>
      <c r="M48" s="5"/>
    </row>
    <row r="49" spans="1:14">
      <c r="A49" s="5"/>
      <c r="B49" s="83" t="s">
        <v>202</v>
      </c>
      <c r="C49" s="83"/>
      <c r="D49" s="5">
        <f>D47-D48</f>
        <v>-3.4436363636363633E-2</v>
      </c>
      <c r="E49" s="5"/>
      <c r="F49" s="83" t="s">
        <v>202</v>
      </c>
      <c r="G49" s="83"/>
      <c r="H49" s="11">
        <f>H47-H48</f>
        <v>-3.713030303030302E-2</v>
      </c>
      <c r="L49" s="5"/>
      <c r="M49" s="5"/>
    </row>
    <row r="50" spans="1:14">
      <c r="A50" s="5"/>
      <c r="B50" s="84" t="s">
        <v>203</v>
      </c>
      <c r="C50" s="84"/>
      <c r="D50" s="5">
        <f>SLOPE(E11:E43,C11:C43)</f>
        <v>-0.3976614170952697</v>
      </c>
      <c r="E50" s="5"/>
      <c r="F50" s="84" t="s">
        <v>203</v>
      </c>
      <c r="G50" s="84"/>
      <c r="H50">
        <f>SLOPE(H11:H43,F11:F43)</f>
        <v>-0.43362991008167912</v>
      </c>
      <c r="L50" s="5"/>
      <c r="M50" s="5"/>
    </row>
    <row r="51" spans="1:14">
      <c r="A51" s="5"/>
      <c r="B51" s="84" t="s">
        <v>204</v>
      </c>
      <c r="C51" s="84"/>
      <c r="D51" s="5">
        <f>D50*D49</f>
        <v>1.3694013163244378E-2</v>
      </c>
      <c r="E51" s="5"/>
      <c r="F51" s="84" t="s">
        <v>204</v>
      </c>
      <c r="G51" s="84"/>
      <c r="H51">
        <f>H49*H50</f>
        <v>1.6100809964335796E-2</v>
      </c>
      <c r="L51" s="5"/>
      <c r="M51" s="5"/>
      <c r="N51" s="5"/>
    </row>
    <row r="52" spans="1:14">
      <c r="A52" s="5"/>
      <c r="B52" s="82" t="s">
        <v>205</v>
      </c>
      <c r="C52" s="82"/>
      <c r="D52" s="5">
        <f>E44</f>
        <v>4.7942424242424238E-2</v>
      </c>
      <c r="E52" s="5"/>
      <c r="F52" s="82" t="s">
        <v>205</v>
      </c>
      <c r="G52" s="82"/>
      <c r="H52" s="11">
        <f>H44</f>
        <v>2.8415151515151518E-2</v>
      </c>
      <c r="L52" s="5"/>
      <c r="M52" s="5"/>
      <c r="N52" s="5"/>
    </row>
    <row r="53" spans="1:14">
      <c r="A53" s="5"/>
      <c r="B53" s="84" t="s">
        <v>206</v>
      </c>
      <c r="C53" s="84"/>
      <c r="D53" s="5">
        <f>D51</f>
        <v>1.3694013163244378E-2</v>
      </c>
      <c r="E53" s="5"/>
      <c r="F53" s="84" t="s">
        <v>206</v>
      </c>
      <c r="G53" s="84"/>
      <c r="H53">
        <f>H51</f>
        <v>1.6100809964335796E-2</v>
      </c>
      <c r="L53" s="5"/>
      <c r="M53" s="5"/>
      <c r="N53" s="5"/>
    </row>
    <row r="54" spans="1:14">
      <c r="A54" s="5"/>
      <c r="B54" s="84" t="s">
        <v>207</v>
      </c>
      <c r="C54" s="84"/>
      <c r="D54" s="5">
        <f>D52+D53</f>
        <v>6.1636437405668612E-2</v>
      </c>
      <c r="E54" s="5"/>
      <c r="F54" s="84" t="s">
        <v>207</v>
      </c>
      <c r="G54" s="84"/>
      <c r="H54" s="11">
        <f>+H52+H53</f>
        <v>4.4515961479487318E-2</v>
      </c>
      <c r="L54" s="5"/>
      <c r="M54" s="5"/>
      <c r="N54" s="5"/>
    </row>
    <row r="55" spans="1:14">
      <c r="A55" s="5"/>
      <c r="B55" s="31"/>
      <c r="C55" s="28"/>
      <c r="D55" s="5"/>
      <c r="E55" s="5"/>
      <c r="F55" s="27"/>
      <c r="G55" s="28"/>
      <c r="L55" s="5"/>
      <c r="M55" s="5"/>
      <c r="N55" s="5"/>
    </row>
    <row r="56" spans="1:14">
      <c r="A56" s="5"/>
      <c r="B56" s="82" t="s">
        <v>200</v>
      </c>
      <c r="C56" s="82"/>
      <c r="D56" s="5">
        <f>D47</f>
        <v>3.7200000000000004E-2</v>
      </c>
      <c r="E56" s="5"/>
      <c r="F56" s="84" t="s">
        <v>210</v>
      </c>
      <c r="G56" s="84"/>
      <c r="H56" s="11">
        <f>H47</f>
        <v>5.4033333333333329E-2</v>
      </c>
      <c r="L56" s="5"/>
      <c r="M56" s="5"/>
      <c r="N56" s="5"/>
    </row>
    <row r="57" spans="1:14">
      <c r="A57" s="5"/>
      <c r="B57" s="83" t="s">
        <v>208</v>
      </c>
      <c r="C57" s="83"/>
      <c r="D57" s="5">
        <f>D54</f>
        <v>6.1636437405668612E-2</v>
      </c>
      <c r="E57" s="5"/>
      <c r="F57" s="83" t="s">
        <v>208</v>
      </c>
      <c r="G57" s="83"/>
      <c r="H57" s="11">
        <f>H54</f>
        <v>4.4515961479487318E-2</v>
      </c>
      <c r="L57" s="5"/>
      <c r="M57" s="5"/>
    </row>
    <row r="58" spans="1:14" ht="21">
      <c r="B58" s="31" t="s">
        <v>209</v>
      </c>
      <c r="C58" s="31"/>
      <c r="D58" s="55">
        <f>D56+D57</f>
        <v>9.8836437405668609E-2</v>
      </c>
      <c r="F58" s="27" t="s">
        <v>209</v>
      </c>
      <c r="G58" s="27"/>
      <c r="H58" s="55">
        <f>H56+H57</f>
        <v>9.8549294812820654E-2</v>
      </c>
      <c r="L58" s="11"/>
    </row>
    <row r="59" spans="1:14">
      <c r="A59" s="65"/>
      <c r="C59" s="31"/>
      <c r="D59" s="31"/>
      <c r="M59" s="5"/>
    </row>
    <row r="60" spans="1:14">
      <c r="A60" s="40" t="s">
        <v>227</v>
      </c>
      <c r="M60" s="11"/>
    </row>
    <row r="61" spans="1:14">
      <c r="A61" s="42" t="s">
        <v>303</v>
      </c>
    </row>
    <row r="62" spans="1:14">
      <c r="A62" s="40" t="s">
        <v>302</v>
      </c>
    </row>
    <row r="63" spans="1:14">
      <c r="A63" s="40" t="s">
        <v>253</v>
      </c>
    </row>
    <row r="64" spans="1:14">
      <c r="A64" s="40" t="s">
        <v>252</v>
      </c>
    </row>
    <row r="65" spans="1:1">
      <c r="A65" s="40"/>
    </row>
    <row r="66" spans="1:1">
      <c r="A66" s="40"/>
    </row>
    <row r="67" spans="1:1">
      <c r="A67" s="40"/>
    </row>
  </sheetData>
  <mergeCells count="24">
    <mergeCell ref="F53:G53"/>
    <mergeCell ref="F54:G54"/>
    <mergeCell ref="F56:G56"/>
    <mergeCell ref="F57:G57"/>
    <mergeCell ref="B54:C54"/>
    <mergeCell ref="B56:C56"/>
    <mergeCell ref="B57:C57"/>
    <mergeCell ref="B53:C53"/>
    <mergeCell ref="A4:H4"/>
    <mergeCell ref="A5:H5"/>
    <mergeCell ref="A6:H6"/>
    <mergeCell ref="F52:G52"/>
    <mergeCell ref="B49:C49"/>
    <mergeCell ref="B50:C50"/>
    <mergeCell ref="B51:C51"/>
    <mergeCell ref="B52:C52"/>
    <mergeCell ref="F49:G49"/>
    <mergeCell ref="F50:G50"/>
    <mergeCell ref="F51:G51"/>
    <mergeCell ref="A7:H7"/>
    <mergeCell ref="B47:C47"/>
    <mergeCell ref="B48:C48"/>
    <mergeCell ref="F47:G47"/>
    <mergeCell ref="F48:G48"/>
  </mergeCells>
  <phoneticPr fontId="5" type="noConversion"/>
  <pageMargins left="0.75" right="0.75" top="1" bottom="1" header="0.5" footer="0.5"/>
  <pageSetup scale="62" orientation="portrait" horizontalDpi="4294967292" verticalDpi="4294967292"/>
  <headerFooter>
    <oddHeader>&amp;R&amp;"Calibri,Regular"&amp;K000000Exhibit  OCS 2.9_x000D_Page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J28" sqref="J28"/>
    </sheetView>
  </sheetViews>
  <sheetFormatPr defaultColWidth="11" defaultRowHeight="15.75"/>
  <sheetData/>
  <phoneticPr fontId="5" type="noConversion"/>
  <pageMargins left="0.75" right="0.75" top="1" bottom="1" header="0.5" footer="0.5"/>
  <pageSetup scale="79" orientation="landscape" horizontalDpi="4294967292" verticalDpi="4294967292"/>
  <headerFooter>
    <oddHeader>&amp;R&amp;"Calibri,Regular"&amp;K000000Exhibit____x000D_Schedule (DJL-10)_x000D_Page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K27" sqref="K27"/>
    </sheetView>
  </sheetViews>
  <sheetFormatPr defaultColWidth="11" defaultRowHeight="15.75"/>
  <sheetData/>
  <phoneticPr fontId="5" type="noConversion"/>
  <pageMargins left="0.75" right="0.75" top="1" bottom="1" header="0.5" footer="0.5"/>
  <pageSetup scale="62" orientation="landscape" horizontalDpi="4294967292" verticalDpi="4294967292"/>
  <headerFooter>
    <oddHeader>&amp;R&amp;"Calibri,Regular"&amp;K000000Exhibit___x000D_Schedule (DJL-10)_x000D_Page 2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R27"/>
  <sheetViews>
    <sheetView tabSelected="1" topLeftCell="A7" workbookViewId="0">
      <selection activeCell="D11" sqref="D11"/>
    </sheetView>
  </sheetViews>
  <sheetFormatPr defaultColWidth="11" defaultRowHeight="15.75"/>
  <cols>
    <col min="1" max="1" width="7" customWidth="1"/>
    <col min="2" max="2" width="33.625" customWidth="1"/>
    <col min="7" max="7" width="10.5" customWidth="1"/>
    <col min="8" max="8" width="12.875" customWidth="1"/>
  </cols>
  <sheetData>
    <row r="3" spans="1:18" ht="21">
      <c r="B3" s="81" t="s">
        <v>298</v>
      </c>
      <c r="C3" s="81"/>
      <c r="D3" s="81"/>
      <c r="E3" s="81"/>
      <c r="F3" s="81"/>
      <c r="G3" s="81"/>
      <c r="H3" s="81"/>
      <c r="I3" s="67"/>
      <c r="J3" s="67"/>
      <c r="K3" s="67"/>
      <c r="L3" s="67"/>
      <c r="M3" s="67"/>
      <c r="N3" s="67"/>
      <c r="O3" s="15"/>
      <c r="P3" s="15"/>
      <c r="Q3" s="15"/>
      <c r="R3" s="15"/>
    </row>
    <row r="4" spans="1:18" ht="21">
      <c r="B4" s="81" t="s">
        <v>299</v>
      </c>
      <c r="C4" s="81"/>
      <c r="D4" s="81"/>
      <c r="E4" s="81"/>
      <c r="F4" s="81"/>
      <c r="G4" s="81"/>
      <c r="H4" s="81"/>
      <c r="I4" s="67"/>
      <c r="J4" s="67"/>
      <c r="K4" s="67"/>
      <c r="L4" s="67"/>
      <c r="M4" s="67"/>
      <c r="N4" s="67"/>
      <c r="O4" s="15"/>
      <c r="P4" s="15"/>
      <c r="Q4" s="15"/>
      <c r="R4" s="15"/>
    </row>
    <row r="5" spans="1:18" ht="21">
      <c r="B5" s="80" t="s">
        <v>284</v>
      </c>
      <c r="C5" s="80"/>
      <c r="D5" s="80"/>
      <c r="E5" s="80"/>
      <c r="F5" s="80"/>
      <c r="G5" s="80"/>
      <c r="H5" s="80"/>
      <c r="I5" s="15"/>
      <c r="J5" s="15"/>
      <c r="K5" s="15"/>
      <c r="L5" s="15"/>
      <c r="M5" s="15"/>
      <c r="N5" s="15"/>
      <c r="O5" s="15"/>
      <c r="P5" s="15"/>
      <c r="Q5" s="15"/>
      <c r="R5" s="15"/>
    </row>
    <row r="9" spans="1:18" ht="21">
      <c r="D9" s="38" t="s">
        <v>56</v>
      </c>
      <c r="E9" s="38" t="s">
        <v>57</v>
      </c>
      <c r="F9" s="38" t="s">
        <v>58</v>
      </c>
      <c r="G9" s="38" t="s">
        <v>8</v>
      </c>
      <c r="H9" s="38" t="s">
        <v>59</v>
      </c>
    </row>
    <row r="10" spans="1:18" ht="39">
      <c r="A10" s="4" t="s">
        <v>0</v>
      </c>
      <c r="B10" s="4" t="s">
        <v>1</v>
      </c>
      <c r="C10" s="4" t="s">
        <v>4</v>
      </c>
      <c r="D10" s="4" t="s">
        <v>175</v>
      </c>
      <c r="E10" s="4" t="s">
        <v>176</v>
      </c>
      <c r="F10" s="4" t="s">
        <v>177</v>
      </c>
      <c r="G10" s="4" t="s">
        <v>178</v>
      </c>
      <c r="H10" s="4" t="s">
        <v>179</v>
      </c>
    </row>
    <row r="11" spans="1:18">
      <c r="A11">
        <v>1</v>
      </c>
      <c r="B11" t="s">
        <v>22</v>
      </c>
      <c r="C11" t="s">
        <v>23</v>
      </c>
      <c r="D11" s="6">
        <f>'GAS GROUP INPUT P1'!E11</f>
        <v>0.75</v>
      </c>
      <c r="E11" s="11">
        <f>'OCS 2.3'!B69</f>
        <v>3.7200000000000004E-2</v>
      </c>
      <c r="F11" s="5">
        <v>6.9000000000000006E-2</v>
      </c>
      <c r="G11" s="5">
        <f>(D11*F11)+E11</f>
        <v>8.8950000000000001E-2</v>
      </c>
      <c r="H11" s="5">
        <f t="shared" ref="H11:H17" si="0">(0.25*F11)+(0.75*D11*F11)+E11</f>
        <v>9.3262499999999998E-2</v>
      </c>
    </row>
    <row r="12" spans="1:18">
      <c r="A12">
        <f>A11+1</f>
        <v>2</v>
      </c>
      <c r="B12" t="s">
        <v>24</v>
      </c>
      <c r="C12" t="s">
        <v>25</v>
      </c>
      <c r="D12" s="6">
        <f>'GAS GROUP INPUT P1'!E12</f>
        <v>0.7</v>
      </c>
      <c r="E12" s="11">
        <f>E11</f>
        <v>3.7200000000000004E-2</v>
      </c>
      <c r="F12" s="5">
        <f>F11</f>
        <v>6.9000000000000006E-2</v>
      </c>
      <c r="G12" s="5">
        <f t="shared" ref="G12:G18" si="1">(D12*F12)+E12</f>
        <v>8.5500000000000007E-2</v>
      </c>
      <c r="H12" s="5">
        <f t="shared" si="0"/>
        <v>9.0675000000000006E-2</v>
      </c>
    </row>
    <row r="13" spans="1:18">
      <c r="A13" s="32">
        <f t="shared" ref="A13:A20" si="2">A12+1</f>
        <v>3</v>
      </c>
      <c r="B13" s="2" t="s">
        <v>26</v>
      </c>
      <c r="C13" s="2" t="s">
        <v>27</v>
      </c>
      <c r="D13" s="6">
        <f>'GAS GROUP INPUT P1'!E13</f>
        <v>0.7</v>
      </c>
      <c r="E13" s="11">
        <f t="shared" ref="E13:E18" si="3">E12</f>
        <v>3.7200000000000004E-2</v>
      </c>
      <c r="F13" s="5">
        <f t="shared" ref="F13:F18" si="4">F12</f>
        <v>6.9000000000000006E-2</v>
      </c>
      <c r="G13" s="5">
        <f t="shared" si="1"/>
        <v>8.5500000000000007E-2</v>
      </c>
      <c r="H13" s="5">
        <f t="shared" si="0"/>
        <v>9.0675000000000006E-2</v>
      </c>
    </row>
    <row r="14" spans="1:18">
      <c r="A14" s="32">
        <f t="shared" si="2"/>
        <v>4</v>
      </c>
      <c r="B14" s="2" t="s">
        <v>28</v>
      </c>
      <c r="C14" s="2" t="s">
        <v>29</v>
      </c>
      <c r="D14" s="6">
        <f>'GAS GROUP INPUT P1'!E14</f>
        <v>0.6</v>
      </c>
      <c r="E14" s="11">
        <f t="shared" si="3"/>
        <v>3.7200000000000004E-2</v>
      </c>
      <c r="F14" s="5">
        <f t="shared" si="4"/>
        <v>6.9000000000000006E-2</v>
      </c>
      <c r="G14" s="5">
        <f t="shared" si="1"/>
        <v>7.8600000000000003E-2</v>
      </c>
      <c r="H14" s="5">
        <f t="shared" si="0"/>
        <v>8.5500000000000007E-2</v>
      </c>
    </row>
    <row r="15" spans="1:18">
      <c r="A15" s="32">
        <f t="shared" si="2"/>
        <v>5</v>
      </c>
      <c r="B15" s="2" t="s">
        <v>30</v>
      </c>
      <c r="C15" s="2" t="s">
        <v>31</v>
      </c>
      <c r="D15" s="6">
        <f>'GAS GROUP INPUT P1'!E15</f>
        <v>0.7</v>
      </c>
      <c r="E15" s="11">
        <f t="shared" si="3"/>
        <v>3.7200000000000004E-2</v>
      </c>
      <c r="F15" s="5">
        <f t="shared" si="4"/>
        <v>6.9000000000000006E-2</v>
      </c>
      <c r="G15" s="5">
        <f t="shared" si="1"/>
        <v>8.5500000000000007E-2</v>
      </c>
      <c r="H15" s="5">
        <f t="shared" si="0"/>
        <v>9.0675000000000006E-2</v>
      </c>
    </row>
    <row r="16" spans="1:18">
      <c r="A16" s="32">
        <f t="shared" si="2"/>
        <v>6</v>
      </c>
      <c r="B16" s="2" t="s">
        <v>32</v>
      </c>
      <c r="C16" s="2" t="s">
        <v>33</v>
      </c>
      <c r="D16" s="6">
        <f>'GAS GROUP INPUT P1'!E16</f>
        <v>0.65</v>
      </c>
      <c r="E16" s="11">
        <f t="shared" si="3"/>
        <v>3.7200000000000004E-2</v>
      </c>
      <c r="F16" s="5">
        <f t="shared" si="4"/>
        <v>6.9000000000000006E-2</v>
      </c>
      <c r="G16" s="5">
        <f t="shared" si="1"/>
        <v>8.2050000000000012E-2</v>
      </c>
      <c r="H16" s="5">
        <f t="shared" si="0"/>
        <v>8.8087500000000013E-2</v>
      </c>
    </row>
    <row r="17" spans="1:8">
      <c r="A17" s="32">
        <f t="shared" si="2"/>
        <v>7</v>
      </c>
      <c r="B17" s="2" t="s">
        <v>34</v>
      </c>
      <c r="C17" s="2" t="s">
        <v>35</v>
      </c>
      <c r="D17" s="6">
        <f>'GAS GROUP INPUT P1'!E17</f>
        <v>0.75</v>
      </c>
      <c r="E17" s="11">
        <f t="shared" si="3"/>
        <v>3.7200000000000004E-2</v>
      </c>
      <c r="F17" s="5">
        <f t="shared" si="4"/>
        <v>6.9000000000000006E-2</v>
      </c>
      <c r="G17" s="5">
        <f t="shared" si="1"/>
        <v>8.8950000000000001E-2</v>
      </c>
      <c r="H17" s="5">
        <f t="shared" si="0"/>
        <v>9.3262499999999998E-2</v>
      </c>
    </row>
    <row r="18" spans="1:8">
      <c r="A18" s="32">
        <f t="shared" si="2"/>
        <v>8</v>
      </c>
      <c r="B18" s="2" t="s">
        <v>37</v>
      </c>
      <c r="C18" s="2" t="s">
        <v>36</v>
      </c>
      <c r="D18" s="6">
        <f>'GAS GROUP INPUT P1'!E19</f>
        <v>0.68750000000000011</v>
      </c>
      <c r="E18" s="11">
        <f t="shared" si="3"/>
        <v>3.7200000000000004E-2</v>
      </c>
      <c r="F18" s="5">
        <f t="shared" si="4"/>
        <v>6.9000000000000006E-2</v>
      </c>
      <c r="G18" s="5">
        <f t="shared" si="1"/>
        <v>8.4637500000000018E-2</v>
      </c>
      <c r="H18" s="5">
        <f>(0.25*F18)+(0.75*D18*F18)+E18</f>
        <v>9.0028125000000014E-2</v>
      </c>
    </row>
    <row r="19" spans="1:8" ht="21">
      <c r="A19" s="32">
        <f t="shared" si="2"/>
        <v>9</v>
      </c>
      <c r="B19" s="2" t="s">
        <v>109</v>
      </c>
      <c r="C19" s="2"/>
      <c r="D19" s="6">
        <f>AVERAGE(D11:D18)</f>
        <v>0.69218750000000007</v>
      </c>
      <c r="F19" s="5"/>
      <c r="G19" s="5">
        <f>AVERAGE(G11:G18)</f>
        <v>8.49609375E-2</v>
      </c>
      <c r="H19" s="58">
        <f>AVERAGE(H11:H18)</f>
        <v>9.0270703125000018E-2</v>
      </c>
    </row>
    <row r="20" spans="1:8" ht="21">
      <c r="A20" s="32">
        <f t="shared" si="2"/>
        <v>10</v>
      </c>
      <c r="B20" s="2" t="s">
        <v>211</v>
      </c>
      <c r="D20" s="6">
        <f>MEDIAN(D11:D18)</f>
        <v>0.7</v>
      </c>
      <c r="F20" s="5"/>
      <c r="G20" s="5">
        <f>MEDIAN(G11:G18)</f>
        <v>8.5500000000000007E-2</v>
      </c>
      <c r="H20" s="58">
        <f>MEDIAN(H11:H18)</f>
        <v>9.0675000000000006E-2</v>
      </c>
    </row>
    <row r="22" spans="1:8">
      <c r="B22" s="40" t="s">
        <v>227</v>
      </c>
    </row>
    <row r="23" spans="1:8">
      <c r="B23" s="40" t="s">
        <v>375</v>
      </c>
    </row>
    <row r="24" spans="1:8">
      <c r="B24" s="42" t="s">
        <v>254</v>
      </c>
    </row>
    <row r="25" spans="1:8">
      <c r="B25" s="40" t="s">
        <v>331</v>
      </c>
    </row>
    <row r="26" spans="1:8">
      <c r="B26" s="40" t="s">
        <v>255</v>
      </c>
    </row>
    <row r="27" spans="1:8">
      <c r="B27" s="40" t="s">
        <v>256</v>
      </c>
    </row>
  </sheetData>
  <mergeCells count="3">
    <mergeCell ref="B3:H3"/>
    <mergeCell ref="B4:H4"/>
    <mergeCell ref="B5:H5"/>
  </mergeCells>
  <phoneticPr fontId="5" type="noConversion"/>
  <pageMargins left="0.75" right="0.75" top="1" bottom="1" header="0.5" footer="0.5"/>
  <pageSetup scale="98" orientation="landscape" horizontalDpi="4294967292" verticalDpi="4294967292"/>
  <headerFooter>
    <oddHeader>&amp;R&amp;"Calibri,Regular"&amp;K000000Exhibit OCS 2.10_x000D_Page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4:A49"/>
  <sheetViews>
    <sheetView workbookViewId="0">
      <selection activeCell="J28" sqref="J28"/>
    </sheetView>
  </sheetViews>
  <sheetFormatPr defaultColWidth="11" defaultRowHeight="15.75"/>
  <cols>
    <col min="1" max="1" width="14.5" bestFit="1" customWidth="1"/>
  </cols>
  <sheetData>
    <row r="4" spans="1:1" ht="21">
      <c r="A4" s="15"/>
    </row>
    <row r="5" spans="1:1" ht="21">
      <c r="A5" s="15"/>
    </row>
    <row r="6" spans="1:1" ht="21">
      <c r="A6" s="15"/>
    </row>
    <row r="29" spans="1:1">
      <c r="A29" s="50"/>
    </row>
    <row r="40" s="32" customFormat="1"/>
    <row r="41" s="32" customFormat="1"/>
    <row r="42" s="32" customFormat="1"/>
    <row r="43" s="32" customFormat="1"/>
    <row r="49" s="32" customFormat="1"/>
  </sheetData>
  <phoneticPr fontId="5" type="noConversion"/>
  <pageMargins left="0.75" right="0.75" top="1" bottom="1" header="0.5" footer="0.5"/>
  <pageSetup scale="72" orientation="portrait" horizontalDpi="4294967292" verticalDpi="4294967292"/>
  <headerFooter>
    <oddHeader>&amp;R&amp;"Calibri,Regular"&amp;K000000Exhibit___x000D_Schedule (DJL-11)_x000D_Page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7" sqref="K27"/>
    </sheetView>
  </sheetViews>
  <sheetFormatPr defaultColWidth="11" defaultRowHeight="15.75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topLeftCell="A51" workbookViewId="0">
      <selection activeCell="J77" sqref="J77"/>
    </sheetView>
  </sheetViews>
  <sheetFormatPr defaultColWidth="11" defaultRowHeight="15.75"/>
  <sheetData/>
  <phoneticPr fontId="5" type="noConversion"/>
  <pageMargins left="0.75" right="0.75" top="1" bottom="1" header="0.5" footer="0.5"/>
  <pageSetup scale="45" orientation="landscape" horizontalDpi="4294967292" verticalDpi="4294967292"/>
  <headerFooter>
    <oddHeader>&amp;R&amp;"Calibri,Regular"&amp;K000000Exhibit___x000D_Schedule (DJL-6)_x000D_Page 3 of 4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1"/>
  <sheetViews>
    <sheetView workbookViewId="0">
      <selection activeCell="F27" sqref="F27"/>
    </sheetView>
  </sheetViews>
  <sheetFormatPr defaultColWidth="11" defaultRowHeight="15.75"/>
  <sheetData>
    <row r="1" spans="1:2">
      <c r="A1" s="1"/>
      <c r="B1" s="1"/>
    </row>
  </sheetData>
  <phoneticPr fontId="5" type="noConversion"/>
  <pageMargins left="0.75" right="0.75" top="1" bottom="1" header="0.5" footer="0.5"/>
  <pageSetup scale="2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0:B47"/>
  <sheetViews>
    <sheetView topLeftCell="C1" workbookViewId="0">
      <selection activeCell="L26" sqref="L26"/>
    </sheetView>
  </sheetViews>
  <sheetFormatPr defaultColWidth="11" defaultRowHeight="15.75"/>
  <cols>
    <col min="1" max="1" width="5.5" customWidth="1"/>
    <col min="2" max="2" width="38.125" customWidth="1"/>
  </cols>
  <sheetData>
    <row r="10" spans="1:2" ht="26.25">
      <c r="A10" s="4" t="s">
        <v>0</v>
      </c>
      <c r="B10" s="1" t="s">
        <v>1</v>
      </c>
    </row>
    <row r="11" spans="1:2">
      <c r="A11" s="24">
        <v>1</v>
      </c>
      <c r="B11" s="2" t="s">
        <v>185</v>
      </c>
    </row>
    <row r="12" spans="1:2">
      <c r="A12">
        <f>A11+1</f>
        <v>2</v>
      </c>
      <c r="B12" t="s">
        <v>3</v>
      </c>
    </row>
    <row r="13" spans="1:2">
      <c r="A13">
        <f t="shared" ref="A13:A36" si="0">A12+1</f>
        <v>3</v>
      </c>
      <c r="B13" s="2" t="s">
        <v>5</v>
      </c>
    </row>
    <row r="14" spans="1:2">
      <c r="A14">
        <f t="shared" si="0"/>
        <v>4</v>
      </c>
      <c r="B14" s="2" t="s">
        <v>18</v>
      </c>
    </row>
    <row r="15" spans="1:2">
      <c r="A15">
        <f t="shared" si="0"/>
        <v>5</v>
      </c>
      <c r="B15" t="s">
        <v>6</v>
      </c>
    </row>
    <row r="16" spans="1:2">
      <c r="A16">
        <f t="shared" si="0"/>
        <v>6</v>
      </c>
      <c r="B16" t="s">
        <v>7</v>
      </c>
    </row>
    <row r="17" spans="1:2">
      <c r="A17">
        <f t="shared" si="0"/>
        <v>7</v>
      </c>
      <c r="B17" t="s">
        <v>9</v>
      </c>
    </row>
    <row r="18" spans="1:2">
      <c r="A18">
        <f t="shared" si="0"/>
        <v>8</v>
      </c>
      <c r="B18" t="s">
        <v>10</v>
      </c>
    </row>
    <row r="19" spans="1:2">
      <c r="A19">
        <f t="shared" si="0"/>
        <v>9</v>
      </c>
      <c r="B19" t="s">
        <v>19</v>
      </c>
    </row>
    <row r="20" spans="1:2">
      <c r="A20">
        <f t="shared" si="0"/>
        <v>10</v>
      </c>
      <c r="B20" t="s">
        <v>11</v>
      </c>
    </row>
    <row r="21" spans="1:2">
      <c r="A21">
        <f t="shared" si="0"/>
        <v>11</v>
      </c>
      <c r="B21" t="s">
        <v>186</v>
      </c>
    </row>
    <row r="22" spans="1:2">
      <c r="A22">
        <f t="shared" si="0"/>
        <v>12</v>
      </c>
      <c r="B22" t="s">
        <v>12</v>
      </c>
    </row>
    <row r="23" spans="1:2">
      <c r="A23">
        <f t="shared" si="0"/>
        <v>13</v>
      </c>
      <c r="B23" t="s">
        <v>187</v>
      </c>
    </row>
    <row r="24" spans="1:2">
      <c r="A24">
        <f t="shared" si="0"/>
        <v>14</v>
      </c>
      <c r="B24" t="s">
        <v>13</v>
      </c>
    </row>
    <row r="25" spans="1:2">
      <c r="A25">
        <f t="shared" si="0"/>
        <v>15</v>
      </c>
      <c r="B25" t="s">
        <v>188</v>
      </c>
    </row>
    <row r="26" spans="1:2">
      <c r="A26">
        <f t="shared" si="0"/>
        <v>16</v>
      </c>
      <c r="B26" t="s">
        <v>189</v>
      </c>
    </row>
    <row r="27" spans="1:2">
      <c r="A27">
        <f t="shared" si="0"/>
        <v>17</v>
      </c>
      <c r="B27" t="s">
        <v>190</v>
      </c>
    </row>
    <row r="28" spans="1:2">
      <c r="A28">
        <f t="shared" si="0"/>
        <v>18</v>
      </c>
      <c r="B28" t="s">
        <v>191</v>
      </c>
    </row>
    <row r="29" spans="1:2">
      <c r="A29">
        <f t="shared" si="0"/>
        <v>19</v>
      </c>
      <c r="B29" t="s">
        <v>14</v>
      </c>
    </row>
    <row r="30" spans="1:2">
      <c r="A30">
        <f t="shared" si="0"/>
        <v>20</v>
      </c>
      <c r="B30" t="s">
        <v>20</v>
      </c>
    </row>
    <row r="31" spans="1:2">
      <c r="A31">
        <f t="shared" si="0"/>
        <v>21</v>
      </c>
      <c r="B31" t="s">
        <v>15</v>
      </c>
    </row>
    <row r="32" spans="1:2">
      <c r="A32">
        <f t="shared" si="0"/>
        <v>22</v>
      </c>
      <c r="B32" t="s">
        <v>192</v>
      </c>
    </row>
    <row r="33" spans="1:2">
      <c r="A33" s="17">
        <f t="shared" si="0"/>
        <v>23</v>
      </c>
      <c r="B33" t="s">
        <v>21</v>
      </c>
    </row>
    <row r="34" spans="1:2">
      <c r="A34">
        <f t="shared" si="0"/>
        <v>24</v>
      </c>
      <c r="B34" t="s">
        <v>16</v>
      </c>
    </row>
    <row r="35" spans="1:2">
      <c r="A35">
        <f t="shared" si="0"/>
        <v>25</v>
      </c>
      <c r="B35" t="s">
        <v>17</v>
      </c>
    </row>
    <row r="36" spans="1:2">
      <c r="A36">
        <f t="shared" si="0"/>
        <v>26</v>
      </c>
      <c r="B36" t="s">
        <v>109</v>
      </c>
    </row>
    <row r="37" spans="1:2">
      <c r="B37" t="s">
        <v>211</v>
      </c>
    </row>
    <row r="38" spans="1:2">
      <c r="B38" s="40" t="s">
        <v>227</v>
      </c>
    </row>
    <row r="39" spans="1:2">
      <c r="B39" s="40" t="s">
        <v>235</v>
      </c>
    </row>
    <row r="40" spans="1:2">
      <c r="B40" s="40" t="s">
        <v>236</v>
      </c>
    </row>
    <row r="41" spans="1:2">
      <c r="B41" s="40" t="s">
        <v>237</v>
      </c>
    </row>
    <row r="42" spans="1:2">
      <c r="B42" s="40" t="s">
        <v>238</v>
      </c>
    </row>
    <row r="43" spans="1:2">
      <c r="B43" s="40" t="s">
        <v>239</v>
      </c>
    </row>
    <row r="44" spans="1:2">
      <c r="B44" s="40" t="s">
        <v>240</v>
      </c>
    </row>
    <row r="45" spans="1:2">
      <c r="B45" s="40" t="s">
        <v>242</v>
      </c>
    </row>
    <row r="46" spans="1:2">
      <c r="B46" s="40" t="s">
        <v>241</v>
      </c>
    </row>
    <row r="47" spans="1:2">
      <c r="B47" s="40" t="s">
        <v>243</v>
      </c>
    </row>
  </sheetData>
  <phoneticPr fontId="5" type="noConversion"/>
  <pageMargins left="0.75" right="0.75" top="1" bottom="1" header="0.5" footer="0.5"/>
  <pageSetup scale="49" orientation="landscape" horizontalDpi="4294967292" verticalDpi="4294967292"/>
  <headerFooter>
    <oddHeader>&amp;R&amp;"Calibri,Regular"&amp;K000000Exhibit___x000D_Schedule (DJL-6)_x000D_Page 4 0f 4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X30"/>
  <sheetViews>
    <sheetView view="pageLayout" topLeftCell="A2" workbookViewId="0">
      <selection activeCell="D22" sqref="D22"/>
    </sheetView>
  </sheetViews>
  <sheetFormatPr defaultColWidth="11" defaultRowHeight="15.75"/>
  <cols>
    <col min="1" max="1" width="4.125" customWidth="1"/>
    <col min="2" max="2" width="33.125" customWidth="1"/>
    <col min="3" max="3" width="9.125" customWidth="1"/>
    <col min="4" max="5" width="8.875" customWidth="1"/>
    <col min="6" max="6" width="9.5" customWidth="1"/>
    <col min="12" max="12" width="12.5" customWidth="1"/>
    <col min="15" max="15" width="9" customWidth="1"/>
  </cols>
  <sheetData>
    <row r="3" spans="1:24" ht="21">
      <c r="B3" s="81" t="s">
        <v>298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4" ht="21">
      <c r="B4" s="81" t="s">
        <v>299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4" ht="21">
      <c r="B5" s="80" t="s">
        <v>118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8" spans="1:24" ht="21">
      <c r="D8" s="30" t="s">
        <v>56</v>
      </c>
      <c r="E8" s="30" t="s">
        <v>57</v>
      </c>
      <c r="F8" s="30" t="s">
        <v>58</v>
      </c>
      <c r="G8" s="30" t="s">
        <v>8</v>
      </c>
      <c r="H8" s="30" t="s">
        <v>59</v>
      </c>
      <c r="I8" s="30" t="s">
        <v>60</v>
      </c>
      <c r="J8" s="30" t="s">
        <v>61</v>
      </c>
      <c r="K8" s="30" t="s">
        <v>62</v>
      </c>
      <c r="L8" s="30" t="s">
        <v>63</v>
      </c>
      <c r="M8" s="30" t="s">
        <v>64</v>
      </c>
      <c r="N8" s="30" t="s">
        <v>65</v>
      </c>
      <c r="O8" s="30" t="s">
        <v>66</v>
      </c>
      <c r="P8" s="30" t="s">
        <v>67</v>
      </c>
      <c r="Q8" s="30" t="s">
        <v>68</v>
      </c>
      <c r="R8" s="30" t="s">
        <v>69</v>
      </c>
      <c r="S8" s="30" t="s">
        <v>70</v>
      </c>
      <c r="T8" s="30" t="s">
        <v>71</v>
      </c>
      <c r="U8" s="30" t="s">
        <v>72</v>
      </c>
    </row>
    <row r="10" spans="1:24" ht="47.25">
      <c r="A10" s="4" t="s">
        <v>0</v>
      </c>
      <c r="B10" s="4" t="s">
        <v>1</v>
      </c>
      <c r="C10" s="4" t="s">
        <v>4</v>
      </c>
      <c r="D10" s="13" t="s">
        <v>128</v>
      </c>
      <c r="E10" s="13" t="s">
        <v>129</v>
      </c>
      <c r="F10" s="13" t="s">
        <v>130</v>
      </c>
      <c r="G10" s="13" t="s">
        <v>182</v>
      </c>
      <c r="H10" s="13" t="s">
        <v>183</v>
      </c>
      <c r="I10" s="13" t="s">
        <v>141</v>
      </c>
      <c r="J10" s="13" t="s">
        <v>142</v>
      </c>
      <c r="K10" s="13" t="s">
        <v>143</v>
      </c>
      <c r="L10" s="13" t="s">
        <v>180</v>
      </c>
      <c r="M10" s="13" t="s">
        <v>181</v>
      </c>
      <c r="N10" s="13" t="s">
        <v>144</v>
      </c>
      <c r="O10" s="13" t="s">
        <v>184</v>
      </c>
      <c r="P10" s="13" t="s">
        <v>145</v>
      </c>
      <c r="Q10" s="13" t="s">
        <v>146</v>
      </c>
      <c r="R10" s="13" t="s">
        <v>147</v>
      </c>
      <c r="S10" s="13" t="s">
        <v>148</v>
      </c>
      <c r="T10" s="13" t="s">
        <v>149</v>
      </c>
      <c r="U10" s="13" t="s">
        <v>150</v>
      </c>
      <c r="V10" s="13"/>
      <c r="W10" s="17"/>
      <c r="X10" s="17"/>
    </row>
    <row r="11" spans="1:24">
      <c r="A11">
        <v>1</v>
      </c>
      <c r="B11" t="s">
        <v>22</v>
      </c>
      <c r="C11" t="s">
        <v>23</v>
      </c>
      <c r="D11" s="14">
        <f>'GAS GROUP INPUT P1'!M11</f>
        <v>4.0999999999999996</v>
      </c>
      <c r="E11" s="14">
        <f>'GAS GROUP INPUT P1'!I11</f>
        <v>2.3199999999999998</v>
      </c>
      <c r="F11" s="14">
        <f>'GAS GROUP INPUT P1'!Q11</f>
        <v>36.049999999999997</v>
      </c>
      <c r="G11" s="5">
        <f>1-(E11/D11)</f>
        <v>0.43414634146341458</v>
      </c>
      <c r="H11" s="5">
        <f>D11/F11</f>
        <v>0.11373092926490985</v>
      </c>
      <c r="I11" s="14">
        <f>'GAS GROUP INPUT P2'!R11</f>
        <v>3391.58</v>
      </c>
      <c r="J11" s="14">
        <f>'GAS GROUP INPUT P1'!W11*'GAS GROUP INPUT P1'!Y11</f>
        <v>4204.95</v>
      </c>
      <c r="K11" s="5">
        <f>((J11/I11)^0.2)-1</f>
        <v>4.3930903254326914E-2</v>
      </c>
      <c r="L11" s="23">
        <f>2*(1+K11)/(2+K11)</f>
        <v>1.0214933406918896</v>
      </c>
      <c r="M11" s="5">
        <f>L11*H11</f>
        <v>0.11617538687480575</v>
      </c>
      <c r="N11" s="7">
        <f>'GAS GROUP INPUT P2'!V11</f>
        <v>62.5</v>
      </c>
      <c r="O11" s="23">
        <f>N11/F11</f>
        <v>1.7337031900138697</v>
      </c>
      <c r="P11" s="8">
        <f>'GAS GROUP INPUT P1'!R11</f>
        <v>117.88</v>
      </c>
      <c r="Q11" s="8">
        <f>'GAS GROUP INPUT P1'!S11</f>
        <v>117</v>
      </c>
      <c r="R11" s="41">
        <f>((Q11/P11)^0.2)-1</f>
        <v>-1.4975222072739491E-3</v>
      </c>
      <c r="S11" s="41">
        <f>O11*R11</f>
        <v>-2.5962590278674571E-3</v>
      </c>
      <c r="T11" s="5">
        <f>1-(1/O11)</f>
        <v>0.42320000000000002</v>
      </c>
      <c r="U11" s="5">
        <f>(M11*G11)+(S11*T11)</f>
        <v>4.9338382359200204E-2</v>
      </c>
    </row>
    <row r="12" spans="1:24">
      <c r="A12">
        <f>A11+1</f>
        <v>2</v>
      </c>
      <c r="B12" t="s">
        <v>24</v>
      </c>
      <c r="C12" t="s">
        <v>25</v>
      </c>
      <c r="D12" s="14">
        <f>'GAS GROUP INPUT P1'!M12</f>
        <v>3</v>
      </c>
      <c r="E12" s="14">
        <f>'GAS GROUP INPUT P1'!I12</f>
        <v>1.5</v>
      </c>
      <c r="F12" s="14">
        <f>'GAS GROUP INPUT P1'!Q12</f>
        <v>34.65</v>
      </c>
      <c r="G12" s="5">
        <f t="shared" ref="G12:G18" si="0">1-(E12/D12)</f>
        <v>0.5</v>
      </c>
      <c r="H12" s="5">
        <f t="shared" ref="H12:H18" si="1">D12/F12</f>
        <v>8.658008658008659E-2</v>
      </c>
      <c r="I12" s="14">
        <f>'GAS GROUP INPUT P2'!R12</f>
        <v>2360.5785000000001</v>
      </c>
      <c r="J12" s="14">
        <f>'GAS GROUP INPUT P1'!W12*'GAS GROUP INPUT P1'!Y12</f>
        <v>3570</v>
      </c>
      <c r="K12" s="5">
        <f t="shared" ref="K12:K18" si="2">((J12/I12)^0.2)-1</f>
        <v>8.6250410969036073E-2</v>
      </c>
      <c r="L12" s="23">
        <f t="shared" ref="L12:L18" si="3">2*(1+K12)/(2+K12)</f>
        <v>1.0413423098759145</v>
      </c>
      <c r="M12" s="5">
        <f t="shared" ref="M12:M17" si="4">L12*H12</f>
        <v>9.0159507348564039E-2</v>
      </c>
      <c r="N12" s="7">
        <f>'GAS GROUP INPUT P2'!V12</f>
        <v>42.5</v>
      </c>
      <c r="O12" s="23">
        <f t="shared" ref="O12:O18" si="5">N12/F12</f>
        <v>1.2265512265512266</v>
      </c>
      <c r="P12" s="8">
        <f>'GAS GROUP INPUT P1'!R12</f>
        <v>90.24</v>
      </c>
      <c r="Q12" s="8">
        <f>'GAS GROUP INPUT P1'!S12</f>
        <v>103</v>
      </c>
      <c r="R12" s="41">
        <f t="shared" ref="R12:R18" si="6">((Q12/P12)^0.2)-1</f>
        <v>2.6804179167808195E-2</v>
      </c>
      <c r="S12" s="41">
        <f t="shared" ref="S12:S18" si="7">O12*R12</f>
        <v>3.2876698834973982E-2</v>
      </c>
      <c r="T12" s="5">
        <f t="shared" ref="T12:T18" si="8">1-(1/O12)</f>
        <v>0.18470588235294116</v>
      </c>
      <c r="U12" s="5">
        <f t="shared" ref="U12:U18" si="9">(M12*G12)+(S12*T12)</f>
        <v>5.1152273341447799E-2</v>
      </c>
    </row>
    <row r="13" spans="1:24">
      <c r="A13" s="32">
        <f t="shared" ref="A13:A20" si="10">A12+1</f>
        <v>3</v>
      </c>
      <c r="B13" s="2" t="s">
        <v>26</v>
      </c>
      <c r="C13" s="2" t="s">
        <v>27</v>
      </c>
      <c r="D13" s="14">
        <f>'GAS GROUP INPUT P1'!M13</f>
        <v>3.3</v>
      </c>
      <c r="E13" s="14">
        <f>'GAS GROUP INPUT P1'!I13</f>
        <v>1.72</v>
      </c>
      <c r="F13" s="14">
        <f>'GAS GROUP INPUT P1'!Q13</f>
        <v>24.7</v>
      </c>
      <c r="G13" s="5">
        <f t="shared" si="0"/>
        <v>0.47878787878787876</v>
      </c>
      <c r="H13" s="5">
        <f t="shared" si="1"/>
        <v>0.13360323886639675</v>
      </c>
      <c r="I13" s="14">
        <f>'GAS GROUP INPUT P2'!R13</f>
        <v>814.11199999999997</v>
      </c>
      <c r="J13" s="14">
        <f>'GAS GROUP INPUT P1'!W13*'GAS GROUP INPUT P1'!Y13</f>
        <v>990.85</v>
      </c>
      <c r="K13" s="5">
        <f t="shared" si="2"/>
        <v>4.0075225124150515E-2</v>
      </c>
      <c r="L13" s="23">
        <f t="shared" si="3"/>
        <v>1.0196439938246453</v>
      </c>
      <c r="M13" s="5">
        <f t="shared" si="4"/>
        <v>0.13622774006564087</v>
      </c>
      <c r="N13" s="7">
        <f>'GAS GROUP INPUT P2'!V13</f>
        <v>45</v>
      </c>
      <c r="O13" s="23">
        <f t="shared" si="5"/>
        <v>1.8218623481781377</v>
      </c>
      <c r="P13" s="8">
        <f>'GAS GROUP INPUT P1'!R13</f>
        <v>41.53</v>
      </c>
      <c r="Q13" s="8">
        <f>'GAS GROUP INPUT P1'!S13</f>
        <v>40</v>
      </c>
      <c r="R13" s="41">
        <f t="shared" si="6"/>
        <v>-7.4792111600986422E-3</v>
      </c>
      <c r="S13" s="41">
        <f t="shared" si="7"/>
        <v>-1.3626093206657445E-2</v>
      </c>
      <c r="T13" s="5">
        <f t="shared" si="8"/>
        <v>0.45111111111111113</v>
      </c>
      <c r="U13" s="5">
        <f t="shared" si="9"/>
        <v>5.9077308651535904E-2</v>
      </c>
    </row>
    <row r="14" spans="1:24">
      <c r="A14" s="32">
        <f t="shared" si="10"/>
        <v>4</v>
      </c>
      <c r="B14" s="2" t="s">
        <v>28</v>
      </c>
      <c r="C14" s="2" t="s">
        <v>29</v>
      </c>
      <c r="D14" s="14">
        <f>'GAS GROUP INPUT P1'!M14</f>
        <v>3.2</v>
      </c>
      <c r="E14" s="14">
        <f>'GAS GROUP INPUT P1'!I14</f>
        <v>2</v>
      </c>
      <c r="F14" s="14">
        <f>'GAS GROUP INPUT P1'!Q14</f>
        <v>31.65</v>
      </c>
      <c r="G14" s="5">
        <f t="shared" si="0"/>
        <v>0.375</v>
      </c>
      <c r="H14" s="5">
        <f t="shared" si="1"/>
        <v>0.10110584518167458</v>
      </c>
      <c r="I14" s="14">
        <f>'GAS GROUP INPUT P2'!R14</f>
        <v>733.72050000000002</v>
      </c>
      <c r="J14" s="14">
        <f>'GAS GROUP INPUT P1'!W14*'GAS GROUP INPUT P1'!Y14</f>
        <v>886.6</v>
      </c>
      <c r="K14" s="5">
        <f t="shared" si="2"/>
        <v>3.8578707727142447E-2</v>
      </c>
      <c r="L14" s="23">
        <f t="shared" si="3"/>
        <v>1.018924316034947</v>
      </c>
      <c r="M14" s="5">
        <f t="shared" si="4"/>
        <v>0.10301920414887301</v>
      </c>
      <c r="N14" s="7">
        <f>'GAS GROUP INPUT P2'!V14</f>
        <v>55</v>
      </c>
      <c r="O14" s="23">
        <f t="shared" si="5"/>
        <v>1.7377567140600316</v>
      </c>
      <c r="P14" s="8">
        <f>'GAS GROUP INPUT P1'!R14</f>
        <v>26.92</v>
      </c>
      <c r="Q14" s="8">
        <f>'GAS GROUP INPUT P1'!S14</f>
        <v>28</v>
      </c>
      <c r="R14" s="41">
        <f t="shared" si="6"/>
        <v>7.8980272403090801E-3</v>
      </c>
      <c r="S14" s="41">
        <f t="shared" si="7"/>
        <v>1.3724849864676127E-2</v>
      </c>
      <c r="T14" s="5">
        <f t="shared" si="8"/>
        <v>0.42454545454545456</v>
      </c>
      <c r="U14" s="5">
        <f t="shared" si="9"/>
        <v>4.4459024180194429E-2</v>
      </c>
    </row>
    <row r="15" spans="1:24">
      <c r="A15" s="32">
        <f t="shared" si="10"/>
        <v>5</v>
      </c>
      <c r="B15" s="2" t="s">
        <v>30</v>
      </c>
      <c r="C15" s="2" t="s">
        <v>31</v>
      </c>
      <c r="D15" s="14">
        <f>'GAS GROUP INPUT P1'!M15</f>
        <v>2.0499999999999998</v>
      </c>
      <c r="E15" s="14">
        <f>'GAS GROUP INPUT P1'!I15</f>
        <v>1.39</v>
      </c>
      <c r="F15" s="14">
        <f>'GAS GROUP INPUT P1'!Q15</f>
        <v>18.05</v>
      </c>
      <c r="G15" s="5">
        <f t="shared" si="0"/>
        <v>0.32195121951219507</v>
      </c>
      <c r="H15" s="5">
        <f t="shared" si="1"/>
        <v>0.11357340720221605</v>
      </c>
      <c r="I15" s="14">
        <f>'GAS GROUP INPUT P2'!R15</f>
        <v>1027.0260000000001</v>
      </c>
      <c r="J15" s="14">
        <f>'GAS GROUP INPUT P1'!W15*'GAS GROUP INPUT P1'!Y15</f>
        <v>1375.5</v>
      </c>
      <c r="K15" s="5">
        <f t="shared" si="2"/>
        <v>6.0170782656769006E-2</v>
      </c>
      <c r="L15" s="23">
        <f t="shared" si="3"/>
        <v>1.0292066964366777</v>
      </c>
      <c r="M15" s="5">
        <f t="shared" si="4"/>
        <v>0.11689051122965036</v>
      </c>
      <c r="N15" s="7">
        <f>'GAS GROUP INPUT P2'!V15</f>
        <v>35</v>
      </c>
      <c r="O15" s="23">
        <f t="shared" si="5"/>
        <v>1.9390581717451523</v>
      </c>
      <c r="P15" s="8">
        <f>'GAS GROUP INPUT P1'!R15</f>
        <v>72.25</v>
      </c>
      <c r="Q15" s="8">
        <f>'GAS GROUP INPUT P1'!S15</f>
        <v>76</v>
      </c>
      <c r="R15" s="41">
        <f t="shared" si="6"/>
        <v>1.0171585096968139E-2</v>
      </c>
      <c r="S15" s="41">
        <f t="shared" si="7"/>
        <v>1.9723295201877277E-2</v>
      </c>
      <c r="T15" s="5">
        <f t="shared" si="8"/>
        <v>0.48428571428571421</v>
      </c>
      <c r="U15" s="5">
        <f t="shared" si="9"/>
        <v>4.7184752744699E-2</v>
      </c>
    </row>
    <row r="16" spans="1:24">
      <c r="A16" s="32">
        <f t="shared" si="10"/>
        <v>6</v>
      </c>
      <c r="B16" s="2" t="s">
        <v>32</v>
      </c>
      <c r="C16" s="2" t="s">
        <v>33</v>
      </c>
      <c r="D16" s="14">
        <f>'GAS GROUP INPUT P1'!M16</f>
        <v>4.5</v>
      </c>
      <c r="E16" s="14">
        <f>'GAS GROUP INPUT P1'!I16</f>
        <v>2.4500000000000002</v>
      </c>
      <c r="F16" s="14">
        <f>'GAS GROUP INPUT P1'!Q16</f>
        <v>30.55</v>
      </c>
      <c r="G16" s="5">
        <f t="shared" si="0"/>
        <v>0.45555555555555549</v>
      </c>
      <c r="H16" s="5">
        <f t="shared" si="1"/>
        <v>0.14729950900163666</v>
      </c>
      <c r="I16" s="14">
        <f>'GAS GROUP INPUT P2'!R16</f>
        <v>735.68000000000006</v>
      </c>
      <c r="J16" s="14">
        <f>'GAS GROUP INPUT P1'!W16*'GAS GROUP INPUT P1'!Y16</f>
        <v>1102</v>
      </c>
      <c r="K16" s="5">
        <f t="shared" si="2"/>
        <v>8.4172853905525535E-2</v>
      </c>
      <c r="L16" s="23">
        <f t="shared" si="3"/>
        <v>1.0403866952531284</v>
      </c>
      <c r="M16" s="5">
        <f t="shared" si="4"/>
        <v>0.15324844938262119</v>
      </c>
      <c r="N16" s="7">
        <f>'GAS GROUP INPUT P2'!V16</f>
        <v>62.5</v>
      </c>
      <c r="O16" s="23">
        <f t="shared" si="5"/>
        <v>2.0458265139116203</v>
      </c>
      <c r="P16" s="8">
        <f>'GAS GROUP INPUT P1'!R16</f>
        <v>31.65</v>
      </c>
      <c r="Q16" s="8">
        <f>'GAS GROUP INPUT P1'!S16</f>
        <v>36</v>
      </c>
      <c r="R16" s="41">
        <f t="shared" si="6"/>
        <v>2.6090713926452569E-2</v>
      </c>
      <c r="S16" s="41">
        <f t="shared" si="7"/>
        <v>5.3377074317619823E-2</v>
      </c>
      <c r="T16" s="5">
        <f t="shared" si="8"/>
        <v>0.51119999999999999</v>
      </c>
      <c r="U16" s="5">
        <f t="shared" si="9"/>
        <v>9.7099542887694679E-2</v>
      </c>
    </row>
    <row r="17" spans="1:21">
      <c r="A17" s="32">
        <f t="shared" si="10"/>
        <v>7</v>
      </c>
      <c r="B17" s="2" t="s">
        <v>34</v>
      </c>
      <c r="C17" s="2" t="s">
        <v>35</v>
      </c>
      <c r="D17" s="14">
        <f>'GAS GROUP INPUT P1'!M17</f>
        <v>4</v>
      </c>
      <c r="E17" s="14">
        <f>'GAS GROUP INPUT P1'!I17</f>
        <v>1.64</v>
      </c>
      <c r="F17" s="14">
        <f>'GAS GROUP INPUT P1'!Q17</f>
        <v>36</v>
      </c>
      <c r="G17" s="5">
        <f t="shared" si="0"/>
        <v>0.59000000000000008</v>
      </c>
      <c r="H17" s="5">
        <f t="shared" si="1"/>
        <v>0.1111111111111111</v>
      </c>
      <c r="I17" s="14">
        <f>'GAS GROUP INPUT P2'!R17</f>
        <v>1310.1320000000001</v>
      </c>
      <c r="J17" s="14">
        <f>'GAS GROUP INPUT P1'!W17*'GAS GROUP INPUT P1'!Y17</f>
        <v>1802.5</v>
      </c>
      <c r="K17" s="5">
        <f t="shared" si="2"/>
        <v>6.588915582660948E-2</v>
      </c>
      <c r="L17" s="23">
        <f t="shared" si="3"/>
        <v>1.0318938485352789</v>
      </c>
      <c r="M17" s="5">
        <f t="shared" si="4"/>
        <v>0.11465487205947543</v>
      </c>
      <c r="N17" s="7">
        <f>'GAS GROUP INPUT P2'!V17</f>
        <v>60</v>
      </c>
      <c r="O17" s="23">
        <f t="shared" si="5"/>
        <v>1.6666666666666667</v>
      </c>
      <c r="P17" s="8">
        <f>'GAS GROUP INPUT P1'!R17</f>
        <v>46.15</v>
      </c>
      <c r="Q17" s="8">
        <f>'GAS GROUP INPUT P1'!S17</f>
        <v>50</v>
      </c>
      <c r="R17" s="41">
        <f t="shared" si="6"/>
        <v>1.6154301211174227E-2</v>
      </c>
      <c r="S17" s="41">
        <f t="shared" si="7"/>
        <v>2.6923835351957047E-2</v>
      </c>
      <c r="T17" s="5">
        <f t="shared" si="8"/>
        <v>0.4</v>
      </c>
      <c r="U17" s="5">
        <f t="shared" si="9"/>
        <v>7.8415908655873334E-2</v>
      </c>
    </row>
    <row r="18" spans="1:21">
      <c r="A18" s="32">
        <f t="shared" si="10"/>
        <v>8</v>
      </c>
      <c r="B18" s="2" t="s">
        <v>37</v>
      </c>
      <c r="C18" s="2" t="s">
        <v>36</v>
      </c>
      <c r="D18" s="14">
        <f>'GAS GROUP INPUT P1'!M18</f>
        <v>2.95</v>
      </c>
      <c r="E18" s="14">
        <f>'GAS GROUP INPUT P1'!I18</f>
        <v>1.83</v>
      </c>
      <c r="F18" s="14">
        <f>'GAS GROUP INPUT P1'!Q18</f>
        <v>29.8</v>
      </c>
      <c r="G18" s="5">
        <f t="shared" si="0"/>
        <v>0.37966101694915255</v>
      </c>
      <c r="H18" s="5">
        <f t="shared" si="1"/>
        <v>9.8993288590604037E-2</v>
      </c>
      <c r="I18" s="14">
        <f>'GAS GROUP INPUT P2'!R18</f>
        <v>1273.6575000000003</v>
      </c>
      <c r="J18" s="14">
        <f>'GAS GROUP INPUT P1'!W18*'GAS GROUP INPUT P1'!Y18</f>
        <v>1533.375</v>
      </c>
      <c r="K18" s="5">
        <f t="shared" si="2"/>
        <v>3.7813090043111952E-2</v>
      </c>
      <c r="L18" s="23">
        <f t="shared" si="3"/>
        <v>1.0185557204573221</v>
      </c>
      <c r="M18" s="5">
        <f>L18*H18</f>
        <v>0.10083018038084231</v>
      </c>
      <c r="N18" s="7">
        <f>'GAS GROUP INPUT P2'!V18</f>
        <v>45</v>
      </c>
      <c r="O18" s="23">
        <f t="shared" si="5"/>
        <v>1.5100671140939597</v>
      </c>
      <c r="P18" s="8">
        <f>'GAS GROUP INPUT P1'!R18</f>
        <v>51.5</v>
      </c>
      <c r="Q18" s="8">
        <f>'GAS GROUP INPUT P1'!S18</f>
        <v>52</v>
      </c>
      <c r="R18" s="41">
        <f t="shared" si="6"/>
        <v>1.9342504359962653E-3</v>
      </c>
      <c r="S18" s="41">
        <f t="shared" si="7"/>
        <v>2.9208479738198636E-3</v>
      </c>
      <c r="T18" s="5">
        <f t="shared" si="8"/>
        <v>0.33777777777777773</v>
      </c>
      <c r="U18" s="5">
        <f t="shared" si="9"/>
        <v>3.9267886360380679E-2</v>
      </c>
    </row>
    <row r="19" spans="1:21">
      <c r="A19" s="32">
        <f t="shared" si="10"/>
        <v>9</v>
      </c>
      <c r="B19" s="2" t="s">
        <v>109</v>
      </c>
      <c r="C19" s="2"/>
      <c r="D19" s="14">
        <f>AVERAGE(D11:D18)</f>
        <v>3.3874999999999997</v>
      </c>
      <c r="E19" s="14">
        <f>AVERAGE(E11:E18)</f>
        <v>1.85625</v>
      </c>
      <c r="F19" s="14">
        <f>AVERAGE(F11:F18)</f>
        <v>30.181250000000002</v>
      </c>
      <c r="G19" s="11">
        <f>AVERAGE(G11:G18)</f>
        <v>0.44188775153352455</v>
      </c>
      <c r="H19" s="5">
        <f>AVERAGE(H11:H18)</f>
        <v>0.11324967697482947</v>
      </c>
      <c r="I19" s="14">
        <f t="shared" ref="I19:J19" si="11">AVERAGE(I11:I18)</f>
        <v>1455.8108124999999</v>
      </c>
      <c r="J19" s="14">
        <f t="shared" si="11"/>
        <v>1933.221875</v>
      </c>
      <c r="K19" s="5">
        <f>AVERAGE(K11:K18)</f>
        <v>5.711014118833399E-2</v>
      </c>
      <c r="M19" s="5">
        <f t="shared" ref="M19:U19" si="12">AVERAGE(M11:M18)</f>
        <v>0.11640073143630912</v>
      </c>
      <c r="N19" s="14">
        <f t="shared" si="12"/>
        <v>50.9375</v>
      </c>
      <c r="O19" s="23">
        <f t="shared" si="12"/>
        <v>1.7101864931525832</v>
      </c>
      <c r="P19" s="8">
        <f t="shared" si="12"/>
        <v>59.764999999999993</v>
      </c>
      <c r="Q19" s="8">
        <f t="shared" si="12"/>
        <v>62.75</v>
      </c>
      <c r="R19" s="41">
        <f t="shared" si="12"/>
        <v>1.0009540463916985E-2</v>
      </c>
      <c r="S19" s="41">
        <f t="shared" si="12"/>
        <v>1.6665531163799902E-2</v>
      </c>
      <c r="T19" s="5">
        <f t="shared" si="12"/>
        <v>0.40210324250912483</v>
      </c>
      <c r="U19" s="5">
        <f t="shared" si="12"/>
        <v>5.8249384897628258E-2</v>
      </c>
    </row>
    <row r="20" spans="1:21">
      <c r="A20" s="32">
        <f t="shared" si="10"/>
        <v>10</v>
      </c>
      <c r="B20" s="2" t="s">
        <v>211</v>
      </c>
      <c r="D20" s="14">
        <f>MEDIAN(D11:D18)</f>
        <v>3.25</v>
      </c>
      <c r="E20" s="14">
        <f t="shared" ref="E20:H20" si="13">MEDIAN(E11:E18)</f>
        <v>1.7749999999999999</v>
      </c>
      <c r="F20" s="14">
        <f t="shared" si="13"/>
        <v>31.1</v>
      </c>
      <c r="G20" s="5">
        <f t="shared" si="13"/>
        <v>0.44485094850948503</v>
      </c>
      <c r="H20" s="5">
        <f t="shared" si="13"/>
        <v>0.11234225915666357</v>
      </c>
      <c r="I20" s="14">
        <f t="shared" ref="I20:K20" si="14">MEDIAN(I11:I18)</f>
        <v>1150.34175</v>
      </c>
      <c r="J20" s="14">
        <f t="shared" si="14"/>
        <v>1454.4375</v>
      </c>
      <c r="K20" s="5">
        <f t="shared" si="14"/>
        <v>5.205084295554796E-2</v>
      </c>
      <c r="M20" s="5"/>
      <c r="N20" s="14">
        <f t="shared" ref="N20:P20" si="15">MEDIAN(N11:N18)</f>
        <v>50</v>
      </c>
      <c r="O20" s="23">
        <f t="shared" si="15"/>
        <v>1.7357299520369507</v>
      </c>
      <c r="P20" s="6">
        <f t="shared" si="15"/>
        <v>48.825000000000003</v>
      </c>
      <c r="Q20" s="6">
        <f t="shared" ref="Q20" si="16">MEDIAN(Q11:Q18)</f>
        <v>51</v>
      </c>
      <c r="T20" s="5"/>
      <c r="U20" s="5">
        <f>MEDIAN(U11:U18)</f>
        <v>5.0245327850323998E-2</v>
      </c>
    </row>
    <row r="21" spans="1:21">
      <c r="B21" s="40" t="s">
        <v>227</v>
      </c>
      <c r="K21" s="5"/>
    </row>
    <row r="22" spans="1:21">
      <c r="B22" s="40" t="s">
        <v>374</v>
      </c>
      <c r="K22" s="5"/>
    </row>
    <row r="23" spans="1:21">
      <c r="B23" s="40" t="s">
        <v>236</v>
      </c>
    </row>
    <row r="24" spans="1:21">
      <c r="B24" s="40" t="s">
        <v>237</v>
      </c>
    </row>
    <row r="25" spans="1:21">
      <c r="B25" s="40" t="s">
        <v>238</v>
      </c>
    </row>
    <row r="26" spans="1:21">
      <c r="B26" s="40" t="s">
        <v>239</v>
      </c>
    </row>
    <row r="27" spans="1:21">
      <c r="B27" s="40" t="s">
        <v>240</v>
      </c>
    </row>
    <row r="28" spans="1:21">
      <c r="B28" s="40" t="s">
        <v>242</v>
      </c>
    </row>
    <row r="29" spans="1:21">
      <c r="B29" s="40" t="s">
        <v>241</v>
      </c>
    </row>
    <row r="30" spans="1:21">
      <c r="B30" s="40" t="s">
        <v>243</v>
      </c>
    </row>
  </sheetData>
  <mergeCells count="3">
    <mergeCell ref="B3:U3"/>
    <mergeCell ref="B4:U4"/>
    <mergeCell ref="B5:U5"/>
  </mergeCells>
  <phoneticPr fontId="5" type="noConversion"/>
  <pageMargins left="0.75" right="0.75" top="1" bottom="1" header="0.5" footer="0.5"/>
  <pageSetup scale="48" orientation="landscape" horizontalDpi="4294967292" verticalDpi="4294967292" r:id="rId1"/>
  <headerFooter>
    <oddHeader>&amp;R&amp;"Calibri,Regular"&amp;K000000Exhibit OCS 2.6_x000D_Page 2 of 2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5:B5"/>
  <sheetViews>
    <sheetView workbookViewId="0">
      <selection sqref="A1:L5"/>
    </sheetView>
  </sheetViews>
  <sheetFormatPr defaultColWidth="11" defaultRowHeight="15.75"/>
  <sheetData>
    <row r="5" spans="1:2">
      <c r="A5" s="13"/>
      <c r="B5" s="13"/>
    </row>
  </sheetData>
  <phoneticPr fontId="5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sqref="A1:T3"/>
    </sheetView>
  </sheetViews>
  <sheetFormatPr defaultColWidth="11" defaultRowHeight="15.75"/>
  <sheetData/>
  <phoneticPr fontId="5" type="noConversion"/>
  <pageMargins left="0.75" right="0.75" top="1" bottom="1" header="0.5" footer="0.5"/>
  <pageSetup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50"/>
  <sheetViews>
    <sheetView topLeftCell="A22" workbookViewId="0">
      <selection activeCell="B4" sqref="B4:E5"/>
    </sheetView>
  </sheetViews>
  <sheetFormatPr defaultColWidth="11" defaultRowHeight="15.75"/>
  <cols>
    <col min="1" max="1" width="6.5" customWidth="1"/>
    <col min="2" max="2" width="28.5" customWidth="1"/>
    <col min="3" max="3" width="17" customWidth="1"/>
    <col min="4" max="4" width="14.625" customWidth="1"/>
    <col min="5" max="5" width="18" customWidth="1"/>
    <col min="6" max="6" width="22" customWidth="1"/>
    <col min="7" max="7" width="24.375" customWidth="1"/>
  </cols>
  <sheetData>
    <row r="1" spans="1:9">
      <c r="A1" s="39"/>
      <c r="B1" s="39"/>
      <c r="C1" s="39"/>
      <c r="D1" s="39"/>
      <c r="E1" s="39"/>
      <c r="F1" s="39"/>
      <c r="G1" s="39"/>
    </row>
    <row r="2" spans="1:9">
      <c r="A2" s="39"/>
      <c r="B2" s="39"/>
      <c r="C2" s="39"/>
      <c r="D2" s="39"/>
      <c r="E2" s="39"/>
      <c r="F2" s="39"/>
      <c r="G2" s="39"/>
    </row>
    <row r="3" spans="1:9">
      <c r="A3" s="39"/>
      <c r="B3" s="39"/>
      <c r="C3" s="39"/>
      <c r="D3" s="39"/>
      <c r="E3" s="39"/>
      <c r="F3" s="39"/>
      <c r="G3" s="39"/>
    </row>
    <row r="4" spans="1:9" ht="21">
      <c r="A4" s="39"/>
      <c r="B4" s="81" t="s">
        <v>298</v>
      </c>
      <c r="C4" s="81"/>
      <c r="D4" s="81"/>
      <c r="E4" s="81"/>
      <c r="F4" s="67"/>
      <c r="G4" s="67"/>
      <c r="H4" s="67"/>
      <c r="I4" s="67"/>
    </row>
    <row r="5" spans="1:9" ht="21">
      <c r="A5" s="39"/>
      <c r="B5" s="81" t="s">
        <v>299</v>
      </c>
      <c r="C5" s="81"/>
      <c r="D5" s="81"/>
      <c r="E5" s="81"/>
      <c r="F5" s="67"/>
      <c r="G5" s="67"/>
      <c r="H5" s="67"/>
      <c r="I5" s="67"/>
    </row>
    <row r="6" spans="1:9" ht="21">
      <c r="A6" s="39"/>
      <c r="B6" s="80" t="s">
        <v>285</v>
      </c>
      <c r="C6" s="80"/>
      <c r="D6" s="80"/>
      <c r="E6" s="80"/>
      <c r="F6" s="15"/>
      <c r="G6" s="15"/>
    </row>
    <row r="7" spans="1:9">
      <c r="A7" s="39"/>
      <c r="B7" s="39"/>
      <c r="C7" s="39"/>
      <c r="D7" s="39"/>
      <c r="E7" s="39"/>
      <c r="F7" s="39"/>
      <c r="G7" s="39"/>
    </row>
    <row r="8" spans="1:9">
      <c r="A8" s="39"/>
      <c r="B8" s="39"/>
      <c r="C8" s="39"/>
      <c r="D8" s="39"/>
      <c r="E8" s="39"/>
      <c r="F8" s="39"/>
      <c r="G8" s="39"/>
    </row>
    <row r="9" spans="1:9">
      <c r="A9" s="39"/>
      <c r="B9" s="39"/>
      <c r="C9" s="39"/>
      <c r="D9" s="39"/>
      <c r="E9" s="39"/>
      <c r="F9" s="39"/>
      <c r="G9" s="39"/>
    </row>
    <row r="10" spans="1:9">
      <c r="A10" s="32"/>
      <c r="B10" s="85" t="s">
        <v>257</v>
      </c>
      <c r="C10" s="85"/>
      <c r="D10" s="85"/>
      <c r="E10" s="85"/>
      <c r="F10" s="54"/>
      <c r="G10" s="54"/>
    </row>
    <row r="11" spans="1:9" ht="30">
      <c r="A11" s="44" t="s">
        <v>0</v>
      </c>
      <c r="B11" s="32"/>
      <c r="C11" s="32"/>
      <c r="D11" s="32"/>
      <c r="E11" s="32"/>
      <c r="F11" s="32"/>
      <c r="G11" s="32"/>
    </row>
    <row r="12" spans="1:9">
      <c r="A12" s="32">
        <v>1</v>
      </c>
      <c r="B12" s="44" t="s">
        <v>199</v>
      </c>
      <c r="C12" s="44" t="s">
        <v>213</v>
      </c>
      <c r="D12" s="44" t="s">
        <v>217</v>
      </c>
      <c r="E12" s="44" t="s">
        <v>214</v>
      </c>
      <c r="F12" s="52" t="s">
        <v>274</v>
      </c>
      <c r="G12" s="52"/>
    </row>
    <row r="13" spans="1:9">
      <c r="A13" s="32">
        <f>A12+1</f>
        <v>2</v>
      </c>
      <c r="B13" s="32" t="s">
        <v>215</v>
      </c>
      <c r="C13" s="11">
        <v>0.4793</v>
      </c>
      <c r="D13" s="11">
        <v>5.2299999999999999E-2</v>
      </c>
      <c r="E13" s="11">
        <f>C13*D13</f>
        <v>2.5067389999999998E-2</v>
      </c>
      <c r="F13" s="40" t="s">
        <v>332</v>
      </c>
      <c r="G13" s="40"/>
    </row>
    <row r="14" spans="1:9">
      <c r="A14" s="32">
        <f t="shared" ref="A14:A45" si="0">A13+1</f>
        <v>3</v>
      </c>
      <c r="B14" s="32" t="s">
        <v>216</v>
      </c>
      <c r="C14" s="11">
        <v>0.52070000000000005</v>
      </c>
      <c r="D14" s="11">
        <v>0.10349999999999999</v>
      </c>
      <c r="E14" s="11">
        <f>C14*D14</f>
        <v>5.3892450000000001E-2</v>
      </c>
      <c r="F14" s="40" t="s">
        <v>332</v>
      </c>
      <c r="G14" s="40"/>
    </row>
    <row r="15" spans="1:9">
      <c r="A15" s="32">
        <f t="shared" si="0"/>
        <v>4</v>
      </c>
      <c r="B15" s="32" t="s">
        <v>212</v>
      </c>
      <c r="C15" s="11">
        <f>SUM(C13:C14)</f>
        <v>1</v>
      </c>
      <c r="D15" s="32"/>
      <c r="E15" s="11">
        <f>SUM(E13:E14)</f>
        <v>7.8959840000000003E-2</v>
      </c>
      <c r="F15" s="40" t="s">
        <v>332</v>
      </c>
      <c r="G15" s="40"/>
    </row>
    <row r="16" spans="1:9">
      <c r="A16" s="32">
        <f t="shared" si="0"/>
        <v>5</v>
      </c>
      <c r="B16" s="32"/>
      <c r="C16" s="32"/>
      <c r="D16" s="32"/>
      <c r="E16" s="32"/>
      <c r="F16" s="32"/>
      <c r="G16" s="40"/>
    </row>
    <row r="17" spans="1:7">
      <c r="A17" s="32">
        <f t="shared" si="0"/>
        <v>6</v>
      </c>
      <c r="B17" s="32"/>
      <c r="C17" s="32"/>
      <c r="D17" s="32"/>
      <c r="E17" s="32"/>
      <c r="F17" s="32"/>
      <c r="G17" s="32"/>
    </row>
    <row r="18" spans="1:7">
      <c r="A18" s="32">
        <f t="shared" si="0"/>
        <v>7</v>
      </c>
      <c r="B18" s="85" t="s">
        <v>258</v>
      </c>
      <c r="C18" s="85"/>
      <c r="D18" s="85"/>
      <c r="E18" s="85"/>
      <c r="F18" s="54"/>
      <c r="G18" s="54"/>
    </row>
    <row r="19" spans="1:7">
      <c r="A19" s="32">
        <f t="shared" si="0"/>
        <v>8</v>
      </c>
      <c r="B19" s="32"/>
      <c r="C19" s="32"/>
      <c r="D19" s="32"/>
      <c r="E19" s="32"/>
      <c r="F19" s="32"/>
      <c r="G19" s="32"/>
    </row>
    <row r="20" spans="1:7">
      <c r="A20" s="32">
        <f t="shared" si="0"/>
        <v>9</v>
      </c>
      <c r="B20" s="44" t="s">
        <v>199</v>
      </c>
      <c r="C20" s="44" t="s">
        <v>213</v>
      </c>
      <c r="D20" s="44" t="s">
        <v>217</v>
      </c>
      <c r="E20" s="44" t="s">
        <v>214</v>
      </c>
      <c r="F20" s="44"/>
      <c r="G20" s="44"/>
    </row>
    <row r="21" spans="1:7">
      <c r="A21" s="32">
        <f t="shared" si="0"/>
        <v>10</v>
      </c>
      <c r="B21" s="32" t="s">
        <v>215</v>
      </c>
      <c r="C21" s="11">
        <f>C13</f>
        <v>0.4793</v>
      </c>
      <c r="D21" s="11">
        <f>D13</f>
        <v>5.2299999999999999E-2</v>
      </c>
      <c r="E21" s="11">
        <f>C21*D21</f>
        <v>2.5067389999999998E-2</v>
      </c>
      <c r="F21" s="53" t="s">
        <v>333</v>
      </c>
      <c r="G21" s="53"/>
    </row>
    <row r="22" spans="1:7">
      <c r="A22" s="32">
        <f t="shared" si="0"/>
        <v>11</v>
      </c>
      <c r="B22" s="32" t="s">
        <v>216</v>
      </c>
      <c r="C22" s="11">
        <f>C14</f>
        <v>0.52070000000000005</v>
      </c>
      <c r="D22" s="11">
        <v>9.2999999999999999E-2</v>
      </c>
      <c r="E22" s="11">
        <f>C22*D22</f>
        <v>4.8425100000000006E-2</v>
      </c>
      <c r="F22" s="53" t="s">
        <v>333</v>
      </c>
      <c r="G22" s="53"/>
    </row>
    <row r="23" spans="1:7">
      <c r="A23" s="32">
        <f t="shared" si="0"/>
        <v>12</v>
      </c>
      <c r="B23" s="32" t="s">
        <v>212</v>
      </c>
      <c r="C23" s="11">
        <f>SUM(C21:C22)</f>
        <v>1</v>
      </c>
      <c r="D23" s="32"/>
      <c r="E23" s="11">
        <f>SUM(E21:E22)</f>
        <v>7.3492490000000008E-2</v>
      </c>
      <c r="F23" s="53" t="s">
        <v>333</v>
      </c>
      <c r="G23" s="53"/>
    </row>
    <row r="24" spans="1:7">
      <c r="A24" s="32">
        <f t="shared" si="0"/>
        <v>13</v>
      </c>
      <c r="B24" s="32"/>
      <c r="C24" s="32"/>
      <c r="D24" s="32"/>
      <c r="E24" s="32"/>
      <c r="F24" s="32"/>
      <c r="G24" s="32"/>
    </row>
    <row r="25" spans="1:7">
      <c r="A25" s="32">
        <f t="shared" si="0"/>
        <v>14</v>
      </c>
      <c r="B25" s="32"/>
      <c r="C25" s="32"/>
      <c r="D25" s="32"/>
      <c r="E25" s="32"/>
      <c r="F25" s="32"/>
      <c r="G25" s="32"/>
    </row>
    <row r="26" spans="1:7">
      <c r="A26" s="32">
        <f t="shared" si="0"/>
        <v>15</v>
      </c>
      <c r="B26" s="85"/>
      <c r="C26" s="85"/>
      <c r="D26" s="85"/>
      <c r="E26" s="85"/>
      <c r="F26" s="32"/>
      <c r="G26" s="32"/>
    </row>
    <row r="27" spans="1:7">
      <c r="A27" s="32">
        <f t="shared" si="0"/>
        <v>16</v>
      </c>
      <c r="B27" s="32"/>
      <c r="C27" s="43" t="s">
        <v>56</v>
      </c>
      <c r="D27" s="43" t="s">
        <v>57</v>
      </c>
      <c r="E27" s="43" t="s">
        <v>58</v>
      </c>
      <c r="F27" s="32"/>
      <c r="G27" s="32"/>
    </row>
    <row r="28" spans="1:7" ht="30">
      <c r="A28" s="32">
        <f t="shared" si="0"/>
        <v>17</v>
      </c>
      <c r="B28" s="32" t="s">
        <v>199</v>
      </c>
      <c r="C28" s="44" t="s">
        <v>259</v>
      </c>
      <c r="D28" s="44" t="s">
        <v>260</v>
      </c>
      <c r="E28" s="44" t="s">
        <v>261</v>
      </c>
      <c r="F28" s="44"/>
      <c r="G28" s="32"/>
    </row>
    <row r="29" spans="1:7">
      <c r="A29" s="32">
        <f t="shared" si="0"/>
        <v>18</v>
      </c>
      <c r="B29" s="32" t="s">
        <v>262</v>
      </c>
      <c r="C29" s="45">
        <v>1008377277</v>
      </c>
      <c r="D29" s="45">
        <v>0</v>
      </c>
      <c r="E29" s="45">
        <f>C29-D29</f>
        <v>1008377277</v>
      </c>
      <c r="F29" s="40" t="s">
        <v>334</v>
      </c>
      <c r="G29" s="40"/>
    </row>
    <row r="30" spans="1:7">
      <c r="A30" s="32">
        <f t="shared" si="0"/>
        <v>19</v>
      </c>
      <c r="B30" s="32" t="s">
        <v>263</v>
      </c>
      <c r="C30" s="11">
        <f>E15</f>
        <v>7.8959840000000003E-2</v>
      </c>
      <c r="D30" s="32"/>
      <c r="E30" s="11">
        <f>E23</f>
        <v>7.3492490000000008E-2</v>
      </c>
      <c r="F30" s="40" t="s">
        <v>276</v>
      </c>
      <c r="G30" s="40"/>
    </row>
    <row r="31" spans="1:7">
      <c r="A31" s="32">
        <f t="shared" si="0"/>
        <v>20</v>
      </c>
      <c r="B31" s="32" t="s">
        <v>264</v>
      </c>
      <c r="C31" s="46">
        <f>C30*C29</f>
        <v>79621308.451555684</v>
      </c>
      <c r="D31" s="46">
        <f>E31-C31</f>
        <v>-5513151.5054059476</v>
      </c>
      <c r="E31" s="46">
        <f>E29*E30</f>
        <v>74108156.946149737</v>
      </c>
      <c r="F31" s="40" t="s">
        <v>275</v>
      </c>
      <c r="G31" s="40"/>
    </row>
    <row r="32" spans="1:7">
      <c r="A32" s="32">
        <f t="shared" si="0"/>
        <v>21</v>
      </c>
      <c r="B32" s="32" t="s">
        <v>265</v>
      </c>
      <c r="C32" s="45">
        <v>53000279</v>
      </c>
      <c r="D32" s="32"/>
      <c r="E32" s="45">
        <f t="shared" ref="E32:E35" si="1">C32-D32</f>
        <v>53000279</v>
      </c>
      <c r="F32" s="40" t="s">
        <v>334</v>
      </c>
      <c r="G32" s="40"/>
    </row>
    <row r="33" spans="1:7">
      <c r="A33" s="32">
        <f t="shared" si="0"/>
        <v>22</v>
      </c>
      <c r="B33" s="32" t="s">
        <v>266</v>
      </c>
      <c r="C33" s="45">
        <f>C31+C32</f>
        <v>132621587.45155568</v>
      </c>
      <c r="D33" s="32"/>
      <c r="E33" s="45">
        <f>E31+E32</f>
        <v>127108435.94614974</v>
      </c>
      <c r="F33" s="40" t="s">
        <v>335</v>
      </c>
      <c r="G33" s="40"/>
    </row>
    <row r="34" spans="1:7">
      <c r="A34" s="32">
        <f t="shared" si="0"/>
        <v>23</v>
      </c>
      <c r="B34" s="32" t="s">
        <v>267</v>
      </c>
      <c r="C34" s="45">
        <f>C13*C29</f>
        <v>483315228.86610001</v>
      </c>
      <c r="D34" s="32"/>
      <c r="E34" s="45">
        <f t="shared" si="1"/>
        <v>483315228.86610001</v>
      </c>
      <c r="F34" s="40" t="s">
        <v>277</v>
      </c>
      <c r="G34" s="40"/>
    </row>
    <row r="35" spans="1:7">
      <c r="A35" s="32">
        <f t="shared" si="0"/>
        <v>24</v>
      </c>
      <c r="B35" s="32" t="s">
        <v>268</v>
      </c>
      <c r="C35" s="45">
        <f>C34*D13</f>
        <v>25277386.469697032</v>
      </c>
      <c r="D35" s="32"/>
      <c r="E35" s="45">
        <f t="shared" si="1"/>
        <v>25277386.469697032</v>
      </c>
      <c r="F35" s="40" t="s">
        <v>278</v>
      </c>
      <c r="G35" s="40"/>
    </row>
    <row r="36" spans="1:7">
      <c r="A36" s="32">
        <f t="shared" si="0"/>
        <v>25</v>
      </c>
      <c r="B36" s="32" t="s">
        <v>269</v>
      </c>
      <c r="C36" s="11">
        <f>C13</f>
        <v>0.4793</v>
      </c>
      <c r="D36" s="32"/>
      <c r="E36" s="11">
        <f>C21</f>
        <v>0.4793</v>
      </c>
      <c r="F36" s="40" t="s">
        <v>336</v>
      </c>
      <c r="G36" s="40"/>
    </row>
    <row r="37" spans="1:7">
      <c r="A37" s="32">
        <f t="shared" si="0"/>
        <v>26</v>
      </c>
      <c r="B37" s="32" t="s">
        <v>273</v>
      </c>
      <c r="C37" s="50">
        <f>C33-C35</f>
        <v>107344200.98185866</v>
      </c>
      <c r="D37" s="32"/>
      <c r="E37" s="50">
        <f>E33-E35</f>
        <v>101831049.47645271</v>
      </c>
      <c r="F37" s="40" t="s">
        <v>337</v>
      </c>
      <c r="G37" s="40"/>
    </row>
    <row r="38" spans="1:7">
      <c r="A38" s="32">
        <f t="shared" si="0"/>
        <v>27</v>
      </c>
      <c r="B38" s="32"/>
      <c r="C38" s="50"/>
      <c r="D38" s="32"/>
      <c r="E38" s="50"/>
      <c r="F38" s="32"/>
      <c r="G38" s="32"/>
    </row>
    <row r="39" spans="1:7" ht="18.75">
      <c r="A39" s="32">
        <f t="shared" si="0"/>
        <v>28</v>
      </c>
      <c r="B39" s="79" t="s">
        <v>286</v>
      </c>
      <c r="C39" s="79"/>
      <c r="D39" s="79"/>
      <c r="E39" s="79"/>
      <c r="F39" s="79"/>
      <c r="G39" s="32"/>
    </row>
    <row r="40" spans="1:7">
      <c r="A40" s="32">
        <f t="shared" si="0"/>
        <v>29</v>
      </c>
      <c r="B40" s="32"/>
      <c r="C40" s="50"/>
      <c r="D40" s="32"/>
      <c r="E40" s="32"/>
      <c r="F40" s="32"/>
      <c r="G40" s="32"/>
    </row>
    <row r="41" spans="1:7" ht="18.75">
      <c r="A41" s="32">
        <f t="shared" si="0"/>
        <v>30</v>
      </c>
      <c r="B41" s="51"/>
      <c r="C41" s="72" t="s">
        <v>56</v>
      </c>
      <c r="D41" s="72" t="s">
        <v>57</v>
      </c>
      <c r="E41" s="72" t="s">
        <v>58</v>
      </c>
      <c r="F41" s="72" t="s">
        <v>8</v>
      </c>
      <c r="G41" s="72" t="s">
        <v>59</v>
      </c>
    </row>
    <row r="42" spans="1:7" ht="30">
      <c r="A42" s="32">
        <f t="shared" si="0"/>
        <v>31</v>
      </c>
      <c r="B42" s="47" t="s">
        <v>270</v>
      </c>
      <c r="C42" s="44" t="s">
        <v>259</v>
      </c>
      <c r="D42" s="44"/>
      <c r="E42" s="44" t="s">
        <v>261</v>
      </c>
      <c r="F42" s="44" t="s">
        <v>338</v>
      </c>
      <c r="G42" s="32"/>
    </row>
    <row r="43" spans="1:7">
      <c r="A43" s="32">
        <f t="shared" si="0"/>
        <v>32</v>
      </c>
      <c r="B43" s="32" t="s">
        <v>271</v>
      </c>
      <c r="C43" s="11">
        <f>(C37+C35)/C34</f>
        <v>0.27439976961350376</v>
      </c>
      <c r="D43" s="32"/>
      <c r="E43" s="11">
        <f>(E37+E35)/E34</f>
        <v>0.2629928219815405</v>
      </c>
      <c r="F43" s="3" t="s">
        <v>339</v>
      </c>
      <c r="G43" s="32"/>
    </row>
    <row r="44" spans="1:7">
      <c r="A44" s="32">
        <f t="shared" si="0"/>
        <v>33</v>
      </c>
      <c r="B44" s="32" t="s">
        <v>272</v>
      </c>
      <c r="C44" s="6">
        <f>C33/C35</f>
        <v>5.2466495145985421</v>
      </c>
      <c r="D44" s="6"/>
      <c r="E44" s="6">
        <f>E33/E35</f>
        <v>5.0285434413296457</v>
      </c>
      <c r="F44" s="48" t="s">
        <v>340</v>
      </c>
      <c r="G44" s="32"/>
    </row>
    <row r="45" spans="1:7">
      <c r="A45" s="32">
        <f t="shared" si="0"/>
        <v>34</v>
      </c>
      <c r="B45" s="32" t="s">
        <v>269</v>
      </c>
      <c r="C45" s="11">
        <f>C13</f>
        <v>0.4793</v>
      </c>
      <c r="D45" s="32"/>
      <c r="E45" s="11">
        <f>C21</f>
        <v>0.4793</v>
      </c>
      <c r="F45" s="3" t="s">
        <v>341</v>
      </c>
      <c r="G45" s="32"/>
    </row>
    <row r="46" spans="1:7">
      <c r="A46" s="32"/>
      <c r="B46" s="32"/>
      <c r="C46" s="11"/>
      <c r="D46" s="32"/>
      <c r="E46" s="11"/>
      <c r="F46" s="3"/>
      <c r="G46" s="32"/>
    </row>
    <row r="47" spans="1:7">
      <c r="A47" s="32"/>
      <c r="B47" s="49" t="s">
        <v>227</v>
      </c>
      <c r="C47" s="32"/>
      <c r="D47" s="32"/>
      <c r="E47" s="32"/>
      <c r="F47" s="32"/>
      <c r="G47" s="32"/>
    </row>
    <row r="48" spans="1:7">
      <c r="A48" s="32"/>
      <c r="B48" s="49" t="s">
        <v>342</v>
      </c>
      <c r="C48" s="32"/>
      <c r="D48" s="32"/>
      <c r="E48" s="32"/>
      <c r="F48" s="32"/>
      <c r="G48" s="32"/>
    </row>
    <row r="49" spans="1:7">
      <c r="A49" s="32"/>
      <c r="B49" s="49" t="s">
        <v>343</v>
      </c>
      <c r="C49" s="32"/>
      <c r="D49" s="32"/>
      <c r="E49" s="32"/>
      <c r="F49" s="32"/>
      <c r="G49" s="32"/>
    </row>
    <row r="50" spans="1:7">
      <c r="B50" s="49" t="s">
        <v>344</v>
      </c>
      <c r="C50" s="32"/>
      <c r="D50" s="32"/>
      <c r="E50" s="32"/>
      <c r="F50" s="32"/>
      <c r="G50" s="32"/>
    </row>
  </sheetData>
  <mergeCells count="7">
    <mergeCell ref="B10:E10"/>
    <mergeCell ref="B26:E26"/>
    <mergeCell ref="B39:F39"/>
    <mergeCell ref="B18:E18"/>
    <mergeCell ref="B4:E4"/>
    <mergeCell ref="B5:E5"/>
    <mergeCell ref="B6:E6"/>
  </mergeCells>
  <phoneticPr fontId="5" type="noConversion"/>
  <pageMargins left="0.75" right="0.75" top="1" bottom="1" header="0.5" footer="0.5"/>
  <pageSetup scale="78" orientation="portrait" horizontalDpi="4294967292" verticalDpi="4294967292"/>
  <headerFooter>
    <oddHeader>&amp;R&amp;"Calibri,Regular"&amp;K000000EXHIBIT OCS 2.11_x000D_PAGE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52"/>
  <sheetViews>
    <sheetView workbookViewId="0">
      <selection sqref="A1:E28"/>
    </sheetView>
  </sheetViews>
  <sheetFormatPr defaultColWidth="11" defaultRowHeight="15.75"/>
  <cols>
    <col min="1" max="1" width="6.5" customWidth="1"/>
    <col min="2" max="2" width="41.375" customWidth="1"/>
    <col min="3" max="3" width="14.5" bestFit="1" customWidth="1"/>
    <col min="4" max="4" width="15.625" customWidth="1"/>
    <col min="5" max="5" width="22.125" customWidth="1"/>
    <col min="6" max="6" width="13.875" bestFit="1" customWidth="1"/>
    <col min="7" max="7" width="17.375" customWidth="1"/>
  </cols>
  <sheetData>
    <row r="1" spans="1:1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1">
      <c r="A3" s="73"/>
      <c r="B3" s="86" t="s">
        <v>298</v>
      </c>
      <c r="C3" s="86"/>
      <c r="D3" s="86"/>
      <c r="E3" s="86"/>
      <c r="F3" s="73"/>
      <c r="G3" s="73"/>
      <c r="H3" s="73"/>
      <c r="I3" s="73"/>
      <c r="J3" s="73"/>
      <c r="K3" s="73"/>
    </row>
    <row r="4" spans="1:11" ht="21">
      <c r="A4" s="73"/>
      <c r="B4" s="86" t="s">
        <v>299</v>
      </c>
      <c r="C4" s="86"/>
      <c r="D4" s="86"/>
      <c r="E4" s="86"/>
      <c r="F4" s="73"/>
      <c r="G4" s="73"/>
      <c r="H4" s="73"/>
      <c r="I4" s="73"/>
      <c r="J4" s="73"/>
      <c r="K4" s="73"/>
    </row>
    <row r="5" spans="1:1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21">
      <c r="A6" s="73"/>
      <c r="B6" s="78" t="s">
        <v>373</v>
      </c>
      <c r="C6" s="78"/>
      <c r="D6" s="78"/>
      <c r="E6" s="78"/>
      <c r="F6" s="73"/>
      <c r="G6" s="73"/>
      <c r="H6" s="73"/>
      <c r="I6" s="73"/>
      <c r="J6" s="73"/>
      <c r="K6" s="73"/>
    </row>
    <row r="7" spans="1:1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>
      <c r="A9" s="73"/>
      <c r="B9" s="73"/>
      <c r="C9" s="73" t="s">
        <v>56</v>
      </c>
      <c r="D9" s="73" t="s">
        <v>57</v>
      </c>
      <c r="E9" s="73"/>
      <c r="F9" s="73"/>
      <c r="G9" s="73"/>
      <c r="H9" s="73"/>
      <c r="I9" s="73"/>
      <c r="J9" s="73"/>
      <c r="K9" s="73"/>
    </row>
    <row r="10" spans="1:11" ht="47.25">
      <c r="A10" s="74" t="s">
        <v>0</v>
      </c>
      <c r="B10" s="74" t="s">
        <v>199</v>
      </c>
      <c r="C10" s="74" t="s">
        <v>355</v>
      </c>
      <c r="D10" s="74" t="s">
        <v>356</v>
      </c>
      <c r="E10" s="74" t="s">
        <v>274</v>
      </c>
      <c r="F10" s="74"/>
      <c r="G10" s="74"/>
      <c r="H10" s="74"/>
      <c r="I10" s="74"/>
      <c r="J10" s="73"/>
      <c r="K10" s="73"/>
    </row>
    <row r="11" spans="1:11">
      <c r="A11">
        <v>1</v>
      </c>
      <c r="B11" t="s">
        <v>345</v>
      </c>
      <c r="C11" s="46">
        <v>10000000</v>
      </c>
      <c r="E11" s="77" t="s">
        <v>361</v>
      </c>
    </row>
    <row r="12" spans="1:11">
      <c r="A12" s="76">
        <f>A11+1</f>
        <v>2</v>
      </c>
      <c r="B12" t="s">
        <v>346</v>
      </c>
      <c r="C12" s="5">
        <v>7.8899999999999998E-2</v>
      </c>
      <c r="E12" s="77" t="s">
        <v>361</v>
      </c>
    </row>
    <row r="13" spans="1:11">
      <c r="A13" s="76">
        <f t="shared" ref="A13:A27" si="0">A12+1</f>
        <v>3</v>
      </c>
      <c r="B13" t="s">
        <v>348</v>
      </c>
      <c r="C13" s="5">
        <v>0.04</v>
      </c>
      <c r="E13" s="77" t="s">
        <v>362</v>
      </c>
    </row>
    <row r="14" spans="1:11">
      <c r="A14" s="76">
        <f t="shared" si="0"/>
        <v>4</v>
      </c>
      <c r="B14" t="s">
        <v>349</v>
      </c>
      <c r="C14" s="5">
        <f>C12+C13</f>
        <v>0.11890000000000001</v>
      </c>
      <c r="D14">
        <v>1.5</v>
      </c>
      <c r="E14" s="77" t="s">
        <v>364</v>
      </c>
    </row>
    <row r="15" spans="1:11">
      <c r="A15" s="76">
        <f t="shared" si="0"/>
        <v>5</v>
      </c>
      <c r="B15" t="s">
        <v>347</v>
      </c>
      <c r="C15" s="75">
        <f>C14*C11</f>
        <v>1189000</v>
      </c>
      <c r="D15" s="5">
        <v>0.05</v>
      </c>
      <c r="E15" s="77" t="s">
        <v>363</v>
      </c>
    </row>
    <row r="16" spans="1:11">
      <c r="A16" s="76">
        <f t="shared" si="0"/>
        <v>6</v>
      </c>
      <c r="E16" s="77"/>
    </row>
    <row r="17" spans="1:7">
      <c r="A17" s="76">
        <f t="shared" si="0"/>
        <v>7</v>
      </c>
      <c r="B17" t="s">
        <v>350</v>
      </c>
      <c r="E17" s="77"/>
    </row>
    <row r="18" spans="1:7">
      <c r="A18" s="76">
        <f t="shared" si="0"/>
        <v>8</v>
      </c>
      <c r="B18" s="32" t="s">
        <v>351</v>
      </c>
      <c r="C18" s="75">
        <f>C15</f>
        <v>1189000</v>
      </c>
      <c r="D18" s="75">
        <f>C18*(1+$D$15)^$D$14-C18</f>
        <v>90280.568376226118</v>
      </c>
      <c r="E18" s="77" t="s">
        <v>365</v>
      </c>
      <c r="F18" s="75"/>
      <c r="G18" s="75"/>
    </row>
    <row r="19" spans="1:7">
      <c r="A19" s="76">
        <f t="shared" si="0"/>
        <v>9</v>
      </c>
      <c r="B19" s="32" t="s">
        <v>352</v>
      </c>
      <c r="C19" s="75">
        <f>C15</f>
        <v>1189000</v>
      </c>
      <c r="D19" s="75">
        <f t="shared" ref="D19:D20" si="1">C19*(1+$D$15)^$D$14-C19</f>
        <v>90280.568376226118</v>
      </c>
      <c r="E19" s="77" t="s">
        <v>366</v>
      </c>
      <c r="F19" s="75"/>
      <c r="G19" s="75"/>
    </row>
    <row r="20" spans="1:7">
      <c r="A20" s="76">
        <f t="shared" si="0"/>
        <v>10</v>
      </c>
      <c r="B20" s="32" t="s">
        <v>353</v>
      </c>
      <c r="C20" s="75">
        <f>C19</f>
        <v>1189000</v>
      </c>
      <c r="D20" s="75">
        <f t="shared" si="1"/>
        <v>90280.568376226118</v>
      </c>
      <c r="E20" s="77" t="s">
        <v>367</v>
      </c>
      <c r="F20" s="75"/>
      <c r="G20" s="75"/>
    </row>
    <row r="21" spans="1:7">
      <c r="A21" s="76">
        <f t="shared" si="0"/>
        <v>11</v>
      </c>
      <c r="B21" t="s">
        <v>354</v>
      </c>
      <c r="C21" s="75">
        <f>SUM(C18:C20)</f>
        <v>3567000</v>
      </c>
      <c r="D21" s="75">
        <f>SUM(D18:D20)</f>
        <v>270841.70512867835</v>
      </c>
      <c r="E21" s="77" t="s">
        <v>368</v>
      </c>
      <c r="F21" s="75"/>
      <c r="G21" s="75"/>
    </row>
    <row r="22" spans="1:7">
      <c r="A22" s="76">
        <f t="shared" si="0"/>
        <v>12</v>
      </c>
      <c r="E22" s="77"/>
    </row>
    <row r="23" spans="1:7">
      <c r="A23" s="76">
        <f t="shared" si="0"/>
        <v>13</v>
      </c>
      <c r="B23" t="s">
        <v>357</v>
      </c>
      <c r="C23" s="50">
        <v>54531535</v>
      </c>
      <c r="E23" s="77" t="s">
        <v>369</v>
      </c>
    </row>
    <row r="24" spans="1:7">
      <c r="A24" s="76">
        <f t="shared" si="0"/>
        <v>14</v>
      </c>
      <c r="B24" t="s">
        <v>358</v>
      </c>
      <c r="C24">
        <v>10.35</v>
      </c>
      <c r="E24" s="77" t="s">
        <v>370</v>
      </c>
    </row>
    <row r="25" spans="1:7">
      <c r="A25" s="76">
        <f t="shared" si="0"/>
        <v>15</v>
      </c>
      <c r="B25" t="s">
        <v>359</v>
      </c>
      <c r="C25" s="50">
        <f>C23/1035</f>
        <v>52687.473429951693</v>
      </c>
      <c r="E25" s="77" t="s">
        <v>371</v>
      </c>
    </row>
    <row r="26" spans="1:7">
      <c r="A26" s="76">
        <f t="shared" si="0"/>
        <v>16</v>
      </c>
      <c r="E26" s="77"/>
    </row>
    <row r="27" spans="1:7">
      <c r="A27" s="76">
        <f t="shared" si="0"/>
        <v>17</v>
      </c>
      <c r="B27" t="s">
        <v>360</v>
      </c>
      <c r="C27">
        <f>D21/C25</f>
        <v>5.1405331760454223</v>
      </c>
      <c r="E27" s="77" t="s">
        <v>372</v>
      </c>
    </row>
    <row r="28" spans="1:7">
      <c r="A28" s="76"/>
    </row>
    <row r="29" spans="1:7">
      <c r="A29" s="76"/>
    </row>
    <row r="30" spans="1:7">
      <c r="A30" s="76"/>
    </row>
    <row r="31" spans="1:7">
      <c r="A31" s="76"/>
    </row>
    <row r="32" spans="1:7">
      <c r="A32" s="76"/>
    </row>
    <row r="33" spans="1:1">
      <c r="A33" s="76"/>
    </row>
    <row r="34" spans="1:1">
      <c r="A34" s="76"/>
    </row>
    <row r="35" spans="1:1">
      <c r="A35" s="76"/>
    </row>
    <row r="36" spans="1:1">
      <c r="A36" s="76"/>
    </row>
    <row r="37" spans="1:1">
      <c r="A37" s="76"/>
    </row>
    <row r="38" spans="1:1">
      <c r="A38" s="76"/>
    </row>
    <row r="39" spans="1:1">
      <c r="A39" s="76"/>
    </row>
    <row r="40" spans="1:1">
      <c r="A40" s="76"/>
    </row>
    <row r="41" spans="1:1">
      <c r="A41" s="76"/>
    </row>
    <row r="42" spans="1:1">
      <c r="A42" s="76"/>
    </row>
    <row r="43" spans="1:1">
      <c r="A43" s="76"/>
    </row>
    <row r="44" spans="1:1">
      <c r="A44" s="76"/>
    </row>
    <row r="45" spans="1:1">
      <c r="A45" s="76"/>
    </row>
    <row r="46" spans="1:1">
      <c r="A46" s="76"/>
    </row>
    <row r="47" spans="1:1">
      <c r="A47" s="76"/>
    </row>
    <row r="48" spans="1:1">
      <c r="A48" s="76"/>
    </row>
    <row r="49" spans="1:1">
      <c r="A49" s="76"/>
    </row>
    <row r="50" spans="1:1">
      <c r="A50" s="76"/>
    </row>
    <row r="51" spans="1:1">
      <c r="A51" s="76"/>
    </row>
    <row r="52" spans="1:1">
      <c r="A52" s="76"/>
    </row>
  </sheetData>
  <mergeCells count="3">
    <mergeCell ref="B3:E3"/>
    <mergeCell ref="B4:E4"/>
    <mergeCell ref="B6:E6"/>
  </mergeCells>
  <phoneticPr fontId="5" type="noConversion"/>
  <pageMargins left="0.75" right="0.75" top="1" bottom="1" header="0.5" footer="0.5"/>
  <pageSetup orientation="landscape" horizontalDpi="4294967292" verticalDpi="4294967292"/>
  <headerFooter>
    <oddHeader>&amp;R&amp;"Calibri,Regular"&amp;K000000Exhibit OCS 2.12_x000D_Page 1 of  1_x000D_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sqref="A1:H45"/>
    </sheetView>
  </sheetViews>
  <sheetFormatPr defaultColWidth="11" defaultRowHeight="15.75"/>
  <sheetData/>
  <phoneticPr fontId="5" type="noConversion"/>
  <pageMargins left="0.75" right="0.75" top="1" bottom="1" header="0.5" footer="0.5"/>
  <pageSetup scale="62" orientation="landscape" horizontalDpi="4294967292" verticalDpi="4294967292"/>
  <headerFooter>
    <oddHeader>&amp;R&amp;"Calibri,Regular"&amp;K000000Exhibit____x000D_Schedule DJL-10_x000D_Page 2 of 2_x000D_Corrected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sqref="A1:H4"/>
    </sheetView>
  </sheetViews>
  <sheetFormatPr defaultColWidth="11" defaultRowHeight="15.75"/>
  <sheetData/>
  <phoneticPr fontId="5" type="noConversion"/>
  <pageMargins left="0.75" right="0.75" top="1" bottom="1" header="0.5" footer="0.5"/>
  <pageSetup scale="87" orientation="landscape" horizontalDpi="4294967292" verticalDpi="4294967292"/>
  <headerFooter>
    <oddHeader>&amp;R&amp;"Calibri,Regular"&amp;K000000Exhibit ____x000D_Schedule (DJL-17)_x000D_Page 1 of 1_x000D_Corrected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8"/>
    </sheetView>
  </sheetViews>
  <sheetFormatPr defaultColWidth="11" defaultRowHeight="15.75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5"/>
    </sheetView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zoomScale="150" zoomScaleNormal="150" zoomScalePageLayoutView="150" workbookViewId="0">
      <selection sqref="A1:AA11"/>
    </sheetView>
  </sheetViews>
  <sheetFormatPr defaultColWidth="11" defaultRowHeight="15.75"/>
  <sheetData/>
  <phoneticPr fontId="5" type="noConversion"/>
  <pageMargins left="0.75" right="0.75" top="1" bottom="1" header="0.5" footer="0.5"/>
  <pageSetup scale="4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topLeftCell="A4" workbookViewId="0">
      <selection activeCell="I31" sqref="I31"/>
    </sheetView>
  </sheetViews>
  <sheetFormatPr defaultColWidth="11" defaultRowHeight="15.75"/>
  <sheetData/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A127"/>
  <sheetViews>
    <sheetView workbookViewId="0">
      <selection sqref="A1:Y22"/>
    </sheetView>
  </sheetViews>
  <sheetFormatPr defaultColWidth="11" defaultRowHeight="15.75"/>
  <cols>
    <col min="1" max="1" width="6" customWidth="1"/>
    <col min="2" max="2" width="34.875" customWidth="1"/>
    <col min="24" max="25" width="11.5" bestFit="1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21">
      <c r="A3" s="1"/>
      <c r="B3" s="78" t="s">
        <v>297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7" ht="21">
      <c r="A4" s="1"/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>
      <c r="A9" s="1"/>
      <c r="B9" s="1"/>
      <c r="C9" s="1"/>
      <c r="D9" s="1" t="s">
        <v>56</v>
      </c>
      <c r="E9" s="1" t="s">
        <v>57</v>
      </c>
      <c r="F9" s="1" t="s">
        <v>58</v>
      </c>
      <c r="G9" s="1" t="s">
        <v>8</v>
      </c>
      <c r="H9" s="1" t="s">
        <v>59</v>
      </c>
      <c r="I9" s="1" t="s">
        <v>60</v>
      </c>
      <c r="J9" s="1" t="s">
        <v>61</v>
      </c>
      <c r="K9" s="1" t="s">
        <v>62</v>
      </c>
      <c r="L9" s="1" t="s">
        <v>63</v>
      </c>
      <c r="M9" s="1" t="s">
        <v>64</v>
      </c>
      <c r="N9" s="1" t="s">
        <v>65</v>
      </c>
      <c r="O9" s="1" t="s">
        <v>66</v>
      </c>
      <c r="P9" s="1" t="s">
        <v>67</v>
      </c>
      <c r="Q9" s="1" t="s">
        <v>68</v>
      </c>
      <c r="R9" s="1" t="s">
        <v>69</v>
      </c>
      <c r="S9" s="1" t="s">
        <v>70</v>
      </c>
      <c r="T9" s="1" t="s">
        <v>71</v>
      </c>
      <c r="U9" s="1" t="s">
        <v>72</v>
      </c>
      <c r="V9" s="1" t="s">
        <v>73</v>
      </c>
      <c r="W9" s="1" t="s">
        <v>74</v>
      </c>
      <c r="X9" s="1" t="s">
        <v>75</v>
      </c>
      <c r="Y9" s="1" t="s">
        <v>76</v>
      </c>
    </row>
    <row r="10" spans="1:27" ht="39">
      <c r="A10" s="4" t="s">
        <v>0</v>
      </c>
      <c r="B10" s="4" t="s">
        <v>1</v>
      </c>
      <c r="C10" s="4" t="s">
        <v>4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44</v>
      </c>
      <c r="K10" s="4" t="s">
        <v>45</v>
      </c>
      <c r="L10" s="4" t="s">
        <v>46</v>
      </c>
      <c r="M10" s="4" t="s">
        <v>47</v>
      </c>
      <c r="N10" s="4" t="s">
        <v>48</v>
      </c>
      <c r="O10" s="4" t="s">
        <v>49</v>
      </c>
      <c r="P10" s="4" t="s">
        <v>50</v>
      </c>
      <c r="Q10" s="4" t="s">
        <v>51</v>
      </c>
      <c r="R10" s="4" t="s">
        <v>105</v>
      </c>
      <c r="S10" s="4" t="s">
        <v>106</v>
      </c>
      <c r="T10" s="4" t="s">
        <v>52</v>
      </c>
      <c r="U10" s="4" t="s">
        <v>53</v>
      </c>
      <c r="V10" s="4" t="s">
        <v>54</v>
      </c>
      <c r="W10" s="4" t="s">
        <v>55</v>
      </c>
      <c r="X10" s="4" t="s">
        <v>107</v>
      </c>
      <c r="Y10" s="4" t="s">
        <v>108</v>
      </c>
    </row>
    <row r="11" spans="1:27">
      <c r="A11">
        <v>1</v>
      </c>
      <c r="B11" t="s">
        <v>22</v>
      </c>
      <c r="C11" t="s">
        <v>23</v>
      </c>
      <c r="D11" s="5">
        <v>4.2000000000000003E-2</v>
      </c>
      <c r="E11" s="6">
        <v>0.75</v>
      </c>
      <c r="F11" s="7">
        <v>1.74</v>
      </c>
      <c r="G11" s="7">
        <v>1.88</v>
      </c>
      <c r="H11" s="7">
        <v>1.92</v>
      </c>
      <c r="I11" s="7">
        <v>2.3199999999999998</v>
      </c>
      <c r="J11" s="7">
        <v>2.3199999999999998</v>
      </c>
      <c r="K11" s="7">
        <v>2.6</v>
      </c>
      <c r="L11" s="7">
        <v>2.9</v>
      </c>
      <c r="M11" s="7">
        <v>4.0999999999999996</v>
      </c>
      <c r="N11" s="7">
        <v>28.76</v>
      </c>
      <c r="O11" s="7">
        <v>33.35</v>
      </c>
      <c r="P11" s="7">
        <v>34.1</v>
      </c>
      <c r="Q11" s="7">
        <v>36.049999999999997</v>
      </c>
      <c r="R11" s="8">
        <v>117.88</v>
      </c>
      <c r="S11" s="8">
        <v>117</v>
      </c>
      <c r="T11" s="5">
        <v>0.505</v>
      </c>
      <c r="U11" s="5">
        <v>0.52500000000000002</v>
      </c>
      <c r="V11" s="5">
        <v>0.51500000000000001</v>
      </c>
      <c r="W11" s="5">
        <v>0.48499999999999999</v>
      </c>
      <c r="X11" s="7">
        <v>6716</v>
      </c>
      <c r="Y11" s="7">
        <v>8670</v>
      </c>
      <c r="Z11" s="14">
        <f>T11*X11</f>
        <v>3391.58</v>
      </c>
      <c r="AA11" s="14">
        <f>W11*Y11</f>
        <v>4204.95</v>
      </c>
    </row>
    <row r="12" spans="1:27">
      <c r="A12">
        <f>A11+1</f>
        <v>2</v>
      </c>
      <c r="B12" t="s">
        <v>24</v>
      </c>
      <c r="C12" t="s">
        <v>25</v>
      </c>
      <c r="D12" s="5">
        <v>3.4000000000000002E-2</v>
      </c>
      <c r="E12" s="6">
        <v>0.7</v>
      </c>
      <c r="F12" s="7">
        <v>1.38</v>
      </c>
      <c r="G12" s="7">
        <v>1.4</v>
      </c>
      <c r="H12" s="7">
        <v>1.42</v>
      </c>
      <c r="I12" s="7">
        <v>1.5</v>
      </c>
      <c r="J12" s="7">
        <v>2.1</v>
      </c>
      <c r="K12" s="7">
        <v>2.4500000000000002</v>
      </c>
      <c r="L12" s="7">
        <v>2.6</v>
      </c>
      <c r="M12" s="7">
        <v>3</v>
      </c>
      <c r="N12" s="7">
        <v>26.14</v>
      </c>
      <c r="O12" s="7">
        <v>29.7</v>
      </c>
      <c r="P12" s="7">
        <v>31.3</v>
      </c>
      <c r="Q12" s="7">
        <v>34.65</v>
      </c>
      <c r="R12" s="8">
        <v>90.24</v>
      </c>
      <c r="S12" s="8">
        <v>103</v>
      </c>
      <c r="T12" s="5">
        <v>0.54700000000000004</v>
      </c>
      <c r="U12" s="5">
        <v>0.51</v>
      </c>
      <c r="V12" s="5">
        <v>0.51</v>
      </c>
      <c r="W12" s="5">
        <v>0.51</v>
      </c>
      <c r="X12" s="7">
        <v>4315.5</v>
      </c>
      <c r="Y12" s="7">
        <v>7000</v>
      </c>
      <c r="Z12" s="14">
        <f t="shared" ref="Z12:Z18" si="0">T12*X12</f>
        <v>2360.5785000000001</v>
      </c>
      <c r="AA12" s="14">
        <f t="shared" ref="AA12:AA18" si="1">W12*Y12</f>
        <v>3570</v>
      </c>
    </row>
    <row r="13" spans="1:27">
      <c r="A13" s="32">
        <f t="shared" ref="A13:A20" si="2">A12+1</f>
        <v>3</v>
      </c>
      <c r="B13" s="2" t="s">
        <v>26</v>
      </c>
      <c r="C13" s="2" t="s">
        <v>27</v>
      </c>
      <c r="D13" s="5">
        <v>3.6999999999999998E-2</v>
      </c>
      <c r="E13" s="6">
        <v>0.7</v>
      </c>
      <c r="F13" s="7">
        <v>1.54</v>
      </c>
      <c r="G13" s="7">
        <v>1.6</v>
      </c>
      <c r="H13" s="7">
        <v>1.64</v>
      </c>
      <c r="I13" s="7">
        <v>1.72</v>
      </c>
      <c r="J13" s="7">
        <v>2.71</v>
      </c>
      <c r="K13" s="7">
        <v>2.7</v>
      </c>
      <c r="L13" s="7">
        <v>2.8</v>
      </c>
      <c r="M13" s="7">
        <v>3.3</v>
      </c>
      <c r="N13" s="7">
        <v>18.149999999999999</v>
      </c>
      <c r="O13" s="7">
        <v>18.8</v>
      </c>
      <c r="P13" s="7">
        <v>20.05</v>
      </c>
      <c r="Q13" s="7">
        <v>24.7</v>
      </c>
      <c r="R13" s="8">
        <v>41.53</v>
      </c>
      <c r="S13" s="8">
        <v>40</v>
      </c>
      <c r="T13" s="5">
        <v>0.60799999999999998</v>
      </c>
      <c r="U13" s="5">
        <v>0.6</v>
      </c>
      <c r="V13" s="5">
        <v>0.61499999999999999</v>
      </c>
      <c r="W13" s="5">
        <v>0.66500000000000004</v>
      </c>
      <c r="X13" s="7">
        <v>1339</v>
      </c>
      <c r="Y13" s="7">
        <v>1490</v>
      </c>
      <c r="Z13" s="14">
        <f t="shared" si="0"/>
        <v>814.11199999999997</v>
      </c>
      <c r="AA13" s="14">
        <f t="shared" si="1"/>
        <v>990.85</v>
      </c>
    </row>
    <row r="14" spans="1:27">
      <c r="A14" s="32">
        <f t="shared" si="2"/>
        <v>4</v>
      </c>
      <c r="B14" s="2" t="s">
        <v>28</v>
      </c>
      <c r="C14" s="2" t="s">
        <v>29</v>
      </c>
      <c r="D14" s="5">
        <v>4.3999999999999997E-2</v>
      </c>
      <c r="E14" s="6">
        <v>0.6</v>
      </c>
      <c r="F14" s="7">
        <v>1.79</v>
      </c>
      <c r="G14" s="7">
        <v>1.83</v>
      </c>
      <c r="H14" s="7">
        <v>1.87</v>
      </c>
      <c r="I14" s="7">
        <v>2</v>
      </c>
      <c r="J14" s="7">
        <v>2.2200000000000002</v>
      </c>
      <c r="K14" s="7">
        <v>2.15</v>
      </c>
      <c r="L14" s="7">
        <v>2.2999999999999998</v>
      </c>
      <c r="M14" s="7">
        <v>3.2</v>
      </c>
      <c r="N14" s="7">
        <v>27.23</v>
      </c>
      <c r="O14" s="7">
        <v>27.95</v>
      </c>
      <c r="P14" s="7">
        <v>29.15</v>
      </c>
      <c r="Q14" s="7">
        <v>31.65</v>
      </c>
      <c r="R14" s="8">
        <v>26.92</v>
      </c>
      <c r="S14" s="8">
        <v>28</v>
      </c>
      <c r="T14" s="5">
        <v>0.51500000000000001</v>
      </c>
      <c r="U14" s="5">
        <v>0.51500000000000001</v>
      </c>
      <c r="V14" s="5">
        <v>0.51500000000000001</v>
      </c>
      <c r="W14" s="5">
        <v>0.52</v>
      </c>
      <c r="X14" s="7">
        <v>1424.7</v>
      </c>
      <c r="Y14" s="7">
        <v>1705</v>
      </c>
      <c r="Z14" s="14">
        <f t="shared" si="0"/>
        <v>733.72050000000002</v>
      </c>
      <c r="AA14" s="14">
        <f t="shared" si="1"/>
        <v>886.6</v>
      </c>
    </row>
    <row r="15" spans="1:27">
      <c r="A15" s="32">
        <f t="shared" si="2"/>
        <v>5</v>
      </c>
      <c r="B15" s="2" t="s">
        <v>30</v>
      </c>
      <c r="C15" s="2" t="s">
        <v>31</v>
      </c>
      <c r="D15" s="5">
        <v>3.7999999999999999E-2</v>
      </c>
      <c r="E15" s="6">
        <v>0.7</v>
      </c>
      <c r="F15" s="7">
        <v>1.19</v>
      </c>
      <c r="G15" s="7">
        <v>1.23</v>
      </c>
      <c r="H15" s="7">
        <v>1.27</v>
      </c>
      <c r="I15" s="7">
        <v>1.39</v>
      </c>
      <c r="J15" s="7">
        <v>1.66</v>
      </c>
      <c r="K15" s="7">
        <v>1.75</v>
      </c>
      <c r="L15" s="7">
        <v>1.8</v>
      </c>
      <c r="M15" s="7">
        <v>2.0499999999999998</v>
      </c>
      <c r="N15" s="7">
        <v>14.21</v>
      </c>
      <c r="O15" s="7">
        <v>15.7</v>
      </c>
      <c r="P15" s="7">
        <v>16.2</v>
      </c>
      <c r="Q15" s="7">
        <v>18.05</v>
      </c>
      <c r="R15" s="8">
        <v>72.25</v>
      </c>
      <c r="S15" s="8">
        <v>76</v>
      </c>
      <c r="T15" s="5">
        <v>0.51300000000000001</v>
      </c>
      <c r="U15" s="5">
        <v>0.54500000000000004</v>
      </c>
      <c r="V15" s="5">
        <v>0.52500000000000002</v>
      </c>
      <c r="W15" s="5">
        <v>0.52500000000000002</v>
      </c>
      <c r="X15" s="7">
        <v>2002</v>
      </c>
      <c r="Y15" s="7">
        <v>2620</v>
      </c>
      <c r="Z15" s="14">
        <f t="shared" si="0"/>
        <v>1027.0260000000001</v>
      </c>
      <c r="AA15" s="14">
        <f t="shared" si="1"/>
        <v>1375.5</v>
      </c>
    </row>
    <row r="16" spans="1:27">
      <c r="A16" s="32">
        <f t="shared" si="2"/>
        <v>6</v>
      </c>
      <c r="B16" s="2" t="s">
        <v>32</v>
      </c>
      <c r="C16" s="2" t="s">
        <v>33</v>
      </c>
      <c r="D16" s="5">
        <v>3.2000000000000001E-2</v>
      </c>
      <c r="E16" s="6">
        <v>0.65</v>
      </c>
      <c r="F16" s="7">
        <v>1.65</v>
      </c>
      <c r="G16" s="7">
        <v>1.8</v>
      </c>
      <c r="H16" s="7">
        <v>1.95</v>
      </c>
      <c r="I16" s="7">
        <v>2.4500000000000002</v>
      </c>
      <c r="J16" s="7">
        <v>3.03</v>
      </c>
      <c r="K16" s="7">
        <v>3.15</v>
      </c>
      <c r="L16" s="7">
        <v>3.35</v>
      </c>
      <c r="M16" s="7">
        <v>4.5</v>
      </c>
      <c r="N16" s="7">
        <v>23.26</v>
      </c>
      <c r="O16" s="7">
        <v>25.4</v>
      </c>
      <c r="P16" s="7">
        <v>26.1</v>
      </c>
      <c r="Q16" s="7">
        <v>30.55</v>
      </c>
      <c r="R16" s="8">
        <v>31.65</v>
      </c>
      <c r="S16" s="8">
        <v>36</v>
      </c>
      <c r="T16" s="5">
        <v>0.55000000000000004</v>
      </c>
      <c r="U16" s="5">
        <v>0.56999999999999995</v>
      </c>
      <c r="V16" s="5">
        <v>0.57499999999999996</v>
      </c>
      <c r="W16" s="5">
        <v>0.57999999999999996</v>
      </c>
      <c r="X16" s="7">
        <v>1337.6</v>
      </c>
      <c r="Y16" s="7">
        <v>1900</v>
      </c>
      <c r="Z16" s="14">
        <f t="shared" si="0"/>
        <v>735.68000000000006</v>
      </c>
      <c r="AA16" s="14">
        <f t="shared" si="1"/>
        <v>1102</v>
      </c>
    </row>
    <row r="17" spans="1:27">
      <c r="A17" s="32">
        <f t="shared" si="2"/>
        <v>7</v>
      </c>
      <c r="B17" s="2" t="s">
        <v>34</v>
      </c>
      <c r="C17" s="2" t="s">
        <v>35</v>
      </c>
      <c r="D17" s="5">
        <v>2.8000000000000001E-2</v>
      </c>
      <c r="E17" s="6">
        <v>0.75</v>
      </c>
      <c r="F17" s="7">
        <v>1.18</v>
      </c>
      <c r="G17" s="7">
        <v>1.32</v>
      </c>
      <c r="H17" s="7">
        <v>1.4</v>
      </c>
      <c r="I17" s="7">
        <v>1.64</v>
      </c>
      <c r="J17" s="7">
        <v>2.86</v>
      </c>
      <c r="K17" s="7">
        <v>3.2</v>
      </c>
      <c r="L17" s="7">
        <v>3.4</v>
      </c>
      <c r="M17" s="7">
        <v>4</v>
      </c>
      <c r="N17" s="7">
        <v>28.39</v>
      </c>
      <c r="O17" s="7">
        <v>30.85</v>
      </c>
      <c r="P17" s="7">
        <v>32.299999999999997</v>
      </c>
      <c r="Q17" s="7">
        <v>36</v>
      </c>
      <c r="R17" s="8">
        <v>46.15</v>
      </c>
      <c r="S17" s="8">
        <v>50</v>
      </c>
      <c r="T17" s="5">
        <v>0.50800000000000001</v>
      </c>
      <c r="U17" s="5">
        <v>0.52500000000000002</v>
      </c>
      <c r="V17" s="5">
        <v>0.52500000000000002</v>
      </c>
      <c r="W17" s="5">
        <v>0.51500000000000001</v>
      </c>
      <c r="X17" s="7">
        <v>2579</v>
      </c>
      <c r="Y17" s="7">
        <v>3500</v>
      </c>
      <c r="Z17" s="14">
        <f t="shared" si="0"/>
        <v>1310.1320000000001</v>
      </c>
      <c r="AA17" s="14">
        <f t="shared" si="1"/>
        <v>1802.5</v>
      </c>
    </row>
    <row r="18" spans="1:27">
      <c r="A18" s="32">
        <f t="shared" si="2"/>
        <v>8</v>
      </c>
      <c r="B18" s="2" t="s">
        <v>37</v>
      </c>
      <c r="C18" s="2" t="s">
        <v>36</v>
      </c>
      <c r="D18" s="5">
        <v>3.9E-2</v>
      </c>
      <c r="E18" s="6">
        <v>0.65</v>
      </c>
      <c r="F18" s="7">
        <v>1.59</v>
      </c>
      <c r="G18" s="7">
        <v>1.66</v>
      </c>
      <c r="H18" s="7">
        <v>1.71</v>
      </c>
      <c r="I18" s="7">
        <v>1.83</v>
      </c>
      <c r="J18" s="7">
        <v>2.68</v>
      </c>
      <c r="K18" s="7">
        <v>2.5499999999999998</v>
      </c>
      <c r="L18" s="7">
        <v>2.65</v>
      </c>
      <c r="M18" s="7">
        <v>2.95</v>
      </c>
      <c r="N18" s="7">
        <v>24.75</v>
      </c>
      <c r="O18" s="7">
        <v>25.6</v>
      </c>
      <c r="P18" s="7">
        <v>26.6</v>
      </c>
      <c r="Q18" s="7">
        <v>29.8</v>
      </c>
      <c r="R18" s="8">
        <v>51.5</v>
      </c>
      <c r="S18" s="8">
        <v>52</v>
      </c>
      <c r="T18" s="5">
        <v>0.67500000000000004</v>
      </c>
      <c r="U18" s="5">
        <v>0.68</v>
      </c>
      <c r="V18" s="5">
        <v>0.7</v>
      </c>
      <c r="W18" s="5">
        <v>0.70499999999999996</v>
      </c>
      <c r="X18" s="7">
        <v>1886.9</v>
      </c>
      <c r="Y18" s="7">
        <v>2175</v>
      </c>
      <c r="Z18" s="14">
        <f t="shared" si="0"/>
        <v>1273.6575000000003</v>
      </c>
      <c r="AA18" s="14">
        <f t="shared" si="1"/>
        <v>1533.375</v>
      </c>
    </row>
    <row r="19" spans="1:27">
      <c r="A19" s="32">
        <f t="shared" si="2"/>
        <v>9</v>
      </c>
      <c r="B19" s="2" t="s">
        <v>109</v>
      </c>
      <c r="C19" s="2"/>
      <c r="D19" s="5">
        <f>AVERAGE(D11:D18)</f>
        <v>3.6750000000000005E-2</v>
      </c>
      <c r="E19" s="59">
        <f t="shared" ref="E19:Y19" si="3">AVERAGE(E11:E18)</f>
        <v>0.68750000000000011</v>
      </c>
      <c r="F19" s="68">
        <f t="shared" si="3"/>
        <v>1.5075000000000001</v>
      </c>
      <c r="G19" s="68">
        <f t="shared" si="3"/>
        <v>1.59</v>
      </c>
      <c r="H19" s="68">
        <f t="shared" si="3"/>
        <v>1.6475</v>
      </c>
      <c r="I19" s="68">
        <f t="shared" si="3"/>
        <v>1.85625</v>
      </c>
      <c r="J19" s="68">
        <f t="shared" si="3"/>
        <v>2.4474999999999998</v>
      </c>
      <c r="K19" s="68">
        <f t="shared" si="3"/>
        <v>2.5687500000000001</v>
      </c>
      <c r="L19" s="68">
        <f t="shared" si="3"/>
        <v>2.7250000000000001</v>
      </c>
      <c r="M19" s="68">
        <f t="shared" si="3"/>
        <v>3.3874999999999997</v>
      </c>
      <c r="N19" s="68">
        <f t="shared" si="3"/>
        <v>23.861249999999998</v>
      </c>
      <c r="O19" s="68">
        <f t="shared" si="3"/>
        <v>25.918749999999999</v>
      </c>
      <c r="P19" s="68">
        <f t="shared" si="3"/>
        <v>26.974999999999998</v>
      </c>
      <c r="Q19" s="68">
        <f t="shared" si="3"/>
        <v>30.181250000000002</v>
      </c>
      <c r="R19" s="59">
        <f t="shared" si="3"/>
        <v>59.764999999999993</v>
      </c>
      <c r="S19" s="59">
        <f t="shared" si="3"/>
        <v>62.75</v>
      </c>
      <c r="T19" s="5">
        <f t="shared" si="3"/>
        <v>0.55262500000000003</v>
      </c>
      <c r="U19" s="5">
        <f t="shared" si="3"/>
        <v>0.55874999999999997</v>
      </c>
      <c r="V19" s="5">
        <f t="shared" si="3"/>
        <v>0.55999999999999994</v>
      </c>
      <c r="W19" s="5">
        <f t="shared" si="3"/>
        <v>0.56312499999999999</v>
      </c>
      <c r="X19" s="68">
        <f t="shared" si="3"/>
        <v>2700.0875000000001</v>
      </c>
      <c r="Y19" s="68">
        <f t="shared" si="3"/>
        <v>3632.5</v>
      </c>
      <c r="Z19" s="68">
        <f t="shared" ref="Z19" si="4">AVERAGE(Z11:Z18)</f>
        <v>1455.8108124999999</v>
      </c>
      <c r="AA19" s="68">
        <f t="shared" ref="AA19" si="5">AVERAGE(AA11:AA18)</f>
        <v>1933.221875</v>
      </c>
    </row>
    <row r="20" spans="1:27">
      <c r="A20" s="32">
        <f t="shared" si="2"/>
        <v>10</v>
      </c>
      <c r="B20" s="2" t="s">
        <v>211</v>
      </c>
      <c r="C20" s="2"/>
      <c r="D20" s="5">
        <f>MEDIAN(D11:D18)</f>
        <v>3.7499999999999999E-2</v>
      </c>
      <c r="E20" s="59">
        <f t="shared" ref="E20:Y20" si="6">MEDIAN(E11:E18)</f>
        <v>0.7</v>
      </c>
      <c r="F20" s="68">
        <f t="shared" si="6"/>
        <v>1.5649999999999999</v>
      </c>
      <c r="G20" s="68">
        <f t="shared" si="6"/>
        <v>1.63</v>
      </c>
      <c r="H20" s="68">
        <f t="shared" si="6"/>
        <v>1.6749999999999998</v>
      </c>
      <c r="I20" s="68">
        <f t="shared" si="6"/>
        <v>1.7749999999999999</v>
      </c>
      <c r="J20" s="68">
        <f t="shared" si="6"/>
        <v>2.5</v>
      </c>
      <c r="K20" s="68">
        <f t="shared" si="6"/>
        <v>2.5750000000000002</v>
      </c>
      <c r="L20" s="68">
        <f t="shared" si="6"/>
        <v>2.7249999999999996</v>
      </c>
      <c r="M20" s="68">
        <f t="shared" si="6"/>
        <v>3.25</v>
      </c>
      <c r="N20" s="68">
        <f t="shared" si="6"/>
        <v>25.445</v>
      </c>
      <c r="O20" s="68">
        <f t="shared" si="6"/>
        <v>26.774999999999999</v>
      </c>
      <c r="P20" s="68">
        <f t="shared" si="6"/>
        <v>27.875</v>
      </c>
      <c r="Q20" s="68">
        <f t="shared" si="6"/>
        <v>31.1</v>
      </c>
      <c r="R20" s="59">
        <f t="shared" si="6"/>
        <v>48.825000000000003</v>
      </c>
      <c r="S20" s="59">
        <f t="shared" si="6"/>
        <v>51</v>
      </c>
      <c r="T20" s="5">
        <f t="shared" si="6"/>
        <v>0.53100000000000003</v>
      </c>
      <c r="U20" s="5">
        <f t="shared" si="6"/>
        <v>0.53500000000000003</v>
      </c>
      <c r="V20" s="5">
        <f t="shared" si="6"/>
        <v>0.52500000000000002</v>
      </c>
      <c r="W20" s="5">
        <f t="shared" si="6"/>
        <v>0.52249999999999996</v>
      </c>
      <c r="X20" s="68">
        <f t="shared" si="6"/>
        <v>1944.45</v>
      </c>
      <c r="Y20" s="68">
        <f t="shared" si="6"/>
        <v>2397.5</v>
      </c>
      <c r="Z20" s="68">
        <f t="shared" ref="Z20:AA20" si="7">MEDIAN(Z11:Z18)</f>
        <v>1150.34175</v>
      </c>
      <c r="AA20" s="68">
        <f t="shared" si="7"/>
        <v>1454.4375</v>
      </c>
    </row>
    <row r="21" spans="1:27">
      <c r="B21" s="62" t="s">
        <v>288</v>
      </c>
      <c r="C21" s="2"/>
      <c r="D21" s="5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5"/>
      <c r="U21" s="5"/>
      <c r="V21" s="5"/>
      <c r="W21" s="5"/>
      <c r="X21" s="7"/>
      <c r="Y21" s="7"/>
    </row>
    <row r="22" spans="1:27">
      <c r="B22" s="62" t="s">
        <v>312</v>
      </c>
      <c r="C22" s="2"/>
      <c r="D22" s="5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5"/>
      <c r="U22" s="5"/>
      <c r="V22" s="5"/>
      <c r="W22" s="5"/>
      <c r="X22" s="7"/>
      <c r="Y22" s="7"/>
    </row>
    <row r="23" spans="1:27">
      <c r="B23" s="2"/>
      <c r="C23" s="2"/>
      <c r="D23" s="5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5"/>
      <c r="U23" s="5"/>
      <c r="V23" s="5"/>
      <c r="W23" s="5"/>
      <c r="X23" s="7"/>
      <c r="Y23" s="7"/>
    </row>
    <row r="24" spans="1:27">
      <c r="B24" s="2"/>
      <c r="C24" s="2"/>
      <c r="D24" s="5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5"/>
      <c r="U24" s="5"/>
      <c r="V24" s="5"/>
      <c r="W24" s="5"/>
      <c r="X24" s="7"/>
      <c r="Y24" s="7"/>
    </row>
    <row r="25" spans="1:27">
      <c r="B25" s="2"/>
      <c r="C25" s="2"/>
      <c r="D25" s="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8"/>
      <c r="T25" s="5"/>
      <c r="U25" s="5"/>
      <c r="V25" s="5"/>
      <c r="W25" s="5"/>
      <c r="X25" s="7"/>
      <c r="Y25" s="7"/>
    </row>
    <row r="26" spans="1:27">
      <c r="B26" s="2"/>
      <c r="C26" s="2"/>
      <c r="D26" s="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5"/>
      <c r="U26" s="5"/>
      <c r="V26" s="5"/>
      <c r="W26" s="5"/>
      <c r="X26" s="7"/>
      <c r="Y26" s="7"/>
    </row>
    <row r="27" spans="1:27">
      <c r="B27" s="2"/>
      <c r="C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8"/>
      <c r="T27" s="5"/>
      <c r="U27" s="5"/>
      <c r="V27" s="5"/>
      <c r="W27" s="5"/>
      <c r="X27" s="7"/>
      <c r="Y27" s="7"/>
    </row>
    <row r="28" spans="1:27">
      <c r="B28" s="2"/>
      <c r="C28" s="2"/>
      <c r="R28" s="8"/>
      <c r="S28" s="8"/>
      <c r="T28" s="5"/>
      <c r="U28" s="5"/>
      <c r="V28" s="5"/>
      <c r="W28" s="5"/>
      <c r="X28" s="7"/>
      <c r="Y28" s="7"/>
    </row>
    <row r="29" spans="1:27">
      <c r="B29" s="2"/>
      <c r="C29" s="2"/>
      <c r="R29" s="8"/>
      <c r="S29" s="8"/>
      <c r="T29" s="5"/>
      <c r="U29" s="5"/>
      <c r="V29" s="5"/>
      <c r="W29" s="5"/>
      <c r="X29" s="7"/>
      <c r="Y29" s="7"/>
    </row>
    <row r="30" spans="1:27">
      <c r="B30" s="2"/>
      <c r="C30" s="2"/>
      <c r="R30" s="8"/>
      <c r="S30" s="8"/>
      <c r="T30" s="5"/>
      <c r="U30" s="5"/>
      <c r="V30" s="5"/>
      <c r="W30" s="5"/>
      <c r="X30" s="7"/>
      <c r="Y30" s="7"/>
    </row>
    <row r="31" spans="1:27">
      <c r="B31" s="2"/>
      <c r="C31" s="2"/>
      <c r="R31" s="8"/>
      <c r="S31" s="8"/>
      <c r="T31" s="5"/>
      <c r="U31" s="5"/>
      <c r="V31" s="5"/>
      <c r="W31" s="5"/>
      <c r="X31" s="7"/>
      <c r="Y31" s="7"/>
    </row>
    <row r="32" spans="1:27">
      <c r="B32" s="2"/>
      <c r="C32" s="2"/>
      <c r="T32" s="5"/>
      <c r="U32" s="5"/>
      <c r="V32" s="5"/>
      <c r="W32" s="5"/>
      <c r="X32" s="7"/>
      <c r="Y32" s="7"/>
    </row>
    <row r="33" spans="2:25">
      <c r="B33" s="2"/>
      <c r="C33" s="2"/>
      <c r="T33" s="5"/>
      <c r="U33" s="5"/>
      <c r="V33" s="5"/>
      <c r="W33" s="5"/>
      <c r="X33" s="7"/>
      <c r="Y33" s="7"/>
    </row>
    <row r="34" spans="2:25">
      <c r="B34" s="2"/>
      <c r="C34" s="2"/>
      <c r="T34" s="5"/>
      <c r="U34" s="5"/>
      <c r="V34" s="5"/>
      <c r="W34" s="5"/>
      <c r="X34" s="7"/>
      <c r="Y34" s="7"/>
    </row>
    <row r="35" spans="2:25">
      <c r="B35" s="2"/>
      <c r="C35" s="2"/>
      <c r="T35" s="5"/>
      <c r="U35" s="5"/>
      <c r="V35" s="5"/>
      <c r="W35" s="5"/>
      <c r="X35" s="7"/>
      <c r="Y35" s="7"/>
    </row>
    <row r="36" spans="2:25">
      <c r="B36" s="2"/>
      <c r="C36" s="2"/>
      <c r="T36" s="5"/>
      <c r="U36" s="5"/>
      <c r="V36" s="5"/>
      <c r="W36" s="5"/>
      <c r="X36" s="7"/>
      <c r="Y36" s="7"/>
    </row>
    <row r="37" spans="2:25">
      <c r="B37" s="2"/>
      <c r="C37" s="2"/>
      <c r="T37" s="5"/>
      <c r="U37" s="5"/>
      <c r="V37" s="5"/>
      <c r="W37" s="5"/>
    </row>
    <row r="38" spans="2:25">
      <c r="B38" s="2"/>
      <c r="C38" s="2"/>
      <c r="T38" s="5"/>
      <c r="U38" s="5"/>
      <c r="V38" s="5"/>
      <c r="W38" s="5"/>
    </row>
    <row r="39" spans="2:25">
      <c r="B39" s="2"/>
      <c r="C39" s="2"/>
      <c r="T39" s="5"/>
      <c r="U39" s="5"/>
      <c r="V39" s="5"/>
      <c r="W39" s="5"/>
    </row>
    <row r="40" spans="2:25">
      <c r="B40" s="2"/>
      <c r="C40" s="2"/>
      <c r="T40" s="5"/>
      <c r="U40" s="5"/>
      <c r="V40" s="5"/>
      <c r="W40" s="5"/>
    </row>
    <row r="41" spans="2:25">
      <c r="B41" s="2"/>
      <c r="C41" s="2"/>
      <c r="T41" s="5"/>
      <c r="U41" s="5"/>
      <c r="V41" s="5"/>
      <c r="W41" s="5"/>
    </row>
    <row r="42" spans="2:25">
      <c r="B42" s="2"/>
      <c r="C42" s="2"/>
      <c r="T42" s="5"/>
      <c r="U42" s="5"/>
      <c r="V42" s="5"/>
      <c r="W42" s="5"/>
    </row>
    <row r="43" spans="2:25">
      <c r="B43" s="2"/>
      <c r="C43" s="2"/>
      <c r="T43" s="5"/>
      <c r="U43" s="5"/>
      <c r="V43" s="5"/>
      <c r="W43" s="5"/>
    </row>
    <row r="44" spans="2:25">
      <c r="B44" s="2"/>
      <c r="C44" s="2"/>
      <c r="T44" s="5"/>
      <c r="U44" s="5"/>
      <c r="V44" s="5"/>
      <c r="W44" s="5"/>
    </row>
    <row r="45" spans="2:25">
      <c r="B45" s="2"/>
      <c r="C45" s="2"/>
      <c r="T45" s="5"/>
      <c r="U45" s="5"/>
      <c r="V45" s="5"/>
      <c r="W45" s="5"/>
    </row>
    <row r="46" spans="2:25">
      <c r="B46" s="2"/>
      <c r="C46" s="2"/>
      <c r="T46" s="5"/>
      <c r="U46" s="5"/>
      <c r="V46" s="5"/>
      <c r="W46" s="5"/>
    </row>
    <row r="47" spans="2:25">
      <c r="B47" s="2"/>
      <c r="C47" s="2"/>
      <c r="T47" s="5"/>
      <c r="U47" s="5"/>
      <c r="V47" s="5"/>
      <c r="W47" s="5"/>
    </row>
    <row r="48" spans="2:25">
      <c r="B48" s="2"/>
      <c r="C48" s="2"/>
      <c r="T48" s="5"/>
      <c r="U48" s="5"/>
      <c r="V48" s="5"/>
      <c r="W48" s="5"/>
    </row>
    <row r="49" spans="2:23">
      <c r="B49" s="2"/>
      <c r="C49" s="2"/>
      <c r="T49" s="5"/>
      <c r="U49" s="5"/>
      <c r="V49" s="5"/>
      <c r="W49" s="5"/>
    </row>
    <row r="50" spans="2:23">
      <c r="B50" s="2"/>
      <c r="C50" s="2"/>
      <c r="T50" s="5"/>
      <c r="U50" s="5"/>
      <c r="V50" s="5"/>
      <c r="W50" s="5"/>
    </row>
    <row r="51" spans="2:23">
      <c r="B51" s="2"/>
      <c r="C51" s="2"/>
      <c r="T51" s="5"/>
      <c r="U51" s="5"/>
      <c r="V51" s="5"/>
      <c r="W51" s="5"/>
    </row>
    <row r="52" spans="2:23">
      <c r="B52" s="2"/>
      <c r="C52" s="2"/>
      <c r="T52" s="5"/>
      <c r="U52" s="5"/>
      <c r="V52" s="5"/>
      <c r="W52" s="5"/>
    </row>
    <row r="53" spans="2:23">
      <c r="B53" s="2"/>
      <c r="C53" s="2"/>
      <c r="T53" s="5"/>
      <c r="U53" s="5"/>
      <c r="V53" s="5"/>
      <c r="W53" s="5"/>
    </row>
    <row r="54" spans="2:23">
      <c r="B54" s="2"/>
      <c r="C54" s="2"/>
      <c r="T54" s="5"/>
      <c r="U54" s="5"/>
      <c r="V54" s="5"/>
      <c r="W54" s="5"/>
    </row>
    <row r="55" spans="2:23">
      <c r="B55" s="2"/>
      <c r="C55" s="2"/>
      <c r="T55" s="5"/>
      <c r="U55" s="5"/>
      <c r="V55" s="5"/>
      <c r="W55" s="5"/>
    </row>
    <row r="56" spans="2:23">
      <c r="B56" s="2"/>
      <c r="C56" s="2"/>
    </row>
    <row r="57" spans="2:23">
      <c r="B57" s="2"/>
      <c r="C57" s="2"/>
    </row>
    <row r="58" spans="2:23">
      <c r="B58" s="2"/>
      <c r="C58" s="2"/>
    </row>
    <row r="59" spans="2:23">
      <c r="B59" s="2"/>
      <c r="C59" s="2"/>
    </row>
    <row r="60" spans="2:23">
      <c r="B60" s="2"/>
      <c r="C60" s="2"/>
    </row>
    <row r="61" spans="2:23">
      <c r="B61" s="2"/>
      <c r="C61" s="2"/>
    </row>
    <row r="62" spans="2:23">
      <c r="B62" s="2"/>
      <c r="C62" s="2"/>
    </row>
    <row r="63" spans="2:23">
      <c r="B63" s="2"/>
      <c r="C63" s="2"/>
    </row>
    <row r="64" spans="2:23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  <row r="72" spans="2:3">
      <c r="B72" s="2"/>
      <c r="C72" s="2"/>
    </row>
    <row r="73" spans="2:3">
      <c r="B73" s="2"/>
      <c r="C73" s="2"/>
    </row>
    <row r="74" spans="2:3">
      <c r="B74" s="2"/>
      <c r="C74" s="2"/>
    </row>
    <row r="75" spans="2:3">
      <c r="B75" s="2"/>
      <c r="C75" s="2"/>
    </row>
    <row r="76" spans="2:3">
      <c r="B76" s="2"/>
      <c r="C76" s="2"/>
    </row>
    <row r="77" spans="2:3">
      <c r="B77" s="2"/>
      <c r="C77" s="2"/>
    </row>
    <row r="78" spans="2:3">
      <c r="B78" s="2"/>
      <c r="C78" s="2"/>
    </row>
    <row r="79" spans="2:3">
      <c r="B79" s="2"/>
      <c r="C79" s="2"/>
    </row>
    <row r="80" spans="2:3">
      <c r="B80" s="2"/>
      <c r="C80" s="2"/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  <row r="86" spans="2:3">
      <c r="B86" s="2"/>
      <c r="C86" s="2"/>
    </row>
    <row r="87" spans="2:3">
      <c r="B87" s="2"/>
      <c r="C87" s="2"/>
    </row>
    <row r="88" spans="2:3">
      <c r="B88" s="2"/>
      <c r="C88" s="2"/>
    </row>
    <row r="89" spans="2:3">
      <c r="B89" s="2"/>
      <c r="C89" s="2"/>
    </row>
    <row r="90" spans="2:3">
      <c r="B90" s="2"/>
      <c r="C90" s="2"/>
    </row>
    <row r="91" spans="2:3">
      <c r="B91" s="2"/>
      <c r="C91" s="2"/>
    </row>
    <row r="92" spans="2:3">
      <c r="B92" s="2"/>
      <c r="C92" s="2"/>
    </row>
    <row r="93" spans="2:3">
      <c r="B93" s="2"/>
      <c r="C93" s="2"/>
    </row>
    <row r="94" spans="2:3">
      <c r="B94" s="2"/>
      <c r="C94" s="2"/>
    </row>
    <row r="95" spans="2:3">
      <c r="B95" s="2"/>
      <c r="C95" s="2"/>
    </row>
    <row r="96" spans="2:3">
      <c r="B96" s="2"/>
      <c r="C96" s="2"/>
    </row>
    <row r="97" spans="2:3">
      <c r="B97" s="2"/>
      <c r="C97" s="2"/>
    </row>
    <row r="98" spans="2:3">
      <c r="B98" s="2"/>
      <c r="C98" s="2"/>
    </row>
    <row r="99" spans="2:3">
      <c r="B99" s="2"/>
      <c r="C99" s="2"/>
    </row>
    <row r="100" spans="2:3">
      <c r="B100" s="2"/>
      <c r="C100" s="2"/>
    </row>
    <row r="101" spans="2:3">
      <c r="B101" s="2"/>
      <c r="C101" s="2"/>
    </row>
    <row r="102" spans="2:3">
      <c r="B102" s="2"/>
      <c r="C102" s="2"/>
    </row>
    <row r="103" spans="2:3">
      <c r="B103" s="2"/>
      <c r="C103" s="2"/>
    </row>
    <row r="104" spans="2:3">
      <c r="B104" s="2"/>
      <c r="C104" s="2"/>
    </row>
    <row r="105" spans="2:3">
      <c r="B105" s="2"/>
      <c r="C105" s="2"/>
    </row>
    <row r="106" spans="2:3">
      <c r="B106" s="2"/>
      <c r="C106" s="2"/>
    </row>
    <row r="107" spans="2:3">
      <c r="B107" s="2"/>
      <c r="C107" s="2"/>
    </row>
    <row r="108" spans="2:3">
      <c r="B108" s="2"/>
      <c r="C108" s="2"/>
    </row>
    <row r="109" spans="2:3">
      <c r="B109" s="2"/>
      <c r="C109" s="2"/>
    </row>
    <row r="110" spans="2:3">
      <c r="B110" s="2"/>
      <c r="C110" s="2"/>
    </row>
    <row r="111" spans="2:3">
      <c r="B111" s="2"/>
      <c r="C111" s="2"/>
    </row>
    <row r="112" spans="2:3">
      <c r="B112" s="2"/>
      <c r="C112" s="2"/>
    </row>
    <row r="113" spans="2:3">
      <c r="B113" s="2"/>
      <c r="C113" s="2"/>
    </row>
    <row r="114" spans="2:3">
      <c r="B114" s="2"/>
      <c r="C114" s="2"/>
    </row>
    <row r="115" spans="2:3">
      <c r="B115" s="2"/>
      <c r="C115" s="2"/>
    </row>
    <row r="116" spans="2:3">
      <c r="B116" s="2"/>
      <c r="C116" s="2"/>
    </row>
    <row r="117" spans="2:3">
      <c r="B117" s="2"/>
      <c r="C117" s="2"/>
    </row>
    <row r="118" spans="2:3">
      <c r="B118" s="2"/>
      <c r="C118" s="2"/>
    </row>
    <row r="119" spans="2:3">
      <c r="B119" s="2"/>
      <c r="C119" s="2"/>
    </row>
    <row r="120" spans="2:3">
      <c r="B120" s="2"/>
      <c r="C120" s="2"/>
    </row>
    <row r="121" spans="2:3">
      <c r="B121" s="2"/>
      <c r="C121" s="2"/>
    </row>
    <row r="122" spans="2:3">
      <c r="B122" s="2"/>
      <c r="C122" s="2"/>
    </row>
    <row r="123" spans="2:3">
      <c r="B123" s="2"/>
      <c r="C123" s="2"/>
    </row>
    <row r="124" spans="2:3">
      <c r="B124" s="2"/>
      <c r="C124" s="2"/>
    </row>
    <row r="125" spans="2:3">
      <c r="B125" s="2"/>
      <c r="C125" s="2"/>
    </row>
    <row r="126" spans="2:3">
      <c r="B126" s="2"/>
      <c r="C126" s="2"/>
    </row>
    <row r="127" spans="2:3">
      <c r="C127" s="2"/>
    </row>
  </sheetData>
  <mergeCells count="2">
    <mergeCell ref="B3:Y3"/>
    <mergeCell ref="B4:Y4"/>
  </mergeCells>
  <phoneticPr fontId="5" type="noConversion"/>
  <pageMargins left="0.75" right="0.75" top="1" bottom="1" header="0.5" footer="0.5"/>
  <pageSetup scale="39" orientation="landscape" horizontalDpi="4294967292" verticalDpi="4294967292"/>
  <headerFooter>
    <oddHeader>&amp;R&amp;"Calibri,Regular"&amp;K000000LAWTON WORKPAPER DATA INPUT_x000D_PAGE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27"/>
  <sheetViews>
    <sheetView workbookViewId="0">
      <selection sqref="A1:V25"/>
    </sheetView>
  </sheetViews>
  <sheetFormatPr defaultColWidth="11" defaultRowHeight="15.75"/>
  <cols>
    <col min="1" max="1" width="6.375" customWidth="1"/>
    <col min="2" max="2" width="36" customWidth="1"/>
    <col min="20" max="20" width="11.375" bestFit="1" customWidth="1"/>
  </cols>
  <sheetData>
    <row r="1" spans="1:22">
      <c r="A1" s="1"/>
      <c r="B1" s="1"/>
      <c r="C1" s="1"/>
      <c r="D1" s="1"/>
    </row>
    <row r="2" spans="1:22">
      <c r="A2" s="1"/>
      <c r="B2" s="1"/>
      <c r="C2" s="1"/>
      <c r="D2" s="1"/>
    </row>
    <row r="3" spans="1:22" ht="18.75">
      <c r="A3" s="1"/>
      <c r="B3" s="79" t="s">
        <v>297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8.75">
      <c r="A4" s="1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>
      <c r="A5" s="1"/>
      <c r="B5" s="1"/>
      <c r="C5" s="1"/>
      <c r="D5" s="1"/>
    </row>
    <row r="6" spans="1:22">
      <c r="A6" s="1"/>
      <c r="B6" s="1"/>
      <c r="C6" s="1"/>
      <c r="D6" s="1"/>
    </row>
    <row r="7" spans="1:22">
      <c r="A7" s="1"/>
      <c r="B7" s="1"/>
      <c r="C7" s="1"/>
      <c r="D7" s="1"/>
    </row>
    <row r="8" spans="1:22">
      <c r="A8" s="1"/>
      <c r="B8" s="1"/>
      <c r="C8" s="1"/>
      <c r="D8" s="1"/>
    </row>
    <row r="9" spans="1:22">
      <c r="A9" s="1"/>
      <c r="B9" s="1"/>
      <c r="C9" s="1"/>
      <c r="D9" s="1" t="s">
        <v>77</v>
      </c>
      <c r="E9" s="3" t="s">
        <v>92</v>
      </c>
      <c r="F9" s="3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131</v>
      </c>
      <c r="S9" s="1" t="s">
        <v>132</v>
      </c>
      <c r="T9" s="1" t="s">
        <v>133</v>
      </c>
      <c r="U9" s="1" t="s">
        <v>134</v>
      </c>
      <c r="V9" s="1" t="s">
        <v>140</v>
      </c>
    </row>
    <row r="10" spans="1:22" ht="64.5">
      <c r="A10" s="4" t="s">
        <v>0</v>
      </c>
      <c r="B10" s="4" t="s">
        <v>1</v>
      </c>
      <c r="C10" s="4" t="s">
        <v>4</v>
      </c>
      <c r="D10" s="4" t="s">
        <v>78</v>
      </c>
      <c r="E10" s="4" t="s">
        <v>79</v>
      </c>
      <c r="F10" s="4" t="s">
        <v>80</v>
      </c>
      <c r="G10" s="4" t="s">
        <v>81</v>
      </c>
      <c r="H10" s="4" t="s">
        <v>82</v>
      </c>
      <c r="I10" s="4" t="s">
        <v>83</v>
      </c>
      <c r="J10" s="4" t="s">
        <v>84</v>
      </c>
      <c r="K10" s="4" t="s">
        <v>85</v>
      </c>
      <c r="L10" s="4" t="s">
        <v>86</v>
      </c>
      <c r="M10" s="4" t="s">
        <v>87</v>
      </c>
      <c r="N10" s="4" t="s">
        <v>88</v>
      </c>
      <c r="O10" s="4" t="s">
        <v>89</v>
      </c>
      <c r="P10" s="4" t="s">
        <v>90</v>
      </c>
      <c r="Q10" s="4" t="s">
        <v>91</v>
      </c>
      <c r="R10" s="4" t="s">
        <v>135</v>
      </c>
      <c r="S10" s="4" t="s">
        <v>136</v>
      </c>
      <c r="T10" s="4" t="s">
        <v>137</v>
      </c>
      <c r="U10" s="4" t="s">
        <v>138</v>
      </c>
      <c r="V10" s="4" t="s">
        <v>139</v>
      </c>
    </row>
    <row r="11" spans="1:22">
      <c r="A11">
        <v>1</v>
      </c>
      <c r="B11" t="s">
        <v>22</v>
      </c>
      <c r="C11" t="s">
        <v>23</v>
      </c>
      <c r="D11" s="9">
        <v>0.47</v>
      </c>
      <c r="E11" s="7">
        <f>4*D11</f>
        <v>1.88</v>
      </c>
      <c r="F11" s="7">
        <v>44.75</v>
      </c>
      <c r="G11" s="5">
        <v>0.08</v>
      </c>
      <c r="H11" s="5">
        <v>0.05</v>
      </c>
      <c r="I11" s="5">
        <v>0.08</v>
      </c>
      <c r="J11" s="5">
        <v>1.4999999999999999E-2</v>
      </c>
      <c r="K11" s="5">
        <v>6.5000000000000002E-2</v>
      </c>
      <c r="L11" s="5">
        <v>0.05</v>
      </c>
      <c r="M11" s="5">
        <v>0.09</v>
      </c>
      <c r="N11" s="5">
        <v>4.4999999999999998E-2</v>
      </c>
      <c r="O11" s="5">
        <v>0.05</v>
      </c>
      <c r="P11" s="5"/>
      <c r="Q11" s="5">
        <v>0.04</v>
      </c>
      <c r="R11" s="14">
        <f>'GAS GROUP INPUT P1'!T11*'GAS GROUP INPUT P1'!X10:X11</f>
        <v>3391.58</v>
      </c>
      <c r="S11" s="14">
        <f>'GAS GROUP INPUT P1'!W11*'GAS GROUP INPUT P1'!Y11</f>
        <v>4204.95</v>
      </c>
      <c r="T11" s="16">
        <v>55</v>
      </c>
      <c r="U11" s="16">
        <v>70</v>
      </c>
      <c r="V11" s="16">
        <f>(T11+U11)/2</f>
        <v>62.5</v>
      </c>
    </row>
    <row r="12" spans="1:22">
      <c r="A12">
        <f>A11+1</f>
        <v>2</v>
      </c>
      <c r="B12" t="s">
        <v>24</v>
      </c>
      <c r="C12" t="s">
        <v>25</v>
      </c>
      <c r="D12" s="9">
        <v>0.35</v>
      </c>
      <c r="E12" s="7">
        <f t="shared" ref="E12:E18" si="0">4*D12</f>
        <v>1.4</v>
      </c>
      <c r="F12" s="7">
        <v>41.52</v>
      </c>
      <c r="G12" s="5">
        <v>0.05</v>
      </c>
      <c r="H12" s="5">
        <v>1.4999999999999999E-2</v>
      </c>
      <c r="I12" s="5">
        <v>6.5000000000000002E-2</v>
      </c>
      <c r="J12" s="5">
        <v>0.03</v>
      </c>
      <c r="K12" s="5">
        <v>1.4999999999999999E-2</v>
      </c>
      <c r="L12" s="5">
        <v>0.04</v>
      </c>
      <c r="M12" s="5">
        <v>5.5E-2</v>
      </c>
      <c r="N12" s="5">
        <v>1.4999999999999999E-2</v>
      </c>
      <c r="O12" s="5">
        <v>5.5E-2</v>
      </c>
      <c r="P12" s="5">
        <v>6.2E-2</v>
      </c>
      <c r="Q12" s="5">
        <v>6.0999999999999999E-2</v>
      </c>
      <c r="R12" s="14">
        <f>'GAS GROUP INPUT P1'!T12*'GAS GROUP INPUT P1'!X11:X12</f>
        <v>2360.5785000000001</v>
      </c>
      <c r="S12" s="14">
        <f>'GAS GROUP INPUT P1'!W12*'GAS GROUP INPUT P1'!Y12</f>
        <v>3570</v>
      </c>
      <c r="T12" s="16">
        <v>35</v>
      </c>
      <c r="U12" s="16">
        <v>50</v>
      </c>
      <c r="V12" s="16">
        <f t="shared" ref="V12:V18" si="1">(T12+U12)/2</f>
        <v>42.5</v>
      </c>
    </row>
    <row r="13" spans="1:22">
      <c r="A13" s="32">
        <f t="shared" ref="A13:A20" si="2">A12+1</f>
        <v>3</v>
      </c>
      <c r="B13" s="2" t="s">
        <v>26</v>
      </c>
      <c r="C13" s="2" t="s">
        <v>27</v>
      </c>
      <c r="D13" s="9">
        <v>0.4</v>
      </c>
      <c r="E13" s="7">
        <f t="shared" si="0"/>
        <v>1.6</v>
      </c>
      <c r="F13" s="7">
        <v>43.73</v>
      </c>
      <c r="G13" s="5">
        <v>7.0000000000000007E-2</v>
      </c>
      <c r="H13" s="5">
        <v>6.5000000000000002E-2</v>
      </c>
      <c r="I13" s="5">
        <v>0.08</v>
      </c>
      <c r="J13" s="5">
        <v>8.5000000000000006E-2</v>
      </c>
      <c r="K13" s="5">
        <v>8.5000000000000006E-2</v>
      </c>
      <c r="L13" s="5">
        <v>6.5000000000000002E-2</v>
      </c>
      <c r="M13" s="5">
        <v>0.04</v>
      </c>
      <c r="N13" s="5">
        <v>0.03</v>
      </c>
      <c r="O13" s="5">
        <v>0.05</v>
      </c>
      <c r="P13" s="5">
        <v>2.5000000000000001E-2</v>
      </c>
      <c r="Q13" s="5">
        <v>0.04</v>
      </c>
      <c r="R13" s="14">
        <f>'GAS GROUP INPUT P1'!T13*'GAS GROUP INPUT P1'!X12:X13</f>
        <v>814.11199999999997</v>
      </c>
      <c r="S13" s="14">
        <f>'GAS GROUP INPUT P1'!W13*'GAS GROUP INPUT P1'!Y13</f>
        <v>990.85</v>
      </c>
      <c r="T13" s="16">
        <v>40</v>
      </c>
      <c r="U13" s="16">
        <v>50</v>
      </c>
      <c r="V13" s="16">
        <f t="shared" si="1"/>
        <v>45</v>
      </c>
    </row>
    <row r="14" spans="1:22">
      <c r="A14" s="32">
        <f t="shared" si="2"/>
        <v>4</v>
      </c>
      <c r="B14" s="2" t="s">
        <v>28</v>
      </c>
      <c r="C14" s="2" t="s">
        <v>29</v>
      </c>
      <c r="D14" s="9">
        <v>0.45500000000000002</v>
      </c>
      <c r="E14" s="7">
        <f t="shared" si="0"/>
        <v>1.82</v>
      </c>
      <c r="F14" s="7">
        <v>41.74</v>
      </c>
      <c r="G14" s="5">
        <v>3.5000000000000003E-2</v>
      </c>
      <c r="H14" s="5">
        <v>3.5000000000000003E-2</v>
      </c>
      <c r="I14" s="5">
        <v>0.04</v>
      </c>
      <c r="J14" s="5">
        <v>5.0000000000000001E-3</v>
      </c>
      <c r="K14" s="5">
        <v>4.4999999999999998E-2</v>
      </c>
      <c r="L14" s="5">
        <v>0.04</v>
      </c>
      <c r="M14" s="5">
        <v>4.4999999999999998E-2</v>
      </c>
      <c r="N14" s="5">
        <v>2.5000000000000001E-2</v>
      </c>
      <c r="O14" s="5">
        <v>0.03</v>
      </c>
      <c r="P14" s="5">
        <v>0.04</v>
      </c>
      <c r="Q14" s="5">
        <v>4.2999999999999997E-2</v>
      </c>
      <c r="R14" s="14">
        <f>'GAS GROUP INPUT P1'!T14*'GAS GROUP INPUT P1'!X13:X14</f>
        <v>733.72050000000002</v>
      </c>
      <c r="S14" s="14">
        <f>'GAS GROUP INPUT P1'!W14*'GAS GROUP INPUT P1'!Y14</f>
        <v>886.6</v>
      </c>
      <c r="T14" s="16">
        <v>50</v>
      </c>
      <c r="U14" s="16">
        <v>60</v>
      </c>
      <c r="V14" s="16">
        <f t="shared" si="1"/>
        <v>55</v>
      </c>
    </row>
    <row r="15" spans="1:22">
      <c r="A15" s="32">
        <f t="shared" si="2"/>
        <v>5</v>
      </c>
      <c r="B15" s="2" t="s">
        <v>30</v>
      </c>
      <c r="C15" s="2" t="s">
        <v>31</v>
      </c>
      <c r="D15" s="9">
        <v>0.31</v>
      </c>
      <c r="E15" s="7">
        <f t="shared" si="0"/>
        <v>1.24</v>
      </c>
      <c r="F15" s="7">
        <v>32.5</v>
      </c>
      <c r="G15" s="5">
        <v>0.05</v>
      </c>
      <c r="H15" s="5">
        <v>0.05</v>
      </c>
      <c r="I15" s="5">
        <v>0.05</v>
      </c>
      <c r="J15" s="5">
        <v>3.5000000000000003E-2</v>
      </c>
      <c r="K15" s="5">
        <v>5.5E-2</v>
      </c>
      <c r="L15" s="5">
        <v>0.03</v>
      </c>
      <c r="M15" s="5">
        <v>0.04</v>
      </c>
      <c r="N15" s="5">
        <v>0.03</v>
      </c>
      <c r="O15" s="5">
        <v>4.4999999999999998E-2</v>
      </c>
      <c r="P15" s="5">
        <v>0.05</v>
      </c>
      <c r="Q15" s="5">
        <v>4.2999999999999997E-2</v>
      </c>
      <c r="R15" s="14">
        <f>'GAS GROUP INPUT P1'!T15*'GAS GROUP INPUT P1'!X14:X15</f>
        <v>1027.0260000000001</v>
      </c>
      <c r="S15" s="14">
        <f>'GAS GROUP INPUT P1'!W15*'GAS GROUP INPUT P1'!Y15</f>
        <v>1375.5</v>
      </c>
      <c r="T15" s="16">
        <v>30</v>
      </c>
      <c r="U15" s="16">
        <v>40</v>
      </c>
      <c r="V15" s="16">
        <f t="shared" si="1"/>
        <v>35</v>
      </c>
    </row>
    <row r="16" spans="1:22">
      <c r="A16" s="32">
        <f t="shared" si="2"/>
        <v>6</v>
      </c>
      <c r="B16" s="2" t="s">
        <v>32</v>
      </c>
      <c r="C16" s="2" t="s">
        <v>33</v>
      </c>
      <c r="D16" s="9">
        <v>0.443</v>
      </c>
      <c r="E16" s="7">
        <f t="shared" si="0"/>
        <v>1.772</v>
      </c>
      <c r="F16" s="7">
        <v>57.99</v>
      </c>
      <c r="G16" s="5">
        <v>9.5000000000000001E-2</v>
      </c>
      <c r="H16" s="5">
        <v>7.4999999999999997E-2</v>
      </c>
      <c r="I16" s="5">
        <v>0.1</v>
      </c>
      <c r="J16" s="5">
        <v>6.5000000000000002E-2</v>
      </c>
      <c r="K16" s="5">
        <v>0.1</v>
      </c>
      <c r="L16" s="5">
        <v>7.0000000000000007E-2</v>
      </c>
      <c r="M16" s="5">
        <v>7.4999999999999997E-2</v>
      </c>
      <c r="N16" s="5">
        <v>8.5000000000000006E-2</v>
      </c>
      <c r="O16" s="5">
        <v>6.5000000000000002E-2</v>
      </c>
      <c r="P16" s="5">
        <v>0.06</v>
      </c>
      <c r="Q16" s="5">
        <v>0.06</v>
      </c>
      <c r="R16" s="14">
        <f>'GAS GROUP INPUT P1'!T16*'GAS GROUP INPUT P1'!X15:X16</f>
        <v>735.68000000000006</v>
      </c>
      <c r="S16" s="14">
        <f>'GAS GROUP INPUT P1'!W16*'GAS GROUP INPUT P1'!Y16</f>
        <v>1102</v>
      </c>
      <c r="T16" s="16">
        <v>55</v>
      </c>
      <c r="U16" s="16">
        <v>70</v>
      </c>
      <c r="V16" s="16">
        <f t="shared" si="1"/>
        <v>62.5</v>
      </c>
    </row>
    <row r="17" spans="1:22">
      <c r="A17" s="32">
        <f t="shared" si="2"/>
        <v>7</v>
      </c>
      <c r="B17" s="2" t="s">
        <v>34</v>
      </c>
      <c r="C17" s="2" t="s">
        <v>35</v>
      </c>
      <c r="D17" s="9">
        <v>0.33</v>
      </c>
      <c r="E17" s="7">
        <f t="shared" si="0"/>
        <v>1.32</v>
      </c>
      <c r="F17" s="7">
        <v>47.38</v>
      </c>
      <c r="G17" s="5">
        <v>0.06</v>
      </c>
      <c r="H17" s="5">
        <v>0.02</v>
      </c>
      <c r="I17" s="5">
        <v>4.4999999999999998E-2</v>
      </c>
      <c r="J17" s="5">
        <v>6.5000000000000002E-2</v>
      </c>
      <c r="K17" s="5">
        <v>0.04</v>
      </c>
      <c r="L17" s="5">
        <v>0.05</v>
      </c>
      <c r="M17" s="5">
        <v>0.08</v>
      </c>
      <c r="N17" s="5">
        <v>7.0000000000000007E-2</v>
      </c>
      <c r="O17" s="5">
        <v>0.05</v>
      </c>
      <c r="P17" s="5">
        <v>3.5299999999999998E-2</v>
      </c>
      <c r="Q17" s="5">
        <v>3.5000000000000003E-2</v>
      </c>
      <c r="R17" s="14">
        <f>'GAS GROUP INPUT P1'!T17*'GAS GROUP INPUT P1'!X16:X17</f>
        <v>1310.1320000000001</v>
      </c>
      <c r="S17" s="14">
        <f>'GAS GROUP INPUT P1'!W17*'GAS GROUP INPUT P1'!Y17</f>
        <v>1802.5</v>
      </c>
      <c r="T17" s="16">
        <v>50</v>
      </c>
      <c r="U17" s="16">
        <v>70</v>
      </c>
      <c r="V17" s="16">
        <f t="shared" si="1"/>
        <v>60</v>
      </c>
    </row>
    <row r="18" spans="1:22">
      <c r="A18" s="32">
        <f t="shared" si="2"/>
        <v>8</v>
      </c>
      <c r="B18" s="2" t="s">
        <v>37</v>
      </c>
      <c r="C18" s="2" t="s">
        <v>36</v>
      </c>
      <c r="D18" s="9">
        <v>0.42</v>
      </c>
      <c r="E18" s="7">
        <f t="shared" si="0"/>
        <v>1.68</v>
      </c>
      <c r="F18" s="7">
        <v>42.68</v>
      </c>
      <c r="G18" s="5">
        <v>0.04</v>
      </c>
      <c r="H18" s="5">
        <v>0.02</v>
      </c>
      <c r="I18" s="5">
        <v>0.04</v>
      </c>
      <c r="J18" s="5">
        <v>0.03</v>
      </c>
      <c r="K18" s="5">
        <v>0.03</v>
      </c>
      <c r="L18" s="5">
        <v>4.4999999999999998E-2</v>
      </c>
      <c r="M18" s="5">
        <v>3.5000000000000003E-2</v>
      </c>
      <c r="N18" s="5">
        <v>0.03</v>
      </c>
      <c r="O18" s="5">
        <v>0.04</v>
      </c>
      <c r="P18" s="5">
        <v>5.2499999999999998E-2</v>
      </c>
      <c r="Q18" s="5">
        <v>5.2999999999999999E-2</v>
      </c>
      <c r="R18" s="14">
        <f>'GAS GROUP INPUT P1'!T18*'GAS GROUP INPUT P1'!X17:X18</f>
        <v>1273.6575000000003</v>
      </c>
      <c r="S18" s="14">
        <f>'GAS GROUP INPUT P1'!W19*'GAS GROUP INPUT P1'!Y19</f>
        <v>2045.5515625</v>
      </c>
      <c r="T18" s="16">
        <v>40</v>
      </c>
      <c r="U18" s="16">
        <v>50</v>
      </c>
      <c r="V18" s="16">
        <f t="shared" si="1"/>
        <v>45</v>
      </c>
    </row>
    <row r="19" spans="1:22">
      <c r="A19" s="32">
        <f t="shared" si="2"/>
        <v>9</v>
      </c>
      <c r="B19" s="2" t="s">
        <v>109</v>
      </c>
      <c r="C19" s="2"/>
      <c r="D19" s="9">
        <f t="shared" ref="D19:V19" si="3">AVERAGE(D11:D18)</f>
        <v>0.39724999999999999</v>
      </c>
      <c r="E19" s="7">
        <f t="shared" si="3"/>
        <v>1.589</v>
      </c>
      <c r="F19" s="7">
        <f t="shared" si="3"/>
        <v>44.036250000000003</v>
      </c>
      <c r="G19" s="5">
        <f t="shared" si="3"/>
        <v>0.06</v>
      </c>
      <c r="H19" s="5">
        <f t="shared" si="3"/>
        <v>4.1250000000000009E-2</v>
      </c>
      <c r="I19" s="5">
        <f t="shared" si="3"/>
        <v>6.25E-2</v>
      </c>
      <c r="J19" s="5">
        <f t="shared" si="3"/>
        <v>4.1250000000000009E-2</v>
      </c>
      <c r="K19" s="5">
        <f t="shared" si="3"/>
        <v>5.4374999999999993E-2</v>
      </c>
      <c r="L19" s="5">
        <f t="shared" si="3"/>
        <v>4.8750000000000002E-2</v>
      </c>
      <c r="M19" s="5">
        <f t="shared" si="3"/>
        <v>5.7499999999999996E-2</v>
      </c>
      <c r="N19" s="5">
        <f t="shared" si="3"/>
        <v>4.1249999999999995E-2</v>
      </c>
      <c r="O19" s="5">
        <f t="shared" si="3"/>
        <v>4.8125000000000001E-2</v>
      </c>
      <c r="P19" s="5">
        <f t="shared" si="3"/>
        <v>4.6399999999999997E-2</v>
      </c>
      <c r="Q19" s="5">
        <f t="shared" si="3"/>
        <v>4.6874999999999993E-2</v>
      </c>
      <c r="R19" s="14">
        <f t="shared" si="3"/>
        <v>1455.8108124999999</v>
      </c>
      <c r="S19" s="14">
        <f t="shared" si="3"/>
        <v>1997.2439453125</v>
      </c>
      <c r="T19" s="16">
        <f t="shared" si="3"/>
        <v>44.375</v>
      </c>
      <c r="U19" s="16">
        <f t="shared" si="3"/>
        <v>57.5</v>
      </c>
      <c r="V19" s="16">
        <f t="shared" si="3"/>
        <v>50.9375</v>
      </c>
    </row>
    <row r="20" spans="1:22">
      <c r="A20" s="32">
        <f t="shared" si="2"/>
        <v>10</v>
      </c>
      <c r="B20" s="2" t="s">
        <v>211</v>
      </c>
      <c r="C20" s="2"/>
      <c r="D20" s="9">
        <f>MEDIAN(D11:D18)</f>
        <v>0.41000000000000003</v>
      </c>
      <c r="E20" s="9">
        <f t="shared" ref="E20:V20" si="4">MEDIAN(E11:E18)</f>
        <v>1.6400000000000001</v>
      </c>
      <c r="F20" s="9">
        <f t="shared" si="4"/>
        <v>43.204999999999998</v>
      </c>
      <c r="G20" s="5">
        <f t="shared" si="4"/>
        <v>5.5E-2</v>
      </c>
      <c r="H20" s="5">
        <f t="shared" si="4"/>
        <v>4.2500000000000003E-2</v>
      </c>
      <c r="I20" s="5">
        <f t="shared" si="4"/>
        <v>5.7500000000000002E-2</v>
      </c>
      <c r="J20" s="5">
        <f t="shared" si="4"/>
        <v>3.2500000000000001E-2</v>
      </c>
      <c r="K20" s="5">
        <f t="shared" si="4"/>
        <v>0.05</v>
      </c>
      <c r="L20" s="5">
        <f t="shared" si="4"/>
        <v>4.7500000000000001E-2</v>
      </c>
      <c r="M20" s="5">
        <f t="shared" si="4"/>
        <v>0.05</v>
      </c>
      <c r="N20" s="5">
        <f t="shared" si="4"/>
        <v>0.03</v>
      </c>
      <c r="O20" s="5">
        <f t="shared" si="4"/>
        <v>0.05</v>
      </c>
      <c r="P20" s="5">
        <f t="shared" si="4"/>
        <v>0.05</v>
      </c>
      <c r="Q20" s="5">
        <f t="shared" si="4"/>
        <v>4.2999999999999997E-2</v>
      </c>
      <c r="R20" s="69">
        <f t="shared" si="4"/>
        <v>1150.34175</v>
      </c>
      <c r="S20" s="69">
        <f t="shared" si="4"/>
        <v>1589</v>
      </c>
      <c r="T20" s="9">
        <f t="shared" si="4"/>
        <v>45</v>
      </c>
      <c r="U20" s="9">
        <f t="shared" si="4"/>
        <v>55</v>
      </c>
      <c r="V20" s="9">
        <f t="shared" si="4"/>
        <v>50</v>
      </c>
    </row>
    <row r="21" spans="1:22">
      <c r="B21" s="62" t="s">
        <v>288</v>
      </c>
      <c r="C21" s="2"/>
      <c r="D21" s="9"/>
      <c r="E21" s="7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22">
      <c r="B22" s="62" t="s">
        <v>313</v>
      </c>
      <c r="C22" s="2"/>
      <c r="D22" s="9"/>
      <c r="E22" s="7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22">
      <c r="B23" s="62" t="s">
        <v>314</v>
      </c>
      <c r="C23" s="2"/>
      <c r="D23" s="9"/>
      <c r="E23" s="7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22">
      <c r="B24" s="62" t="s">
        <v>315</v>
      </c>
      <c r="D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22">
      <c r="B25" s="62" t="s">
        <v>316</v>
      </c>
      <c r="D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22">
      <c r="D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22">
      <c r="D27" s="10"/>
    </row>
  </sheetData>
  <mergeCells count="2">
    <mergeCell ref="B3:V3"/>
    <mergeCell ref="B4:V4"/>
  </mergeCells>
  <phoneticPr fontId="5" type="noConversion"/>
  <pageMargins left="0.75" right="0.75" top="1" bottom="1" header="0.5" footer="0.5"/>
  <pageSetup scale="43" orientation="landscape" horizontalDpi="4294967292" verticalDpi="4294967292"/>
  <headerFooter>
    <oddHeader>&amp;R&amp;"Calibri,Regular"&amp;K000000LAWTON  WORKPAPER DATA INPUT_x000D_PAGE 2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X75"/>
  <sheetViews>
    <sheetView topLeftCell="A50" workbookViewId="0">
      <selection sqref="A1:F74"/>
    </sheetView>
  </sheetViews>
  <sheetFormatPr defaultColWidth="11" defaultRowHeight="15.75"/>
  <cols>
    <col min="1" max="1" width="13.5" customWidth="1"/>
    <col min="2" max="2" width="20" customWidth="1"/>
    <col min="3" max="3" width="18.125" customWidth="1"/>
    <col min="4" max="4" width="17.625" customWidth="1"/>
    <col min="5" max="5" width="18.875" customWidth="1"/>
    <col min="6" max="6" width="19.625" customWidth="1"/>
  </cols>
  <sheetData>
    <row r="3" spans="1:24" ht="21">
      <c r="B3" s="80" t="s">
        <v>298</v>
      </c>
      <c r="C3" s="80"/>
      <c r="D3" s="80"/>
      <c r="E3" s="80"/>
      <c r="F3" s="8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21">
      <c r="B4" s="80" t="s">
        <v>299</v>
      </c>
      <c r="C4" s="80"/>
      <c r="D4" s="80"/>
      <c r="E4" s="80"/>
      <c r="F4" s="8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1">
      <c r="B5" s="80" t="s">
        <v>300</v>
      </c>
      <c r="C5" s="80"/>
      <c r="D5" s="80"/>
      <c r="E5" s="80"/>
      <c r="F5" s="8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9" spans="1:24" ht="18.75">
      <c r="A9" s="1"/>
      <c r="B9" s="19" t="s">
        <v>56</v>
      </c>
      <c r="C9" s="19" t="s">
        <v>57</v>
      </c>
      <c r="D9" s="19" t="s">
        <v>58</v>
      </c>
      <c r="E9" s="19" t="s">
        <v>8</v>
      </c>
      <c r="F9" s="19" t="s">
        <v>59</v>
      </c>
    </row>
    <row r="10" spans="1:24">
      <c r="A10" s="1" t="s">
        <v>165</v>
      </c>
      <c r="B10" s="4" t="s">
        <v>166</v>
      </c>
      <c r="C10" s="4" t="s">
        <v>167</v>
      </c>
      <c r="D10" s="4" t="s">
        <v>168</v>
      </c>
      <c r="E10" s="4" t="s">
        <v>169</v>
      </c>
      <c r="F10" s="4" t="s">
        <v>170</v>
      </c>
    </row>
    <row r="11" spans="1:24">
      <c r="A11" s="20">
        <v>39814</v>
      </c>
      <c r="B11" s="11">
        <v>3.1300000000000001E-2</v>
      </c>
      <c r="C11" s="11">
        <v>3.4599999999999999E-2</v>
      </c>
      <c r="D11" s="11">
        <v>2.52E-2</v>
      </c>
      <c r="E11" s="11">
        <v>5.0500000000000003E-2</v>
      </c>
      <c r="F11" s="11">
        <v>8.14E-2</v>
      </c>
    </row>
    <row r="12" spans="1:24">
      <c r="A12" s="20">
        <v>39845</v>
      </c>
      <c r="B12" s="11">
        <v>3.5900000000000001E-2</v>
      </c>
      <c r="C12" s="11">
        <v>3.8300000000000001E-2</v>
      </c>
      <c r="D12" s="11">
        <v>2.87E-2</v>
      </c>
      <c r="E12" s="11">
        <v>5.2699999999999997E-2</v>
      </c>
      <c r="F12" s="11">
        <v>8.0799999999999997E-2</v>
      </c>
    </row>
    <row r="13" spans="1:24">
      <c r="A13" s="20">
        <v>39873</v>
      </c>
      <c r="B13" s="11">
        <v>3.6400000000000002E-2</v>
      </c>
      <c r="C13" s="11">
        <v>3.78E-2</v>
      </c>
      <c r="D13" s="11">
        <v>2.8199999999999999E-2</v>
      </c>
      <c r="E13" s="11">
        <v>5.5E-2</v>
      </c>
      <c r="F13" s="11">
        <v>8.4199999999999997E-2</v>
      </c>
    </row>
    <row r="14" spans="1:24">
      <c r="A14" s="20">
        <v>39904</v>
      </c>
      <c r="B14" s="11">
        <v>3.7600000000000001E-2</v>
      </c>
      <c r="C14" s="11">
        <v>3.8399999999999997E-2</v>
      </c>
      <c r="D14" s="11">
        <v>2.93E-2</v>
      </c>
      <c r="E14" s="11">
        <v>5.3900000000000003E-2</v>
      </c>
      <c r="F14" s="11">
        <v>8.3900000000000002E-2</v>
      </c>
    </row>
    <row r="15" spans="1:24">
      <c r="A15" s="20">
        <v>39934</v>
      </c>
      <c r="B15" s="11">
        <v>4.2299999999999997E-2</v>
      </c>
      <c r="C15" s="11">
        <v>4.2200000000000001E-2</v>
      </c>
      <c r="D15" s="11">
        <v>3.2899999999999999E-2</v>
      </c>
      <c r="E15" s="11">
        <v>5.5399999999999998E-2</v>
      </c>
      <c r="F15" s="11">
        <v>8.0600000000000005E-2</v>
      </c>
    </row>
    <row r="16" spans="1:24">
      <c r="A16" s="20">
        <v>39965</v>
      </c>
      <c r="B16" s="11">
        <v>4.5199999999999997E-2</v>
      </c>
      <c r="C16" s="11">
        <v>4.5100000000000001E-2</v>
      </c>
      <c r="D16" s="11">
        <v>3.7199999999999997E-2</v>
      </c>
      <c r="E16" s="11">
        <v>5.6099999999999997E-2</v>
      </c>
      <c r="F16" s="11">
        <v>7.4999999999999997E-2</v>
      </c>
    </row>
    <row r="17" spans="1:6">
      <c r="A17" s="20">
        <v>39995</v>
      </c>
      <c r="B17" s="11">
        <v>4.41E-2</v>
      </c>
      <c r="C17" s="11">
        <v>4.3799999999999999E-2</v>
      </c>
      <c r="D17" s="11">
        <v>3.56E-2</v>
      </c>
      <c r="E17" s="11">
        <v>5.4100000000000002E-2</v>
      </c>
      <c r="F17" s="11">
        <v>7.0900000000000005E-2</v>
      </c>
    </row>
    <row r="18" spans="1:6">
      <c r="A18" s="20">
        <v>40026</v>
      </c>
      <c r="B18" s="11">
        <v>4.3700000000000003E-2</v>
      </c>
      <c r="C18" s="11">
        <v>4.3299999999999998E-2</v>
      </c>
      <c r="D18" s="11">
        <v>3.5900000000000001E-2</v>
      </c>
      <c r="E18" s="11">
        <v>5.2600000000000001E-2</v>
      </c>
      <c r="F18" s="11">
        <v>6.5799999999999997E-2</v>
      </c>
    </row>
    <row r="19" spans="1:6">
      <c r="A19" s="20">
        <v>40057</v>
      </c>
      <c r="B19" s="11">
        <v>4.19E-2</v>
      </c>
      <c r="C19" s="11">
        <v>4.1399999999999999E-2</v>
      </c>
      <c r="D19" s="11">
        <v>3.4000000000000002E-2</v>
      </c>
      <c r="E19" s="11">
        <v>5.1299999999999998E-2</v>
      </c>
      <c r="F19" s="11">
        <v>6.3099999999999989E-2</v>
      </c>
    </row>
    <row r="20" spans="1:6">
      <c r="A20" s="20">
        <v>40087</v>
      </c>
      <c r="B20" s="11">
        <v>4.19E-2</v>
      </c>
      <c r="C20" s="11">
        <v>4.1599999999999998E-2</v>
      </c>
      <c r="D20" s="11">
        <v>3.39E-2</v>
      </c>
      <c r="E20" s="11">
        <v>5.1500000000000004E-2</v>
      </c>
      <c r="F20" s="11">
        <v>6.2899999999999998E-2</v>
      </c>
    </row>
    <row r="21" spans="1:6">
      <c r="A21" s="20">
        <v>40118</v>
      </c>
      <c r="B21" s="11">
        <v>4.3099999999999999E-2</v>
      </c>
      <c r="C21" s="11">
        <v>4.24E-2</v>
      </c>
      <c r="D21" s="11">
        <v>3.4000000000000002E-2</v>
      </c>
      <c r="E21" s="11">
        <v>5.1900000000000002E-2</v>
      </c>
      <c r="F21" s="11">
        <v>6.3200000000000006E-2</v>
      </c>
    </row>
    <row r="22" spans="1:6">
      <c r="A22" s="20">
        <v>40148</v>
      </c>
      <c r="B22" s="11">
        <v>4.4900000000000002E-2</v>
      </c>
      <c r="C22" s="11">
        <v>4.4000000000000004E-2</v>
      </c>
      <c r="D22" s="11">
        <v>3.5900000000000001E-2</v>
      </c>
      <c r="E22" s="11">
        <v>5.2600000000000001E-2</v>
      </c>
      <c r="F22" s="11">
        <v>6.3700000000000007E-2</v>
      </c>
    </row>
    <row r="23" spans="1:6">
      <c r="A23" s="20">
        <v>40179</v>
      </c>
      <c r="B23" s="11">
        <v>4.5999999999999999E-2</v>
      </c>
      <c r="C23" s="11">
        <v>4.4999999999999998E-2</v>
      </c>
      <c r="D23" s="11">
        <v>3.73E-2</v>
      </c>
      <c r="E23" s="11">
        <v>5.2600000000000001E-2</v>
      </c>
      <c r="F23" s="11">
        <v>6.25E-2</v>
      </c>
    </row>
    <row r="24" spans="1:6">
      <c r="A24" s="20">
        <v>40210</v>
      </c>
      <c r="B24" s="11">
        <v>4.6199999999999998E-2</v>
      </c>
      <c r="C24" s="11">
        <v>4.4800000000000006E-2</v>
      </c>
      <c r="D24" s="11">
        <v>3.6900000000000002E-2</v>
      </c>
      <c r="E24" s="11">
        <v>5.3499999999999999E-2</v>
      </c>
      <c r="F24" s="11">
        <v>6.3399999999999998E-2</v>
      </c>
    </row>
    <row r="25" spans="1:6">
      <c r="A25" s="20">
        <v>40238</v>
      </c>
      <c r="B25" s="11">
        <v>4.6399999999999997E-2</v>
      </c>
      <c r="C25" s="11">
        <v>4.4900000000000002E-2</v>
      </c>
      <c r="D25" s="11">
        <v>3.73E-2</v>
      </c>
      <c r="E25" s="11">
        <v>5.2699999999999997E-2</v>
      </c>
      <c r="F25" s="11">
        <v>6.2699999999999992E-2</v>
      </c>
    </row>
    <row r="26" spans="1:6">
      <c r="A26" s="20">
        <v>40269</v>
      </c>
      <c r="B26" s="11">
        <v>4.6899999999999997E-2</v>
      </c>
      <c r="C26" s="11">
        <v>4.53E-2</v>
      </c>
      <c r="D26" s="11">
        <v>3.85E-2</v>
      </c>
      <c r="E26" s="11">
        <v>5.2900000000000003E-2</v>
      </c>
      <c r="F26" s="11">
        <v>6.25E-2</v>
      </c>
    </row>
    <row r="27" spans="1:6">
      <c r="A27" s="20">
        <v>40299</v>
      </c>
      <c r="B27" s="11">
        <v>4.2900000000000001E-2</v>
      </c>
      <c r="C27" s="11">
        <v>4.1100000000000005E-2</v>
      </c>
      <c r="D27" s="11">
        <v>3.4200000000000001E-2</v>
      </c>
      <c r="E27" s="11">
        <v>4.9599999999999998E-2</v>
      </c>
      <c r="F27" s="11">
        <v>6.0499999999999998E-2</v>
      </c>
    </row>
    <row r="28" spans="1:6">
      <c r="A28" s="20">
        <v>40330</v>
      </c>
      <c r="B28" s="11">
        <v>4.1300000000000003E-2</v>
      </c>
      <c r="C28" s="11">
        <v>3.95E-2</v>
      </c>
      <c r="D28" s="11">
        <v>3.2000000000000001E-2</v>
      </c>
      <c r="E28" s="11">
        <v>4.8800000000000003E-2</v>
      </c>
      <c r="F28" s="11">
        <v>6.2300000000000001E-2</v>
      </c>
    </row>
    <row r="29" spans="1:6">
      <c r="A29" s="20">
        <v>40360</v>
      </c>
      <c r="B29" s="11">
        <v>3.9899999999999998E-2</v>
      </c>
      <c r="C29" s="11">
        <v>3.7999999999999999E-2</v>
      </c>
      <c r="D29" s="11">
        <v>3.0099999999999998E-2</v>
      </c>
      <c r="E29" s="11">
        <v>4.7199999999999999E-2</v>
      </c>
      <c r="F29" s="11">
        <v>6.0100000000000001E-2</v>
      </c>
    </row>
    <row r="30" spans="1:6">
      <c r="A30" s="20">
        <v>40391</v>
      </c>
      <c r="B30" s="11">
        <v>3.7999999999999999E-2</v>
      </c>
      <c r="C30" s="11">
        <v>3.5200000000000002E-2</v>
      </c>
      <c r="D30" s="11">
        <v>2.7000000000000003E-2</v>
      </c>
      <c r="E30" s="11">
        <v>4.4900000000000002E-2</v>
      </c>
      <c r="F30" s="11">
        <v>5.6600000000000004E-2</v>
      </c>
    </row>
    <row r="31" spans="1:6">
      <c r="A31" s="20">
        <v>40422</v>
      </c>
      <c r="B31" s="11">
        <v>3.7699999999999997E-2</v>
      </c>
      <c r="C31" s="11">
        <v>3.4700000000000002E-2</v>
      </c>
      <c r="D31" s="11">
        <v>2.6499999999999999E-2</v>
      </c>
      <c r="E31" s="11">
        <v>4.53E-2</v>
      </c>
      <c r="F31" s="11">
        <v>5.6600000000000004E-2</v>
      </c>
    </row>
    <row r="32" spans="1:6">
      <c r="A32" s="20">
        <v>40452</v>
      </c>
      <c r="B32" s="11">
        <v>3.8699999999999998E-2</v>
      </c>
      <c r="C32" s="11">
        <v>3.5200000000000002E-2</v>
      </c>
      <c r="D32" s="11">
        <v>2.5399999999999999E-2</v>
      </c>
      <c r="E32" s="11">
        <v>4.6799999999999994E-2</v>
      </c>
      <c r="F32" s="11">
        <v>5.7200000000000001E-2</v>
      </c>
    </row>
    <row r="33" spans="1:6">
      <c r="A33" s="20">
        <v>40483</v>
      </c>
      <c r="B33" s="11">
        <v>4.19E-2</v>
      </c>
      <c r="C33" s="11">
        <v>3.8199999999999998E-2</v>
      </c>
      <c r="D33" s="11">
        <v>2.76E-2</v>
      </c>
      <c r="E33" s="11">
        <v>4.87E-2</v>
      </c>
      <c r="F33" s="11">
        <v>5.9200000000000003E-2</v>
      </c>
    </row>
    <row r="34" spans="1:6">
      <c r="A34" s="20">
        <v>40513</v>
      </c>
      <c r="B34" s="11">
        <v>4.4200000000000003E-2</v>
      </c>
      <c r="C34" s="11">
        <v>4.1700000000000001E-2</v>
      </c>
      <c r="D34" s="11">
        <v>3.2899999999999999E-2</v>
      </c>
      <c r="E34" s="11">
        <v>5.0199999999999995E-2</v>
      </c>
      <c r="F34" s="11">
        <v>6.0999999999999999E-2</v>
      </c>
    </row>
    <row r="35" spans="1:6">
      <c r="A35" s="20">
        <v>40544</v>
      </c>
      <c r="B35" s="11">
        <v>4.5199999999999997E-2</v>
      </c>
      <c r="C35" s="11">
        <v>4.2800000000000005E-2</v>
      </c>
      <c r="D35" s="11">
        <v>3.39E-2</v>
      </c>
      <c r="E35" s="11">
        <v>5.04E-2</v>
      </c>
      <c r="F35" s="11">
        <v>6.0899999999999996E-2</v>
      </c>
    </row>
    <row r="36" spans="1:6">
      <c r="A36" s="20">
        <v>40575</v>
      </c>
      <c r="B36" s="11">
        <v>4.65E-2</v>
      </c>
      <c r="C36" s="11">
        <v>4.4199999999999996E-2</v>
      </c>
      <c r="D36" s="11">
        <v>3.5799999999999998E-2</v>
      </c>
      <c r="E36" s="11">
        <v>5.2199999999999996E-2</v>
      </c>
      <c r="F36" s="11">
        <v>6.1500000000000006E-2</v>
      </c>
    </row>
    <row r="37" spans="1:6">
      <c r="A37" s="20">
        <v>40603</v>
      </c>
      <c r="B37" s="11">
        <v>4.5100000000000001E-2</v>
      </c>
      <c r="C37" s="11">
        <v>4.2699999999999995E-2</v>
      </c>
      <c r="D37" s="11">
        <v>3.4099999999999998E-2</v>
      </c>
      <c r="E37" s="11">
        <v>5.1299999999999998E-2</v>
      </c>
      <c r="F37" s="11">
        <v>6.0299999999999999E-2</v>
      </c>
    </row>
    <row r="38" spans="1:6">
      <c r="A38" s="20">
        <v>40634</v>
      </c>
      <c r="B38" s="11">
        <v>4.4999999999999998E-2</v>
      </c>
      <c r="C38" s="11">
        <v>4.2799999999999998E-2</v>
      </c>
      <c r="D38" s="11">
        <v>3.4599999999999999E-2</v>
      </c>
      <c r="E38" s="11">
        <v>5.16E-2</v>
      </c>
      <c r="F38" s="11">
        <v>6.0199999999999997E-2</v>
      </c>
    </row>
    <row r="39" spans="1:6">
      <c r="A39" s="20">
        <v>40664</v>
      </c>
      <c r="B39" s="11">
        <v>4.2900000000000001E-2</v>
      </c>
      <c r="C39" s="11">
        <v>4.0099999999999997E-2</v>
      </c>
      <c r="D39" s="11">
        <v>3.1699999999999999E-2</v>
      </c>
      <c r="E39" s="11">
        <v>4.9599999999999998E-2</v>
      </c>
      <c r="F39" s="11">
        <v>5.7799999999999997E-2</v>
      </c>
    </row>
    <row r="40" spans="1:6">
      <c r="A40" s="20">
        <v>40695</v>
      </c>
      <c r="B40" s="11">
        <v>4.2299999999999997E-2</v>
      </c>
      <c r="C40" s="11">
        <v>3.9100000000000003E-2</v>
      </c>
      <c r="D40" s="11">
        <v>0.03</v>
      </c>
      <c r="E40" s="11">
        <v>4.99E-2</v>
      </c>
      <c r="F40" s="11">
        <v>5.7500000000000002E-2</v>
      </c>
    </row>
    <row r="41" spans="1:6">
      <c r="A41" s="20">
        <v>40725</v>
      </c>
      <c r="B41" s="11">
        <v>4.2700000000000002E-2</v>
      </c>
      <c r="C41" s="11">
        <v>3.95E-2</v>
      </c>
      <c r="D41" s="11">
        <v>0.03</v>
      </c>
      <c r="E41" s="11">
        <v>4.9299999999999997E-2</v>
      </c>
      <c r="F41" s="11">
        <v>5.7599999999999998E-2</v>
      </c>
    </row>
    <row r="42" spans="1:6">
      <c r="A42" s="20">
        <v>40756</v>
      </c>
      <c r="B42" s="11">
        <v>3.6499999999999998E-2</v>
      </c>
      <c r="C42" s="11">
        <v>3.2399999999999998E-2</v>
      </c>
      <c r="D42" s="11">
        <v>2.3E-2</v>
      </c>
      <c r="E42" s="11">
        <v>4.3700000000000003E-2</v>
      </c>
      <c r="F42" s="11">
        <v>5.3600000000000002E-2</v>
      </c>
    </row>
    <row r="43" spans="1:6">
      <c r="A43" s="20">
        <v>40787</v>
      </c>
      <c r="B43" s="11">
        <v>3.1800000000000002E-2</v>
      </c>
      <c r="C43" s="11">
        <v>2.8299999999999999E-2</v>
      </c>
      <c r="D43" s="11">
        <v>1.9800000000000002E-2</v>
      </c>
      <c r="E43" s="11">
        <v>4.0899999999999999E-2</v>
      </c>
      <c r="F43" s="11">
        <v>5.2699999999999997E-2</v>
      </c>
    </row>
    <row r="44" spans="1:6">
      <c r="A44" s="20">
        <v>40817</v>
      </c>
      <c r="B44" s="11">
        <v>3.1300000000000001E-2</v>
      </c>
      <c r="C44" s="11">
        <v>2.87E-2</v>
      </c>
      <c r="D44" s="11">
        <v>2.1499999999999998E-2</v>
      </c>
      <c r="E44" s="11">
        <v>3.9800000000000002E-2</v>
      </c>
      <c r="F44" s="11">
        <v>5.3699999999999998E-2</v>
      </c>
    </row>
    <row r="45" spans="1:6">
      <c r="A45" s="20">
        <v>40848</v>
      </c>
      <c r="B45" s="11">
        <v>3.0200000000000001E-2</v>
      </c>
      <c r="C45" s="11">
        <v>2.7199999999999998E-2</v>
      </c>
      <c r="D45" s="11">
        <v>2.01E-2</v>
      </c>
      <c r="E45" s="11">
        <v>3.8699999999999998E-2</v>
      </c>
      <c r="F45" s="11">
        <v>5.1400000000000001E-2</v>
      </c>
    </row>
    <row r="46" spans="1:6">
      <c r="A46" s="20">
        <v>40878</v>
      </c>
      <c r="B46" s="11">
        <v>2.98E-2</v>
      </c>
      <c r="C46" s="11">
        <v>2.6700000000000002E-2</v>
      </c>
      <c r="D46" s="11">
        <v>1.9800000000000002E-2</v>
      </c>
      <c r="E46" s="11">
        <v>3.9300000000000002E-2</v>
      </c>
      <c r="F46" s="11">
        <v>5.2499999999999998E-2</v>
      </c>
    </row>
    <row r="47" spans="1:6">
      <c r="A47" s="20">
        <v>40909</v>
      </c>
      <c r="B47" s="11">
        <v>3.0300000000000001E-2</v>
      </c>
      <c r="C47" s="11">
        <v>2.7E-2</v>
      </c>
      <c r="D47" s="11">
        <v>1.9699999999999999E-2</v>
      </c>
      <c r="E47" s="11">
        <v>3.85E-2</v>
      </c>
      <c r="F47" s="11">
        <v>5.2299999999999999E-2</v>
      </c>
    </row>
    <row r="48" spans="1:6">
      <c r="A48" s="20">
        <v>40940</v>
      </c>
      <c r="B48" s="11">
        <v>3.1099999999999999E-2</v>
      </c>
      <c r="C48" s="11">
        <v>2.75E-2</v>
      </c>
      <c r="D48" s="11">
        <v>1.9699999999999999E-2</v>
      </c>
      <c r="E48" s="11">
        <v>3.85E-2</v>
      </c>
      <c r="F48" s="11">
        <v>5.1400000000000001E-2</v>
      </c>
    </row>
    <row r="49" spans="1:6">
      <c r="A49" s="20">
        <v>40969</v>
      </c>
      <c r="B49" s="11">
        <v>3.2800000000000003E-2</v>
      </c>
      <c r="C49" s="11">
        <v>2.9399999999999999E-2</v>
      </c>
      <c r="D49" s="11">
        <v>2.1700000000000001E-2</v>
      </c>
      <c r="E49" s="11">
        <v>3.9899999999999998E-2</v>
      </c>
      <c r="F49" s="11">
        <v>5.2299999999999999E-2</v>
      </c>
    </row>
    <row r="50" spans="1:6">
      <c r="A50" s="20">
        <v>41000</v>
      </c>
      <c r="B50" s="11">
        <v>3.1800000000000002E-2</v>
      </c>
      <c r="C50" s="11">
        <v>2.8199999999999999E-2</v>
      </c>
      <c r="D50" s="11">
        <v>2.0500000000000001E-2</v>
      </c>
      <c r="E50" s="11">
        <v>3.9600000000000003E-2</v>
      </c>
      <c r="F50" s="11">
        <v>5.1900000000000002E-2</v>
      </c>
    </row>
    <row r="51" spans="1:6">
      <c r="A51" s="20">
        <v>41030</v>
      </c>
      <c r="B51" s="11">
        <v>2.93E-2</v>
      </c>
      <c r="C51" s="11">
        <v>2.53E-2</v>
      </c>
      <c r="D51" s="11">
        <v>1.7999999999999999E-2</v>
      </c>
      <c r="E51" s="11">
        <v>3.7999999999999999E-2</v>
      </c>
      <c r="F51" s="11">
        <v>5.0700000000000002E-2</v>
      </c>
    </row>
    <row r="52" spans="1:6">
      <c r="A52" s="20">
        <v>41061</v>
      </c>
      <c r="B52" s="11">
        <v>2.7E-2</v>
      </c>
      <c r="C52" s="11">
        <v>2.3099999999999999E-2</v>
      </c>
      <c r="D52" s="11">
        <v>1.6199999999999999E-2</v>
      </c>
      <c r="E52" s="11">
        <v>3.6400000000000002E-2</v>
      </c>
      <c r="F52" s="11">
        <v>5.0200000000000002E-2</v>
      </c>
    </row>
    <row r="53" spans="1:6">
      <c r="A53" s="20">
        <v>41091</v>
      </c>
      <c r="B53" s="22">
        <v>2.5899999999999999E-2</v>
      </c>
      <c r="C53" s="22">
        <v>2.2200000000000001E-2</v>
      </c>
      <c r="D53" s="22">
        <v>1.5299999999999999E-2</v>
      </c>
      <c r="E53" s="22">
        <v>3.4000000000000002E-2</v>
      </c>
      <c r="F53" s="11">
        <v>4.87E-2</v>
      </c>
    </row>
    <row r="54" spans="1:6">
      <c r="A54" s="20">
        <v>41122</v>
      </c>
      <c r="B54" s="11">
        <v>2.7699999999999999E-2</v>
      </c>
      <c r="C54" s="11">
        <v>2.4E-2</v>
      </c>
      <c r="D54" s="11">
        <v>1.6799999999999999E-2</v>
      </c>
      <c r="E54" s="11">
        <v>3.4799999999999998E-2</v>
      </c>
      <c r="F54" s="11">
        <v>4.9099999999999998E-2</v>
      </c>
    </row>
    <row r="55" spans="1:6">
      <c r="A55" s="20">
        <v>41153</v>
      </c>
      <c r="B55" s="11">
        <v>2.8799999999999999E-2</v>
      </c>
      <c r="C55" s="11">
        <v>2.4899999999999999E-2</v>
      </c>
      <c r="D55" s="11">
        <v>1.72E-2</v>
      </c>
      <c r="E55" s="11">
        <v>3.49E-2</v>
      </c>
      <c r="F55" s="11">
        <v>4.8399999999999999E-2</v>
      </c>
    </row>
    <row r="56" spans="1:6">
      <c r="A56" s="20">
        <v>41183</v>
      </c>
      <c r="B56" s="11">
        <v>2.9000000000000001E-2</v>
      </c>
      <c r="C56" s="11">
        <v>2.5100000000000001E-2</v>
      </c>
      <c r="D56" s="11">
        <v>1.7500000000000002E-2</v>
      </c>
      <c r="E56" s="11">
        <v>3.4700000000000002E-2</v>
      </c>
      <c r="F56" s="11">
        <v>4.58E-2</v>
      </c>
    </row>
    <row r="57" spans="1:6">
      <c r="A57" s="20">
        <v>41214</v>
      </c>
      <c r="B57" s="11">
        <v>2.8000000000000001E-2</v>
      </c>
      <c r="C57" s="11">
        <v>2.3900000000000001E-2</v>
      </c>
      <c r="D57" s="11">
        <v>1.6500000000000001E-2</v>
      </c>
      <c r="E57" s="11">
        <v>3.5000000000000003E-2</v>
      </c>
      <c r="F57" s="22">
        <v>4.5100000000000001E-2</v>
      </c>
    </row>
    <row r="58" spans="1:6">
      <c r="A58" s="20">
        <v>41244</v>
      </c>
      <c r="B58" s="11">
        <v>2.8799999999999999E-2</v>
      </c>
      <c r="C58" s="11">
        <v>2.47E-2</v>
      </c>
      <c r="D58" s="11">
        <v>1.72E-2</v>
      </c>
      <c r="E58" s="11">
        <v>3.6499999999999998E-2</v>
      </c>
      <c r="F58" s="11">
        <v>4.6300000000000001E-2</v>
      </c>
    </row>
    <row r="59" spans="1:6">
      <c r="A59" s="20">
        <v>41275</v>
      </c>
      <c r="B59" s="11">
        <v>3.0800000000000001E-2</v>
      </c>
      <c r="C59" s="11">
        <v>2.6800000000000001E-2</v>
      </c>
      <c r="D59" s="11">
        <v>1.9099999999999999E-2</v>
      </c>
      <c r="E59" s="11">
        <v>3.7999999999999999E-2</v>
      </c>
      <c r="F59" s="11">
        <v>4.7300000000000002E-2</v>
      </c>
    </row>
    <row r="60" spans="1:6">
      <c r="A60" s="20">
        <v>41306</v>
      </c>
      <c r="B60" s="11">
        <v>3.1699999999999999E-2</v>
      </c>
      <c r="C60" s="11">
        <v>2.7799999999999998E-2</v>
      </c>
      <c r="D60" s="11">
        <v>1.9800000000000002E-2</v>
      </c>
      <c r="E60" s="11">
        <v>3.9E-2</v>
      </c>
      <c r="F60" s="11">
        <v>4.8500000000000001E-2</v>
      </c>
    </row>
    <row r="61" spans="1:6">
      <c r="A61" s="20">
        <v>41334</v>
      </c>
      <c r="B61" s="11">
        <v>3.1600000000000003E-2</v>
      </c>
      <c r="C61" s="11">
        <v>2.7799999999999998E-2</v>
      </c>
      <c r="D61" s="11">
        <v>1.9599999999999999E-2</v>
      </c>
      <c r="E61" s="11">
        <v>3.9300000000000002E-2</v>
      </c>
      <c r="F61" s="11">
        <v>4.8500000000000001E-2</v>
      </c>
    </row>
    <row r="62" spans="1:6">
      <c r="A62" s="20">
        <v>41365</v>
      </c>
      <c r="B62" s="11">
        <v>2.93E-2</v>
      </c>
      <c r="C62" s="11">
        <v>2.5499999999999998E-2</v>
      </c>
      <c r="D62" s="11">
        <v>1.7600000000000001E-2</v>
      </c>
      <c r="E62" s="11">
        <v>3.73E-2</v>
      </c>
      <c r="F62" s="11">
        <v>4.5900000000000003E-2</v>
      </c>
    </row>
    <row r="63" spans="1:6">
      <c r="A63" s="20">
        <v>41395</v>
      </c>
      <c r="B63" s="11">
        <v>3.1099999999999999E-2</v>
      </c>
      <c r="C63" s="11">
        <v>2.7300000000000001E-2</v>
      </c>
      <c r="D63" s="11">
        <v>1.9300000000000001E-2</v>
      </c>
      <c r="E63" s="11">
        <v>3.8899999999999997E-2</v>
      </c>
      <c r="F63" s="11">
        <v>4.7300000000000002E-2</v>
      </c>
    </row>
    <row r="64" spans="1:6">
      <c r="A64" s="20">
        <v>41426</v>
      </c>
      <c r="B64" s="11">
        <v>3.4000000000000002E-2</v>
      </c>
      <c r="C64" s="11">
        <v>3.0700000000000002E-2</v>
      </c>
      <c r="D64" s="11">
        <v>2.3E-2</v>
      </c>
      <c r="E64" s="11">
        <v>4.2700000000000002E-2</v>
      </c>
      <c r="F64" s="11">
        <v>5.1900000000000002E-2</v>
      </c>
    </row>
    <row r="65" spans="1:6" s="29" customFormat="1">
      <c r="A65" s="20">
        <v>41456</v>
      </c>
      <c r="B65" s="11">
        <v>3.61E-2</v>
      </c>
      <c r="C65" s="11">
        <v>3.3099999999999997E-2</v>
      </c>
      <c r="D65" s="11">
        <v>2.58E-2</v>
      </c>
      <c r="E65" s="11">
        <v>4.3400000000000001E-2</v>
      </c>
      <c r="F65" s="11">
        <v>5.3199999999999997E-2</v>
      </c>
    </row>
    <row r="66" spans="1:6" s="32" customFormat="1">
      <c r="A66" s="20">
        <v>41487</v>
      </c>
      <c r="B66" s="11">
        <v>3.7600000000000001E-2</v>
      </c>
      <c r="C66" s="11">
        <v>3.49E-2</v>
      </c>
      <c r="D66" s="11">
        <v>2.7400000000000001E-2</v>
      </c>
      <c r="E66" s="11">
        <v>4.5400000000000003E-2</v>
      </c>
      <c r="F66" s="11">
        <v>5.4199999999999998E-2</v>
      </c>
    </row>
    <row r="67" spans="1:6" s="32" customFormat="1">
      <c r="A67" s="20">
        <v>41518</v>
      </c>
      <c r="B67" s="11">
        <v>3.7900000000000003E-2</v>
      </c>
      <c r="C67" s="11">
        <v>3.5000000000000003E-2</v>
      </c>
      <c r="D67" s="11">
        <v>2.81E-2</v>
      </c>
      <c r="E67" s="11">
        <v>4.6399999999999997E-2</v>
      </c>
      <c r="F67" s="11">
        <v>5.4699999999999999E-2</v>
      </c>
    </row>
    <row r="68" spans="1:6">
      <c r="A68" s="21" t="s">
        <v>171</v>
      </c>
      <c r="B68" s="22">
        <f>AVERAGE(B11:B67)</f>
        <v>3.7163157894736835E-2</v>
      </c>
      <c r="C68" s="22">
        <f>AVERAGE(C11:C67)</f>
        <v>3.482807017543859E-2</v>
      </c>
      <c r="D68" s="22">
        <f>AVERAGE(D11:D67)</f>
        <v>2.6785964912280712E-2</v>
      </c>
      <c r="E68" s="22">
        <f>AVERAGE(E11:E67)</f>
        <v>4.5591228070175439E-2</v>
      </c>
      <c r="F68" s="22">
        <f>AVERAGE(F11:F67)</f>
        <v>5.8307017543859641E-2</v>
      </c>
    </row>
    <row r="69" spans="1:6" ht="21">
      <c r="A69" s="21" t="s">
        <v>172</v>
      </c>
      <c r="B69" s="55">
        <f>AVERAGE(B65:B67)</f>
        <v>3.7200000000000004E-2</v>
      </c>
      <c r="C69" s="55">
        <f t="shared" ref="C69:F69" si="0">AVERAGE(C65:C67)</f>
        <v>3.4333333333333334E-2</v>
      </c>
      <c r="D69" s="55">
        <f t="shared" si="0"/>
        <v>2.7099999999999999E-2</v>
      </c>
      <c r="E69" s="55">
        <f t="shared" si="0"/>
        <v>4.5066666666666665E-2</v>
      </c>
      <c r="F69" s="55">
        <f t="shared" si="0"/>
        <v>5.4033333333333329E-2</v>
      </c>
    </row>
    <row r="70" spans="1:6">
      <c r="A70" s="21" t="s">
        <v>173</v>
      </c>
      <c r="B70" s="22">
        <f>MIN(B11:B64)</f>
        <v>2.5899999999999999E-2</v>
      </c>
      <c r="C70" s="22">
        <f>MIN(C11:C64)</f>
        <v>2.2200000000000001E-2</v>
      </c>
      <c r="D70" s="22">
        <f>MIN(D11:D64)</f>
        <v>1.5299999999999999E-2</v>
      </c>
      <c r="E70" s="22">
        <f>MIN(E11:E64)</f>
        <v>3.4000000000000002E-2</v>
      </c>
      <c r="F70" s="22">
        <f>MIN(F11:F64)</f>
        <v>4.5100000000000001E-2</v>
      </c>
    </row>
    <row r="71" spans="1:6">
      <c r="A71" s="21" t="s">
        <v>174</v>
      </c>
      <c r="B71" s="22">
        <f>MAX(B11:B64)</f>
        <v>4.6899999999999997E-2</v>
      </c>
      <c r="C71" s="22">
        <f>MAX(C11:C64)</f>
        <v>4.53E-2</v>
      </c>
      <c r="D71" s="22">
        <f>MAX(D11:D64)</f>
        <v>3.85E-2</v>
      </c>
      <c r="E71" s="22">
        <f>MAX(E11:E64)</f>
        <v>5.6099999999999997E-2</v>
      </c>
      <c r="F71" s="22">
        <f>MAX(F11:F64)</f>
        <v>8.4199999999999997E-2</v>
      </c>
    </row>
    <row r="72" spans="1:6">
      <c r="A72" s="21"/>
      <c r="B72" s="22"/>
      <c r="C72" s="22"/>
      <c r="D72" s="22"/>
      <c r="E72" s="22"/>
      <c r="F72" s="22"/>
    </row>
    <row r="73" spans="1:6">
      <c r="A73" s="33"/>
      <c r="B73" s="34" t="s">
        <v>218</v>
      </c>
      <c r="C73" s="33"/>
      <c r="D73" s="33"/>
      <c r="E73" s="33"/>
    </row>
    <row r="74" spans="1:6">
      <c r="A74" s="20"/>
      <c r="B74" s="34" t="s">
        <v>289</v>
      </c>
      <c r="C74" s="33"/>
      <c r="D74" s="33"/>
      <c r="E74" s="33"/>
      <c r="F74" s="33"/>
    </row>
    <row r="75" spans="1:6">
      <c r="B75" s="35"/>
      <c r="C75" s="36"/>
      <c r="D75" s="36"/>
      <c r="E75" s="36"/>
    </row>
  </sheetData>
  <mergeCells count="3">
    <mergeCell ref="B3:F3"/>
    <mergeCell ref="B4:F4"/>
    <mergeCell ref="B5:F5"/>
  </mergeCells>
  <phoneticPr fontId="5" type="noConversion"/>
  <pageMargins left="0.75" right="0.75" top="1" bottom="1" header="0.5" footer="0.5"/>
  <pageSetup scale="56" orientation="portrait" horizontalDpi="4294967292" verticalDpi="4294967292"/>
  <headerFooter>
    <oddHeader>&amp;R&amp;"Calibri,Regular"&amp;K000000Exhibit  OCS 2.3_x000D_Page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G12" sqref="G12"/>
    </sheetView>
  </sheetViews>
  <sheetFormatPr defaultColWidth="11" defaultRowHeight="15.75"/>
  <sheetData/>
  <phoneticPr fontId="5" type="noConversion"/>
  <pageMargins left="0.75" right="0.75" top="1" bottom="1" header="0.5" footer="0.5"/>
  <pageSetup scale="75" orientation="landscape" horizontalDpi="4294967292" verticalDpi="4294967292"/>
  <headerFooter>
    <oddHeader>&amp;R&amp;"Calibri,Regular"&amp;K000000Exhibit___x000D_Schedule  (DJL-4)_x000D_Page 1 of 2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I29" sqref="I29"/>
    </sheetView>
  </sheetViews>
  <sheetFormatPr defaultColWidth="11" defaultRowHeight="15.75"/>
  <sheetData/>
  <phoneticPr fontId="5" type="noConversion"/>
  <pageMargins left="0.75" right="0.75" top="1" bottom="1" header="0.5" footer="0.5"/>
  <pageSetup scale="69" orientation="landscape" horizontalDpi="4294967292" verticalDpi="4294967292"/>
  <headerFooter>
    <oddHeader>&amp;R&amp;"Calibri,Regular"&amp;K000000Exhibit___x000D_Schedule (DJL-4)_x000D_Page 2of 2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14</vt:i4>
      </vt:variant>
    </vt:vector>
  </HeadingPairs>
  <TitlesOfParts>
    <vt:vector size="54" baseType="lpstr">
      <vt:lpstr>A1</vt:lpstr>
      <vt:lpstr>A2</vt:lpstr>
      <vt:lpstr>A3</vt:lpstr>
      <vt:lpstr>A4</vt:lpstr>
      <vt:lpstr>GAS GROUP INPUT P1</vt:lpstr>
      <vt:lpstr>GAS GROUP INPUT P2</vt:lpstr>
      <vt:lpstr>OCS 2.3</vt:lpstr>
      <vt:lpstr>A5</vt:lpstr>
      <vt:lpstr>A6</vt:lpstr>
      <vt:lpstr>OCS-2.4</vt:lpstr>
      <vt:lpstr>A7</vt:lpstr>
      <vt:lpstr>A8</vt:lpstr>
      <vt:lpstr>OCS-2.5</vt:lpstr>
      <vt:lpstr>A9</vt:lpstr>
      <vt:lpstr>A10</vt:lpstr>
      <vt:lpstr>OCS-2.6</vt:lpstr>
      <vt:lpstr>A11</vt:lpstr>
      <vt:lpstr>A12</vt:lpstr>
      <vt:lpstr>OCS-2.7</vt:lpstr>
      <vt:lpstr>OCS-2.8</vt:lpstr>
      <vt:lpstr>A13</vt:lpstr>
      <vt:lpstr>A14</vt:lpstr>
      <vt:lpstr>OCS-2.9</vt:lpstr>
      <vt:lpstr>A15</vt:lpstr>
      <vt:lpstr>A16</vt:lpstr>
      <vt:lpstr>OCS-2.10</vt:lpstr>
      <vt:lpstr>A17</vt:lpstr>
      <vt:lpstr>A18</vt:lpstr>
      <vt:lpstr>A19</vt:lpstr>
      <vt:lpstr>A20</vt:lpstr>
      <vt:lpstr>OCS-2.6 P.2</vt:lpstr>
      <vt:lpstr>A21</vt:lpstr>
      <vt:lpstr>A22</vt:lpstr>
      <vt:lpstr>OCS-2.11</vt:lpstr>
      <vt:lpstr>OCS 2.12</vt:lpstr>
      <vt:lpstr>A24</vt:lpstr>
      <vt:lpstr>A25</vt:lpstr>
      <vt:lpstr>A26</vt:lpstr>
      <vt:lpstr>A27</vt:lpstr>
      <vt:lpstr>A28</vt:lpstr>
      <vt:lpstr>'A20'!Print_Area</vt:lpstr>
      <vt:lpstr>'GAS GROUP INPUT P1'!Print_Area</vt:lpstr>
      <vt:lpstr>'GAS GROUP INPUT P2'!Print_Area</vt:lpstr>
      <vt:lpstr>'OCS 2.12'!Print_Area</vt:lpstr>
      <vt:lpstr>'OCS 2.3'!Print_Area</vt:lpstr>
      <vt:lpstr>'OCS-2.10'!Print_Area</vt:lpstr>
      <vt:lpstr>'OCS-2.11'!Print_Area</vt:lpstr>
      <vt:lpstr>'OCS-2.4'!Print_Area</vt:lpstr>
      <vt:lpstr>'OCS-2.5'!Print_Area</vt:lpstr>
      <vt:lpstr>'OCS-2.6'!Print_Area</vt:lpstr>
      <vt:lpstr>'OCS-2.6 P.2'!Print_Area</vt:lpstr>
      <vt:lpstr>'OCS-2.7'!Print_Area</vt:lpstr>
      <vt:lpstr>'OCS-2.8'!Print_Area</vt:lpstr>
      <vt:lpstr>'OCS-2.9'!Print_Area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laurieharris</cp:lastModifiedBy>
  <cp:lastPrinted>2013-10-20T15:41:33Z</cp:lastPrinted>
  <dcterms:created xsi:type="dcterms:W3CDTF">2013-07-03T13:34:13Z</dcterms:created>
  <dcterms:modified xsi:type="dcterms:W3CDTF">2013-10-31T20:17:59Z</dcterms:modified>
</cp:coreProperties>
</file>