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20" yWindow="1470" windowWidth="7680" windowHeight="9120" tabRatio="915" firstSheet="1" activeTab="11"/>
  </bookViews>
  <sheets>
    <sheet name="1.2 Adjustments" sheetId="58" r:id="rId1"/>
    <sheet name="1.3 Summary" sheetId="15" r:id="rId2"/>
    <sheet name="1.4a Allowed ROE" sheetId="60" r:id="rId3"/>
    <sheet name="1.4b Allowed ROE" sheetId="59" r:id="rId4"/>
    <sheet name="1.5 Debt &amp; Equity" sheetId="41" r:id="rId5"/>
    <sheet name="1.6 Comps" sheetId="14" r:id="rId6"/>
    <sheet name="1.7 Growth &amp; Beta" sheetId="44" r:id="rId7"/>
    <sheet name="1.8 DCF SS" sheetId="18" r:id="rId8"/>
    <sheet name="1.9 DCF 2S" sheetId="6" r:id="rId9"/>
    <sheet name="1.10 CAPM" sheetId="2" r:id="rId10"/>
    <sheet name="1.11 ROE Compare" sheetId="54" r:id="rId11"/>
    <sheet name="WACC" sheetId="40" r:id="rId12"/>
    <sheet name="Beta Report" sheetId="43" r:id="rId13"/>
    <sheet name="Comp Detail" sheetId="55" r:id="rId14"/>
    <sheet name="DCF 2S B" sheetId="30" r:id="rId15"/>
    <sheet name="Value Line" sheetId="57" r:id="rId16"/>
    <sheet name="Dividends" sheetId="52" r:id="rId17"/>
  </sheets>
  <externalReferences>
    <externalReference r:id="rId18"/>
  </externalReferences>
  <definedNames>
    <definedName name="_xlnm.Print_Area" localSheetId="9">'1.10 CAPM'!$A$1:$X$114</definedName>
    <definedName name="_xlnm.Print_Area" localSheetId="0">'1.2 Adjustments'!$A$1:$D$32</definedName>
    <definedName name="_xlnm.Print_Area" localSheetId="1">'1.3 Summary'!$K$1:$X$60</definedName>
    <definedName name="_xlnm.Print_Area" localSheetId="3">'1.4b Allowed ROE'!$J$5:$R$53</definedName>
    <definedName name="_xlnm.Print_Area" localSheetId="4">'1.5 Debt &amp; Equity'!$A$1:$I$75</definedName>
    <definedName name="_xlnm.Print_Area" localSheetId="5">'1.6 Comps'!$B$1:$S$55</definedName>
    <definedName name="_xlnm.Print_Area" localSheetId="6">'1.7 Growth &amp; Beta'!$A$1:$I$39</definedName>
    <definedName name="_xlnm.Print_Area" localSheetId="7">'1.8 DCF SS'!$A$35:$U$66</definedName>
    <definedName name="_xlnm.Print_Area" localSheetId="8">'1.9 DCF 2S'!$A$1:$P$70</definedName>
    <definedName name="_xlnm.Print_Area" localSheetId="12">'Beta Report'!$A$1:$J$24</definedName>
    <definedName name="_xlnm.Print_Area" localSheetId="13">'Comp Detail'!$A$1:$BQ$32</definedName>
    <definedName name="_xlnm.Print_Area" localSheetId="14">'DCF 2S B'!$A$1:$Q$167</definedName>
    <definedName name="_xlnm.Print_Area" localSheetId="11">WACC!$A$1:$F$20</definedName>
    <definedName name="_xlnm.Print_Titles" localSheetId="13">'Comp Detail'!$A:$A</definedName>
    <definedName name="_xlnm.Print_Titles" localSheetId="14">'DCF 2S B'!$3:$5</definedName>
  </definedNames>
  <calcPr calcId="125725"/>
</workbook>
</file>

<file path=xl/calcChain.xml><?xml version="1.0" encoding="utf-8"?>
<calcChain xmlns="http://schemas.openxmlformats.org/spreadsheetml/2006/main">
  <c r="A21" i="58"/>
  <c r="C21"/>
  <c r="C20"/>
  <c r="U111" i="2"/>
  <c r="T111"/>
  <c r="U110"/>
  <c r="T110"/>
  <c r="R111"/>
  <c r="R110"/>
  <c r="Q110"/>
  <c r="Q111"/>
  <c r="P111"/>
  <c r="O111"/>
  <c r="O110"/>
  <c r="I111"/>
  <c r="I110"/>
  <c r="H111"/>
  <c r="H110"/>
  <c r="F111"/>
  <c r="F110"/>
  <c r="E111"/>
  <c r="E110"/>
  <c r="D111"/>
  <c r="C111"/>
  <c r="C110"/>
  <c r="W32"/>
  <c r="V32"/>
  <c r="W31"/>
  <c r="V31"/>
  <c r="T32"/>
  <c r="S32"/>
  <c r="R32"/>
  <c r="Q32"/>
  <c r="P32"/>
  <c r="T31"/>
  <c r="S31"/>
  <c r="R31"/>
  <c r="Q31"/>
  <c r="P31"/>
  <c r="O32"/>
  <c r="O31"/>
  <c r="D31"/>
  <c r="H32"/>
  <c r="H31"/>
  <c r="G32"/>
  <c r="G31"/>
  <c r="F32"/>
  <c r="F31"/>
  <c r="E32"/>
  <c r="E31"/>
  <c r="D32"/>
  <c r="C32"/>
  <c r="W55" i="15" l="1"/>
  <c r="W56"/>
  <c r="D24" i="58"/>
  <c r="O66" i="60"/>
  <c r="T46" i="59"/>
  <c r="T45"/>
  <c r="T44"/>
  <c r="T42"/>
  <c r="T41"/>
  <c r="T40"/>
  <c r="T38"/>
  <c r="T37"/>
  <c r="T36"/>
  <c r="M48"/>
  <c r="M47"/>
  <c r="M46"/>
  <c r="M44"/>
  <c r="M42"/>
  <c r="L48"/>
  <c r="L46"/>
  <c r="L44"/>
  <c r="L43"/>
  <c r="L47" s="1"/>
  <c r="L42"/>
  <c r="M40"/>
  <c r="M38"/>
  <c r="M39"/>
  <c r="M43"/>
  <c r="D23" i="58"/>
  <c r="C23"/>
  <c r="D22"/>
  <c r="D20"/>
  <c r="A22"/>
  <c r="A23" s="1"/>
  <c r="D21"/>
  <c r="A20"/>
  <c r="D19"/>
  <c r="D16"/>
  <c r="C16"/>
  <c r="A16"/>
  <c r="D15"/>
  <c r="D12"/>
  <c r="D28" l="1"/>
  <c r="D30" s="1"/>
  <c r="D33" s="1"/>
  <c r="L28" i="15" l="1"/>
  <c r="L27"/>
  <c r="E70" i="6"/>
  <c r="E69"/>
  <c r="B68"/>
  <c r="E22"/>
  <c r="R27" i="15" s="1"/>
  <c r="E21" i="6"/>
  <c r="T27" i="15" s="1"/>
  <c r="E20" i="6"/>
  <c r="E19"/>
  <c r="E18"/>
  <c r="E17"/>
  <c r="E16"/>
  <c r="C120" i="30"/>
  <c r="U66" i="15"/>
  <c r="O50" i="2"/>
  <c r="O90" s="1"/>
  <c r="O49"/>
  <c r="O89" s="1"/>
  <c r="T98" l="1"/>
  <c r="S98"/>
  <c r="T97"/>
  <c r="T102" s="1"/>
  <c r="S97"/>
  <c r="S96"/>
  <c r="S95"/>
  <c r="S94"/>
  <c r="S93"/>
  <c r="Q93"/>
  <c r="Q94" s="1"/>
  <c r="Q95" s="1"/>
  <c r="Q96" s="1"/>
  <c r="Q97" s="1"/>
  <c r="Q98" s="1"/>
  <c r="Q100" s="1"/>
  <c r="Q102" s="1"/>
  <c r="S92"/>
  <c r="Q77"/>
  <c r="N77"/>
  <c r="Q76"/>
  <c r="N76"/>
  <c r="N113" s="1"/>
  <c r="Q75"/>
  <c r="N75"/>
  <c r="Q74"/>
  <c r="N74"/>
  <c r="Q73"/>
  <c r="N73"/>
  <c r="Q72"/>
  <c r="N72"/>
  <c r="W70"/>
  <c r="V70"/>
  <c r="N70"/>
  <c r="W69"/>
  <c r="V58"/>
  <c r="U58"/>
  <c r="V57"/>
  <c r="U57"/>
  <c r="V56"/>
  <c r="U56"/>
  <c r="V55"/>
  <c r="U55"/>
  <c r="V54"/>
  <c r="U54"/>
  <c r="V53"/>
  <c r="U53"/>
  <c r="V52"/>
  <c r="U52"/>
  <c r="S52"/>
  <c r="S53" s="1"/>
  <c r="Q52"/>
  <c r="Q53" s="1"/>
  <c r="Q54" s="1"/>
  <c r="Q55" s="1"/>
  <c r="Q56" s="1"/>
  <c r="Q57" s="1"/>
  <c r="Q58" s="1"/>
  <c r="Q60" s="1"/>
  <c r="R48"/>
  <c r="N47"/>
  <c r="V21"/>
  <c r="V34" s="1"/>
  <c r="V35" s="1"/>
  <c r="V36" s="1"/>
  <c r="V37" s="1"/>
  <c r="S14"/>
  <c r="S15" s="1"/>
  <c r="Q14"/>
  <c r="Q15" s="1"/>
  <c r="Q16" s="1"/>
  <c r="Q17" s="1"/>
  <c r="Q18" s="1"/>
  <c r="Q19" s="1"/>
  <c r="Q21" s="1"/>
  <c r="Q20" i="54"/>
  <c r="Q9"/>
  <c r="S16" i="2" l="1"/>
  <c r="V39"/>
  <c r="V38"/>
  <c r="S73"/>
  <c r="S54"/>
  <c r="V60"/>
  <c r="V72" s="1"/>
  <c r="V73" s="1"/>
  <c r="V74" s="1"/>
  <c r="V75" s="1"/>
  <c r="V76" s="1"/>
  <c r="V77" s="1"/>
  <c r="S72"/>
  <c r="T100"/>
  <c r="T112" s="1"/>
  <c r="T113" s="1"/>
  <c r="T114" s="1"/>
  <c r="S55" l="1"/>
  <c r="S74"/>
  <c r="S17"/>
  <c r="S18" l="1"/>
  <c r="S75"/>
  <c r="S56"/>
  <c r="O30" i="14"/>
  <c r="N30"/>
  <c r="O28"/>
  <c r="N28"/>
  <c r="S57" i="2" l="1"/>
  <c r="S76"/>
  <c r="S19"/>
  <c r="F75" i="41"/>
  <c r="F74"/>
  <c r="C75"/>
  <c r="C74"/>
  <c r="F54"/>
  <c r="F53"/>
  <c r="F52"/>
  <c r="L5"/>
  <c r="I47" i="6"/>
  <c r="H47"/>
  <c r="F63"/>
  <c r="E57"/>
  <c r="E56"/>
  <c r="E55"/>
  <c r="R28" i="15" s="1"/>
  <c r="E54" i="6"/>
  <c r="E53"/>
  <c r="E52"/>
  <c r="E51"/>
  <c r="T28" i="15" s="1"/>
  <c r="C11" i="30"/>
  <c r="F78"/>
  <c r="B14" i="6"/>
  <c r="C75" i="30"/>
  <c r="C128" s="1"/>
  <c r="B22" i="6" s="1"/>
  <c r="C74" i="30"/>
  <c r="C73"/>
  <c r="C72"/>
  <c r="C71"/>
  <c r="C70"/>
  <c r="H28" i="52"/>
  <c r="I28" s="1"/>
  <c r="J28" s="1"/>
  <c r="I27"/>
  <c r="J27" s="1"/>
  <c r="H27"/>
  <c r="H26"/>
  <c r="I26" s="1"/>
  <c r="J26" s="1"/>
  <c r="I25"/>
  <c r="J25" s="1"/>
  <c r="H25"/>
  <c r="H24"/>
  <c r="I24" s="1"/>
  <c r="J24" s="1"/>
  <c r="H23"/>
  <c r="I23" s="1"/>
  <c r="J23" s="1"/>
  <c r="H22"/>
  <c r="I22" s="1"/>
  <c r="J22" s="1"/>
  <c r="X55" i="15"/>
  <c r="V55"/>
  <c r="F48" i="2"/>
  <c r="C121"/>
  <c r="H121" s="1"/>
  <c r="D121"/>
  <c r="AC121"/>
  <c r="C122"/>
  <c r="G122" s="1"/>
  <c r="D122"/>
  <c r="F122"/>
  <c r="AC122"/>
  <c r="C123"/>
  <c r="G123" s="1"/>
  <c r="D123"/>
  <c r="F123"/>
  <c r="AC123"/>
  <c r="C124"/>
  <c r="G124" s="1"/>
  <c r="D124"/>
  <c r="AC124" s="1"/>
  <c r="C125"/>
  <c r="G125" s="1"/>
  <c r="C126"/>
  <c r="G126" s="1"/>
  <c r="C127"/>
  <c r="G127" s="1"/>
  <c r="F139"/>
  <c r="E140"/>
  <c r="F140"/>
  <c r="D142"/>
  <c r="F142"/>
  <c r="D143"/>
  <c r="E143"/>
  <c r="D144"/>
  <c r="D145" s="1"/>
  <c r="E77"/>
  <c r="B77"/>
  <c r="E76"/>
  <c r="B76"/>
  <c r="B113" s="1"/>
  <c r="E75"/>
  <c r="B75"/>
  <c r="E74"/>
  <c r="B74"/>
  <c r="E73"/>
  <c r="B73"/>
  <c r="E72"/>
  <c r="B72"/>
  <c r="B70"/>
  <c r="O33" i="15"/>
  <c r="D52" i="2"/>
  <c r="P52" s="1"/>
  <c r="E52"/>
  <c r="H98"/>
  <c r="H97"/>
  <c r="G98"/>
  <c r="G97"/>
  <c r="G96"/>
  <c r="G95"/>
  <c r="G94"/>
  <c r="G93"/>
  <c r="D13"/>
  <c r="P13" s="1"/>
  <c r="E60" i="6" l="1"/>
  <c r="H123" i="2"/>
  <c r="G121"/>
  <c r="E61" i="6"/>
  <c r="C130" i="2"/>
  <c r="P34"/>
  <c r="P35" s="1"/>
  <c r="P36" s="1"/>
  <c r="P37" s="1"/>
  <c r="P14"/>
  <c r="P15" s="1"/>
  <c r="P16" s="1"/>
  <c r="P17" s="1"/>
  <c r="P18" s="1"/>
  <c r="P72"/>
  <c r="P53"/>
  <c r="C131"/>
  <c r="C129"/>
  <c r="F143"/>
  <c r="D125"/>
  <c r="F124"/>
  <c r="H122"/>
  <c r="C39" i="30"/>
  <c r="B52" i="6" s="1"/>
  <c r="C123" i="30"/>
  <c r="B17" i="6" s="1"/>
  <c r="C41" i="30"/>
  <c r="B54" i="6" s="1"/>
  <c r="C125" i="30"/>
  <c r="B19" i="6" s="1"/>
  <c r="C43" i="30"/>
  <c r="B56" i="6" s="1"/>
  <c r="C127" i="30"/>
  <c r="B21" i="6" s="1"/>
  <c r="C40" i="30"/>
  <c r="B53" i="6" s="1"/>
  <c r="C124" i="30"/>
  <c r="B18" i="6" s="1"/>
  <c r="C42" i="30"/>
  <c r="B55" i="6" s="1"/>
  <c r="C126" i="30"/>
  <c r="B20" i="6" s="1"/>
  <c r="C44" i="30"/>
  <c r="B57" i="6" s="1"/>
  <c r="G130" i="2"/>
  <c r="S21"/>
  <c r="S34" s="1"/>
  <c r="P98"/>
  <c r="S77"/>
  <c r="S58"/>
  <c r="S60" s="1"/>
  <c r="AD125"/>
  <c r="AD124"/>
  <c r="AD123"/>
  <c r="AD122"/>
  <c r="H129"/>
  <c r="H133" s="1"/>
  <c r="H130"/>
  <c r="H131"/>
  <c r="AD121"/>
  <c r="D146"/>
  <c r="E144"/>
  <c r="A5" i="54"/>
  <c r="F43" i="41"/>
  <c r="F68"/>
  <c r="Y68"/>
  <c r="Y53"/>
  <c r="Z53"/>
  <c r="Y34"/>
  <c r="Y54" s="1"/>
  <c r="S20" i="57"/>
  <c r="G28" i="52"/>
  <c r="F28"/>
  <c r="E28"/>
  <c r="D28"/>
  <c r="B5" i="30"/>
  <c r="A6" i="6"/>
  <c r="G43" i="41"/>
  <c r="Z59" i="15"/>
  <c r="B47" i="2"/>
  <c r="BK21" i="55"/>
  <c r="BH29"/>
  <c r="O34" i="15"/>
  <c r="H100" i="2"/>
  <c r="H112" s="1"/>
  <c r="H113" s="1"/>
  <c r="H114" s="1"/>
  <c r="H102"/>
  <c r="D10"/>
  <c r="D49"/>
  <c r="P49" s="1"/>
  <c r="D89"/>
  <c r="P89" s="1"/>
  <c r="D92"/>
  <c r="P92" s="1"/>
  <c r="P93" s="1"/>
  <c r="P94" s="1"/>
  <c r="P95" s="1"/>
  <c r="P96" s="1"/>
  <c r="P97" s="1"/>
  <c r="G92"/>
  <c r="J58"/>
  <c r="I58"/>
  <c r="J57"/>
  <c r="I57"/>
  <c r="J56"/>
  <c r="I56"/>
  <c r="J55"/>
  <c r="I55"/>
  <c r="J54"/>
  <c r="I54"/>
  <c r="J53"/>
  <c r="I53"/>
  <c r="J52"/>
  <c r="I52"/>
  <c r="G129" l="1"/>
  <c r="G133" s="1"/>
  <c r="G131"/>
  <c r="P39"/>
  <c r="P38"/>
  <c r="D139"/>
  <c r="P10"/>
  <c r="P73"/>
  <c r="P54"/>
  <c r="AC125"/>
  <c r="D126"/>
  <c r="H124"/>
  <c r="F125"/>
  <c r="P19"/>
  <c r="P100"/>
  <c r="S35"/>
  <c r="F144"/>
  <c r="E145"/>
  <c r="D147"/>
  <c r="X45" i="15"/>
  <c r="X56" s="1"/>
  <c r="V45"/>
  <c r="V56" s="1"/>
  <c r="X8"/>
  <c r="V8"/>
  <c r="W8"/>
  <c r="BI36" i="55"/>
  <c r="BI38" s="1"/>
  <c r="BH39"/>
  <c r="BH38"/>
  <c r="BH36"/>
  <c r="G52" i="2"/>
  <c r="G72" s="1"/>
  <c r="P55" l="1"/>
  <c r="P74"/>
  <c r="F126"/>
  <c r="H125"/>
  <c r="AC126"/>
  <c r="D127"/>
  <c r="AD126"/>
  <c r="S36"/>
  <c r="P21"/>
  <c r="P112"/>
  <c r="P102"/>
  <c r="D148"/>
  <c r="E146"/>
  <c r="F145"/>
  <c r="BI39" i="55"/>
  <c r="P75" i="2" l="1"/>
  <c r="P56"/>
  <c r="AC127"/>
  <c r="AD127"/>
  <c r="AD130" s="1"/>
  <c r="H126"/>
  <c r="F127"/>
  <c r="H127" s="1"/>
  <c r="S37"/>
  <c r="P113"/>
  <c r="E147"/>
  <c r="F146"/>
  <c r="D149"/>
  <c r="W28" i="14"/>
  <c r="O27"/>
  <c r="Z27"/>
  <c r="N27"/>
  <c r="R27"/>
  <c r="R25"/>
  <c r="N25"/>
  <c r="P57" i="2" l="1"/>
  <c r="P76"/>
  <c r="AD129"/>
  <c r="AD134" s="1"/>
  <c r="AD131"/>
  <c r="P114"/>
  <c r="S39"/>
  <c r="S38"/>
  <c r="D150"/>
  <c r="E148"/>
  <c r="F147"/>
  <c r="BK31" i="55"/>
  <c r="T20" i="54"/>
  <c r="O35" i="14"/>
  <c r="N35"/>
  <c r="O32"/>
  <c r="N32"/>
  <c r="O38"/>
  <c r="N38"/>
  <c r="BK22" i="55"/>
  <c r="AK38" i="14"/>
  <c r="AG38"/>
  <c r="AF38"/>
  <c r="AD38"/>
  <c r="AA38"/>
  <c r="Z38"/>
  <c r="Y38"/>
  <c r="X38"/>
  <c r="W38"/>
  <c r="V38"/>
  <c r="J38"/>
  <c r="J11" i="52"/>
  <c r="I11"/>
  <c r="H11"/>
  <c r="J10"/>
  <c r="I10"/>
  <c r="H10"/>
  <c r="J9"/>
  <c r="H9"/>
  <c r="J8"/>
  <c r="I8"/>
  <c r="H8"/>
  <c r="J7"/>
  <c r="I7"/>
  <c r="H7"/>
  <c r="J6"/>
  <c r="I6"/>
  <c r="H6"/>
  <c r="J5"/>
  <c r="C22" s="1"/>
  <c r="C16" i="18" s="1"/>
  <c r="I5" i="52"/>
  <c r="H5"/>
  <c r="L11"/>
  <c r="L10"/>
  <c r="L9"/>
  <c r="L8"/>
  <c r="L7"/>
  <c r="L6"/>
  <c r="L5"/>
  <c r="J18" i="14"/>
  <c r="J17"/>
  <c r="J16"/>
  <c r="J15"/>
  <c r="J14"/>
  <c r="J13"/>
  <c r="J12"/>
  <c r="B35" i="44"/>
  <c r="B34"/>
  <c r="B33"/>
  <c r="B32"/>
  <c r="B31"/>
  <c r="B30"/>
  <c r="B29"/>
  <c r="AD135" i="2" l="1"/>
  <c r="D133"/>
  <c r="P77"/>
  <c r="P58"/>
  <c r="P60" s="1"/>
  <c r="E149"/>
  <c r="F148"/>
  <c r="T26" i="57"/>
  <c r="T25"/>
  <c r="T24"/>
  <c r="T23"/>
  <c r="T22"/>
  <c r="T21"/>
  <c r="T20"/>
  <c r="J29"/>
  <c r="J28"/>
  <c r="C13" i="40"/>
  <c r="E150" i="2" l="1"/>
  <c r="F150" s="1"/>
  <c r="F149"/>
  <c r="BK29" i="55"/>
  <c r="AL29"/>
  <c r="W31"/>
  <c r="AF29"/>
  <c r="AE29"/>
  <c r="AD29"/>
  <c r="AD31" s="1"/>
  <c r="AC29"/>
  <c r="AC31" s="1"/>
  <c r="AB29"/>
  <c r="AB31" s="1"/>
  <c r="AA29"/>
  <c r="Z29"/>
  <c r="X29"/>
  <c r="X31" s="1"/>
  <c r="W29"/>
  <c r="V29"/>
  <c r="V31" s="1"/>
  <c r="O4" i="52"/>
  <c r="P4" s="1"/>
  <c r="Q4" s="1"/>
  <c r="R4" s="1"/>
  <c r="S4" s="1"/>
  <c r="T4" s="1"/>
  <c r="N4"/>
  <c r="D21"/>
  <c r="E21" s="1"/>
  <c r="F21" s="1"/>
  <c r="G21" s="1"/>
  <c r="H21" s="1"/>
  <c r="I21" s="1"/>
  <c r="J21" s="1"/>
  <c r="W18" i="14"/>
  <c r="W17"/>
  <c r="W16"/>
  <c r="W15"/>
  <c r="W14"/>
  <c r="W13"/>
  <c r="W12"/>
  <c r="O16"/>
  <c r="N16"/>
  <c r="B18" i="43"/>
  <c r="B17"/>
  <c r="B16"/>
  <c r="B15"/>
  <c r="B14"/>
  <c r="B13"/>
  <c r="B12"/>
  <c r="F18"/>
  <c r="E18"/>
  <c r="F17"/>
  <c r="E17"/>
  <c r="F16"/>
  <c r="E16"/>
  <c r="F15"/>
  <c r="E15"/>
  <c r="F14"/>
  <c r="E14"/>
  <c r="F13"/>
  <c r="E13"/>
  <c r="F12"/>
  <c r="E12"/>
  <c r="G18"/>
  <c r="G17"/>
  <c r="G16"/>
  <c r="G15"/>
  <c r="G14"/>
  <c r="G13"/>
  <c r="G12"/>
  <c r="P20" i="54"/>
  <c r="S8"/>
  <c r="M19" i="55"/>
  <c r="O19"/>
  <c r="Q19"/>
  <c r="O18" i="14" s="1"/>
  <c r="L19" i="55"/>
  <c r="N19"/>
  <c r="P19"/>
  <c r="N18" i="14" s="1"/>
  <c r="Q18" i="55"/>
  <c r="O17" i="14" s="1"/>
  <c r="O18" i="55"/>
  <c r="M18"/>
  <c r="P18"/>
  <c r="N17" i="14" s="1"/>
  <c r="N18" i="55"/>
  <c r="L18"/>
  <c r="M16"/>
  <c r="M29" s="1"/>
  <c r="O16"/>
  <c r="O29" s="1"/>
  <c r="Q16"/>
  <c r="Q29" s="1"/>
  <c r="P16"/>
  <c r="P29" s="1"/>
  <c r="N16"/>
  <c r="N29" s="1"/>
  <c r="L16"/>
  <c r="L29" s="1"/>
  <c r="M15"/>
  <c r="O15"/>
  <c r="Q15"/>
  <c r="O14" i="14" s="1"/>
  <c r="P15" i="55"/>
  <c r="N14" i="14" s="1"/>
  <c r="N15" i="55"/>
  <c r="L15"/>
  <c r="BI24"/>
  <c r="BJ24"/>
  <c r="N14"/>
  <c r="M14"/>
  <c r="L14"/>
  <c r="O14"/>
  <c r="Q14"/>
  <c r="O13" i="14" s="1"/>
  <c r="P14" i="55"/>
  <c r="N13" i="14" s="1"/>
  <c r="Q13" i="55"/>
  <c r="O12" i="14" s="1"/>
  <c r="P13" i="55"/>
  <c r="N12" i="14" s="1"/>
  <c r="M13" i="55"/>
  <c r="O13"/>
  <c r="L13"/>
  <c r="N13"/>
  <c r="AN29"/>
  <c r="AM29"/>
  <c r="AK29"/>
  <c r="AJ29"/>
  <c r="AI22"/>
  <c r="AH22"/>
  <c r="AG22"/>
  <c r="AI21"/>
  <c r="AH21"/>
  <c r="AG21"/>
  <c r="U29"/>
  <c r="T29"/>
  <c r="T31" s="1"/>
  <c r="D19"/>
  <c r="D18"/>
  <c r="D17"/>
  <c r="D16"/>
  <c r="D15"/>
  <c r="D14"/>
  <c r="D13"/>
  <c r="G19"/>
  <c r="F19"/>
  <c r="G18"/>
  <c r="F18"/>
  <c r="G17"/>
  <c r="F17"/>
  <c r="G16"/>
  <c r="F16"/>
  <c r="G15"/>
  <c r="F15"/>
  <c r="G14"/>
  <c r="F14"/>
  <c r="F13"/>
  <c r="G13"/>
  <c r="BH19"/>
  <c r="BG19"/>
  <c r="BF19"/>
  <c r="BI19" s="1"/>
  <c r="BH18"/>
  <c r="BG18"/>
  <c r="BF18"/>
  <c r="BI18" s="1"/>
  <c r="BH17"/>
  <c r="BG17"/>
  <c r="BF17"/>
  <c r="BI17" s="1"/>
  <c r="BH16"/>
  <c r="BH31" s="1"/>
  <c r="BG16"/>
  <c r="BG29" s="1"/>
  <c r="BG31" s="1"/>
  <c r="BF16"/>
  <c r="BF29" s="1"/>
  <c r="BF31" s="1"/>
  <c r="BH15"/>
  <c r="BG15"/>
  <c r="BF15"/>
  <c r="BI15" s="1"/>
  <c r="BH14"/>
  <c r="BG14"/>
  <c r="BF14"/>
  <c r="BI14" s="1"/>
  <c r="BH13"/>
  <c r="BG13"/>
  <c r="BF13"/>
  <c r="BI22" s="1"/>
  <c r="BE19"/>
  <c r="BE18"/>
  <c r="BE17"/>
  <c r="BE16"/>
  <c r="BE29" s="1"/>
  <c r="BE31" s="1"/>
  <c r="BE15"/>
  <c r="BE14"/>
  <c r="BE13"/>
  <c r="BW11"/>
  <c r="BX11" s="1"/>
  <c r="BY11" s="1"/>
  <c r="BZ11" s="1"/>
  <c r="BT11"/>
  <c r="BU11" s="1"/>
  <c r="BV11" s="1"/>
  <c r="O16" i="54"/>
  <c r="N16"/>
  <c r="M16"/>
  <c r="O15"/>
  <c r="T40" i="15" s="1"/>
  <c r="N15" i="54"/>
  <c r="M15"/>
  <c r="O14"/>
  <c r="N14"/>
  <c r="M14"/>
  <c r="O13"/>
  <c r="N13"/>
  <c r="M13"/>
  <c r="O12"/>
  <c r="N12"/>
  <c r="M12"/>
  <c r="O11"/>
  <c r="N11"/>
  <c r="M11"/>
  <c r="O10"/>
  <c r="R40" i="15" s="1"/>
  <c r="N10" i="54"/>
  <c r="M10"/>
  <c r="AX15" i="55"/>
  <c r="AW15"/>
  <c r="AV15"/>
  <c r="AX16"/>
  <c r="AX29" s="1"/>
  <c r="AX31" s="1"/>
  <c r="AW16"/>
  <c r="AW29" s="1"/>
  <c r="AW31" s="1"/>
  <c r="AV16"/>
  <c r="AV29" s="1"/>
  <c r="AV31" s="1"/>
  <c r="AX17"/>
  <c r="AW17"/>
  <c r="AV17"/>
  <c r="AX18"/>
  <c r="AW18"/>
  <c r="AV18"/>
  <c r="BC24"/>
  <c r="BB24"/>
  <c r="BA24"/>
  <c r="AZ24"/>
  <c r="AX19"/>
  <c r="AW19"/>
  <c r="AV19"/>
  <c r="AN22"/>
  <c r="AM22"/>
  <c r="AL22"/>
  <c r="AN21"/>
  <c r="AM21"/>
  <c r="AL21"/>
  <c r="AS19"/>
  <c r="AR19"/>
  <c r="AQ19"/>
  <c r="AS18"/>
  <c r="AR18"/>
  <c r="AQ18"/>
  <c r="AS17"/>
  <c r="AR17"/>
  <c r="AQ17"/>
  <c r="AS16"/>
  <c r="AR16"/>
  <c r="AQ16"/>
  <c r="AS15"/>
  <c r="AR15"/>
  <c r="AQ15"/>
  <c r="Q22"/>
  <c r="P22"/>
  <c r="O22"/>
  <c r="N22"/>
  <c r="M22"/>
  <c r="L22"/>
  <c r="Q21"/>
  <c r="P21"/>
  <c r="O21"/>
  <c r="N21"/>
  <c r="M21"/>
  <c r="L21"/>
  <c r="Y24"/>
  <c r="AD22"/>
  <c r="AC22"/>
  <c r="AB22"/>
  <c r="AD21"/>
  <c r="AC21"/>
  <c r="AB21"/>
  <c r="X22"/>
  <c r="W22"/>
  <c r="V22"/>
  <c r="X21"/>
  <c r="W21"/>
  <c r="V21"/>
  <c r="Y13"/>
  <c r="F153" i="2" l="1"/>
  <c r="F152"/>
  <c r="I12" i="43"/>
  <c r="J13"/>
  <c r="J15"/>
  <c r="C13" i="2"/>
  <c r="F13" s="1"/>
  <c r="T33" i="15" s="1"/>
  <c r="C92" i="2"/>
  <c r="F92" s="1"/>
  <c r="I92" s="1"/>
  <c r="T37" i="15" s="1"/>
  <c r="C15" i="2"/>
  <c r="C94"/>
  <c r="C17"/>
  <c r="C96"/>
  <c r="C19"/>
  <c r="C98"/>
  <c r="P11" i="54"/>
  <c r="P15"/>
  <c r="T41" i="15" s="1"/>
  <c r="C93" i="2"/>
  <c r="C14"/>
  <c r="C95"/>
  <c r="C16"/>
  <c r="C97"/>
  <c r="C18"/>
  <c r="J17" i="43"/>
  <c r="J14"/>
  <c r="J16"/>
  <c r="J18"/>
  <c r="P10" i="54"/>
  <c r="R41" i="15" s="1"/>
  <c r="P12" i="54"/>
  <c r="P14"/>
  <c r="P16"/>
  <c r="AR29" i="55"/>
  <c r="BI16"/>
  <c r="BI29" s="1"/>
  <c r="BI31" s="1"/>
  <c r="BI21"/>
  <c r="O15" i="14"/>
  <c r="BI13" i="55"/>
  <c r="P13" i="54"/>
  <c r="N15" i="14"/>
  <c r="AS29" i="55"/>
  <c r="AQ29"/>
  <c r="O18" i="54"/>
  <c r="S40" i="15" s="1"/>
  <c r="M18" i="54"/>
  <c r="N18"/>
  <c r="AA92" i="2" l="1"/>
  <c r="BI26" i="55"/>
  <c r="P18" i="54"/>
  <c r="BH22" i="55"/>
  <c r="BG22"/>
  <c r="BF22"/>
  <c r="BH21"/>
  <c r="BG21"/>
  <c r="BG26" s="1"/>
  <c r="BF21"/>
  <c r="BF26" s="1"/>
  <c r="K6" i="52"/>
  <c r="AX14" i="55"/>
  <c r="AW14"/>
  <c r="W57" i="41" s="1"/>
  <c r="AV14" i="55"/>
  <c r="X62" i="41"/>
  <c r="W62"/>
  <c r="D62" s="1"/>
  <c r="V62"/>
  <c r="C62" s="1"/>
  <c r="X61"/>
  <c r="E61" s="1"/>
  <c r="W61"/>
  <c r="D61" s="1"/>
  <c r="V61"/>
  <c r="C61" s="1"/>
  <c r="X60"/>
  <c r="E60" s="1"/>
  <c r="W60"/>
  <c r="D60" s="1"/>
  <c r="V60"/>
  <c r="X59"/>
  <c r="E59" s="1"/>
  <c r="W59"/>
  <c r="D59" s="1"/>
  <c r="V59"/>
  <c r="C59" s="1"/>
  <c r="X58"/>
  <c r="E58" s="1"/>
  <c r="W58"/>
  <c r="D58" s="1"/>
  <c r="V58"/>
  <c r="C58" s="1"/>
  <c r="X57"/>
  <c r="E57" s="1"/>
  <c r="V57"/>
  <c r="AQ14" i="55"/>
  <c r="BO14" s="1"/>
  <c r="AS14"/>
  <c r="BQ14" s="1"/>
  <c r="AR14"/>
  <c r="BP14" s="1"/>
  <c r="AS13"/>
  <c r="Z12" i="14" s="1"/>
  <c r="AR13" i="55"/>
  <c r="BP13" s="1"/>
  <c r="V18" i="14"/>
  <c r="V17"/>
  <c r="V16"/>
  <c r="V15"/>
  <c r="V14"/>
  <c r="V13"/>
  <c r="V12"/>
  <c r="J4" i="57"/>
  <c r="F82" i="18"/>
  <c r="F81"/>
  <c r="F80"/>
  <c r="F79"/>
  <c r="F78"/>
  <c r="F77"/>
  <c r="F76"/>
  <c r="B75"/>
  <c r="Z18" i="14"/>
  <c r="Z17"/>
  <c r="Z16"/>
  <c r="Z15"/>
  <c r="Z14"/>
  <c r="X18"/>
  <c r="X17"/>
  <c r="X16"/>
  <c r="X15"/>
  <c r="X14"/>
  <c r="X13"/>
  <c r="X12"/>
  <c r="S18"/>
  <c r="R18"/>
  <c r="S17"/>
  <c r="R17"/>
  <c r="S16"/>
  <c r="R16"/>
  <c r="S15"/>
  <c r="R15"/>
  <c r="S14"/>
  <c r="R14"/>
  <c r="S13"/>
  <c r="R13"/>
  <c r="S12"/>
  <c r="R12"/>
  <c r="AK18"/>
  <c r="AK17"/>
  <c r="AK16"/>
  <c r="AK15"/>
  <c r="AK14"/>
  <c r="AK13"/>
  <c r="AK12"/>
  <c r="AG18"/>
  <c r="AG17"/>
  <c r="AG16"/>
  <c r="AG15"/>
  <c r="AG14"/>
  <c r="AG13"/>
  <c r="AG12"/>
  <c r="AD18"/>
  <c r="AD17"/>
  <c r="AD16"/>
  <c r="AD15"/>
  <c r="AD14"/>
  <c r="AD13"/>
  <c r="BC19" i="55"/>
  <c r="X42" i="41" s="1"/>
  <c r="BB19" i="55"/>
  <c r="W42" i="41" s="1"/>
  <c r="D42" s="1"/>
  <c r="BA19" i="55"/>
  <c r="V42" i="41" s="1"/>
  <c r="C42" s="1"/>
  <c r="BC18" i="55"/>
  <c r="AF17" i="14" s="1"/>
  <c r="BB18" i="55"/>
  <c r="BA18"/>
  <c r="BC17"/>
  <c r="X40" i="41" s="1"/>
  <c r="BB17" i="55"/>
  <c r="W40" i="41" s="1"/>
  <c r="D40" s="1"/>
  <c r="BA17" i="55"/>
  <c r="V40" i="41" s="1"/>
  <c r="BC16" i="55"/>
  <c r="BB16"/>
  <c r="BB29" s="1"/>
  <c r="BB31" s="1"/>
  <c r="BA16"/>
  <c r="BC15"/>
  <c r="X38" i="41" s="1"/>
  <c r="BB15" i="55"/>
  <c r="W38" i="41" s="1"/>
  <c r="D38" s="1"/>
  <c r="BA15" i="55"/>
  <c r="V38" i="41" s="1"/>
  <c r="BC14" i="55"/>
  <c r="X37" i="41" s="1"/>
  <c r="BB14" i="55"/>
  <c r="W37" i="41" s="1"/>
  <c r="BA14" i="55"/>
  <c r="V37" i="41" s="1"/>
  <c r="AX13" i="55"/>
  <c r="AD12" i="14" s="1"/>
  <c r="AW13" i="55"/>
  <c r="AV13"/>
  <c r="AU13"/>
  <c r="AQ13"/>
  <c r="BO13" s="1"/>
  <c r="L28" i="52"/>
  <c r="L27"/>
  <c r="L26"/>
  <c r="L25"/>
  <c r="L24"/>
  <c r="L23"/>
  <c r="L2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K11"/>
  <c r="K10"/>
  <c r="K9"/>
  <c r="K8"/>
  <c r="K7"/>
  <c r="L10" i="55"/>
  <c r="N10" s="1"/>
  <c r="P10" s="1"/>
  <c r="BQ24"/>
  <c r="BP24"/>
  <c r="BO24"/>
  <c r="BQ19"/>
  <c r="BP19"/>
  <c r="BO19"/>
  <c r="BQ18"/>
  <c r="BP18"/>
  <c r="BO18"/>
  <c r="BQ17"/>
  <c r="BP17"/>
  <c r="BO17"/>
  <c r="BQ16"/>
  <c r="BP16"/>
  <c r="BO16"/>
  <c r="BQ15"/>
  <c r="BP15"/>
  <c r="BO15"/>
  <c r="BO11"/>
  <c r="BP11" s="1"/>
  <c r="BQ11" s="1"/>
  <c r="BF11"/>
  <c r="BG11" s="1"/>
  <c r="BH11" s="1"/>
  <c r="BA11"/>
  <c r="BB11" s="1"/>
  <c r="BC11" s="1"/>
  <c r="AV11"/>
  <c r="AW11" s="1"/>
  <c r="AX11" s="1"/>
  <c r="AQ10"/>
  <c r="AR10" s="1"/>
  <c r="AS10" s="1"/>
  <c r="AL10"/>
  <c r="AM10" s="1"/>
  <c r="AN10" s="1"/>
  <c r="Y19"/>
  <c r="Y18"/>
  <c r="Y17"/>
  <c r="Y16"/>
  <c r="Y29" s="1"/>
  <c r="Y15"/>
  <c r="Y14"/>
  <c r="AG10"/>
  <c r="AH10" s="1"/>
  <c r="AI10" s="1"/>
  <c r="AB10"/>
  <c r="AC10" s="1"/>
  <c r="AD10" s="1"/>
  <c r="H4" i="52"/>
  <c r="I4" s="1"/>
  <c r="J4" s="1"/>
  <c r="I3"/>
  <c r="J3" s="1"/>
  <c r="W48" i="41"/>
  <c r="D48" s="1"/>
  <c r="V48"/>
  <c r="E68"/>
  <c r="D68"/>
  <c r="C68"/>
  <c r="E62"/>
  <c r="C60"/>
  <c r="C57"/>
  <c r="G54"/>
  <c r="Z68"/>
  <c r="G68" s="1"/>
  <c r="AA68"/>
  <c r="H68" s="1"/>
  <c r="AA62"/>
  <c r="H62" s="1"/>
  <c r="X48"/>
  <c r="V54"/>
  <c r="C54" s="1"/>
  <c r="V34"/>
  <c r="C34" s="1"/>
  <c r="D13" i="40"/>
  <c r="AA58" i="41" l="1"/>
  <c r="H58" s="1"/>
  <c r="BQ13" i="55"/>
  <c r="BQ21" s="1"/>
  <c r="BQ26" s="1"/>
  <c r="AA57" i="41"/>
  <c r="H57" s="1"/>
  <c r="AA59"/>
  <c r="H59" s="1"/>
  <c r="P22" i="54"/>
  <c r="S41" i="15"/>
  <c r="E48" i="41"/>
  <c r="AA48"/>
  <c r="H48" s="1"/>
  <c r="C48"/>
  <c r="Y48"/>
  <c r="F48" s="1"/>
  <c r="Y37"/>
  <c r="F37" s="1"/>
  <c r="AA13" i="2"/>
  <c r="H13"/>
  <c r="AB92"/>
  <c r="Y38" i="41"/>
  <c r="F38" s="1"/>
  <c r="Y40"/>
  <c r="F40" s="1"/>
  <c r="AA61"/>
  <c r="H61" s="1"/>
  <c r="BP29" i="55"/>
  <c r="BP31" s="1"/>
  <c r="Y21"/>
  <c r="BH26"/>
  <c r="BA29"/>
  <c r="BA31" s="1"/>
  <c r="BC29"/>
  <c r="BC31" s="1"/>
  <c r="BQ29"/>
  <c r="BQ31" s="1"/>
  <c r="BO29"/>
  <c r="BO31" s="1"/>
  <c r="AW22"/>
  <c r="AW21"/>
  <c r="AW26" s="1"/>
  <c r="W39" i="41"/>
  <c r="D39" s="1"/>
  <c r="BO22" i="55"/>
  <c r="BB13"/>
  <c r="W36" i="41" s="1"/>
  <c r="D36" s="1"/>
  <c r="W56"/>
  <c r="D56" s="1"/>
  <c r="BA13" i="55"/>
  <c r="V36" i="41" s="1"/>
  <c r="C36" s="1"/>
  <c r="AV22" i="55"/>
  <c r="AV21"/>
  <c r="AV26" s="1"/>
  <c r="BC13"/>
  <c r="AX22"/>
  <c r="AX21"/>
  <c r="AX26" s="1"/>
  <c r="V39" i="41"/>
  <c r="C39" s="1"/>
  <c r="X39"/>
  <c r="E39" s="1"/>
  <c r="V56"/>
  <c r="X56"/>
  <c r="E38"/>
  <c r="AA38"/>
  <c r="H38" s="1"/>
  <c r="AF14" i="14"/>
  <c r="C38" i="41"/>
  <c r="Z38"/>
  <c r="G38" s="1"/>
  <c r="AF15" i="14"/>
  <c r="E40" i="41"/>
  <c r="AA40"/>
  <c r="H40" s="1"/>
  <c r="AF16" i="14"/>
  <c r="C40" i="41"/>
  <c r="Z40"/>
  <c r="G40" s="1"/>
  <c r="BC22" i="55"/>
  <c r="BC21"/>
  <c r="BC26" s="1"/>
  <c r="X41" i="41"/>
  <c r="BB22" i="55"/>
  <c r="BB21"/>
  <c r="BB26" s="1"/>
  <c r="W41" i="41"/>
  <c r="D41" s="1"/>
  <c r="BA22" i="55"/>
  <c r="BA21"/>
  <c r="BA26" s="1"/>
  <c r="V41" i="41"/>
  <c r="C41" s="1"/>
  <c r="E42"/>
  <c r="AA42"/>
  <c r="H42" s="1"/>
  <c r="AF18" i="14"/>
  <c r="AQ21" i="55"/>
  <c r="AQ26" s="1"/>
  <c r="AQ22"/>
  <c r="BP22"/>
  <c r="AR22"/>
  <c r="AR21"/>
  <c r="AR26" s="1"/>
  <c r="Z13" i="14"/>
  <c r="AS21" i="55"/>
  <c r="AS26" s="1"/>
  <c r="AS22"/>
  <c r="E37" i="41"/>
  <c r="AA37"/>
  <c r="H37" s="1"/>
  <c r="AF13" i="14"/>
  <c r="D37" i="41"/>
  <c r="D57"/>
  <c r="C37"/>
  <c r="Z37"/>
  <c r="G37" s="1"/>
  <c r="W34"/>
  <c r="W54"/>
  <c r="Z48"/>
  <c r="G48" s="1"/>
  <c r="BP21" i="55"/>
  <c r="BP26" s="1"/>
  <c r="BO21"/>
  <c r="BO26" s="1"/>
  <c r="BQ22" l="1"/>
  <c r="W46" i="41"/>
  <c r="W65"/>
  <c r="W64"/>
  <c r="W44"/>
  <c r="W66"/>
  <c r="W45"/>
  <c r="AA39"/>
  <c r="H39" s="1"/>
  <c r="C56"/>
  <c r="V66"/>
  <c r="V65"/>
  <c r="V64"/>
  <c r="X36"/>
  <c r="X44" s="1"/>
  <c r="AF12" i="14"/>
  <c r="E56" i="41"/>
  <c r="X66"/>
  <c r="X65"/>
  <c r="X64"/>
  <c r="AA56"/>
  <c r="H56" s="1"/>
  <c r="V45"/>
  <c r="V46"/>
  <c r="V44"/>
  <c r="E41"/>
  <c r="AA41"/>
  <c r="X54"/>
  <c r="E54" s="1"/>
  <c r="D54"/>
  <c r="X34"/>
  <c r="E34" s="1"/>
  <c r="D34"/>
  <c r="X46" l="1"/>
  <c r="X45"/>
  <c r="AA36"/>
  <c r="H36" s="1"/>
  <c r="E36"/>
  <c r="H41"/>
  <c r="O22" i="54"/>
  <c r="N22"/>
  <c r="M22"/>
  <c r="AA46" i="41" l="1"/>
  <c r="AA45"/>
  <c r="S20" i="54"/>
  <c r="R20"/>
  <c r="M9"/>
  <c r="N9" s="1"/>
  <c r="O9" s="1"/>
  <c r="AC48" i="41"/>
  <c r="AP24" i="55"/>
  <c r="AF24"/>
  <c r="AF31" s="1"/>
  <c r="BN24" l="1"/>
  <c r="AC53" i="41"/>
  <c r="AD40"/>
  <c r="AC40"/>
  <c r="AD38"/>
  <c r="AC38"/>
  <c r="AD37"/>
  <c r="AC37"/>
  <c r="AA31" i="55"/>
  <c r="U31"/>
  <c r="L16" i="54"/>
  <c r="BD19" i="55"/>
  <c r="BJ19" s="1"/>
  <c r="AZ19"/>
  <c r="U42" i="41" s="1"/>
  <c r="AU19" i="55"/>
  <c r="U62" i="41" s="1"/>
  <c r="AP19" i="55"/>
  <c r="BN19" s="1"/>
  <c r="K19"/>
  <c r="J19"/>
  <c r="L15" i="54"/>
  <c r="BD18" i="55"/>
  <c r="BJ18" s="1"/>
  <c r="AZ18"/>
  <c r="U41" i="41" s="1"/>
  <c r="AY18" i="55"/>
  <c r="AU18"/>
  <c r="U61" i="41" s="1"/>
  <c r="AT18" i="55"/>
  <c r="AP18"/>
  <c r="BN18" s="1"/>
  <c r="K18"/>
  <c r="J18"/>
  <c r="L13" i="54"/>
  <c r="AZ16" i="55"/>
  <c r="AU16"/>
  <c r="AP16"/>
  <c r="I16"/>
  <c r="I29" s="1"/>
  <c r="H16"/>
  <c r="H29" s="1"/>
  <c r="K16"/>
  <c r="K29" s="1"/>
  <c r="J16"/>
  <c r="T15" i="54" l="1"/>
  <c r="Q15"/>
  <c r="T42" i="15" s="1"/>
  <c r="T13" i="54"/>
  <c r="Q13"/>
  <c r="T16"/>
  <c r="Q16"/>
  <c r="R42" i="15" s="1"/>
  <c r="Z61" i="41"/>
  <c r="G61" s="1"/>
  <c r="Y61"/>
  <c r="F61" s="1"/>
  <c r="Z41"/>
  <c r="G41" s="1"/>
  <c r="Y41"/>
  <c r="F41" s="1"/>
  <c r="Z62"/>
  <c r="G62" s="1"/>
  <c r="Y62"/>
  <c r="F62" s="1"/>
  <c r="Z42"/>
  <c r="G42" s="1"/>
  <c r="Y42"/>
  <c r="F42" s="1"/>
  <c r="J29" i="55"/>
  <c r="U59" i="41"/>
  <c r="BN16" i="55"/>
  <c r="U39" i="41"/>
  <c r="R15" i="54"/>
  <c r="S15"/>
  <c r="R13"/>
  <c r="S13"/>
  <c r="R16"/>
  <c r="S16"/>
  <c r="AD41" i="41"/>
  <c r="AD42"/>
  <c r="AC61"/>
  <c r="AC62"/>
  <c r="AC41"/>
  <c r="AC42"/>
  <c r="AD61"/>
  <c r="AD62"/>
  <c r="Z59" l="1"/>
  <c r="G59" s="1"/>
  <c r="Y59"/>
  <c r="F59" s="1"/>
  <c r="Z39"/>
  <c r="G39" s="1"/>
  <c r="Y39"/>
  <c r="F39" s="1"/>
  <c r="AD59"/>
  <c r="AC59"/>
  <c r="AD39"/>
  <c r="AC39"/>
  <c r="D72" i="2"/>
  <c r="K70"/>
  <c r="J70"/>
  <c r="K69"/>
  <c r="J60"/>
  <c r="J72" s="1"/>
  <c r="J73" s="1"/>
  <c r="J74" s="1"/>
  <c r="J75" s="1"/>
  <c r="J76" s="1"/>
  <c r="J77" s="1"/>
  <c r="G53"/>
  <c r="E53"/>
  <c r="E54" s="1"/>
  <c r="D53"/>
  <c r="F211" i="30"/>
  <c r="F210"/>
  <c r="F209"/>
  <c r="C213" s="1"/>
  <c r="J196"/>
  <c r="I196"/>
  <c r="F186"/>
  <c r="F185"/>
  <c r="F184"/>
  <c r="C188" s="1"/>
  <c r="C182"/>
  <c r="C207" s="1"/>
  <c r="C181"/>
  <c r="C206" s="1"/>
  <c r="C180"/>
  <c r="C205" s="1"/>
  <c r="C179"/>
  <c r="C204" s="1"/>
  <c r="C178"/>
  <c r="C203" s="1"/>
  <c r="C177"/>
  <c r="C202" s="1"/>
  <c r="J176"/>
  <c r="J201" s="1"/>
  <c r="I176"/>
  <c r="I201" s="1"/>
  <c r="G176"/>
  <c r="G201" s="1"/>
  <c r="K201" s="1"/>
  <c r="C176"/>
  <c r="C201" s="1"/>
  <c r="B176"/>
  <c r="B201" s="1"/>
  <c r="J175"/>
  <c r="I175"/>
  <c r="I200" s="1"/>
  <c r="G175"/>
  <c r="G200" s="1"/>
  <c r="C175"/>
  <c r="C200" s="1"/>
  <c r="B175"/>
  <c r="B200" s="1"/>
  <c r="F156"/>
  <c r="F155"/>
  <c r="F154"/>
  <c r="F158" s="1"/>
  <c r="J142"/>
  <c r="I142"/>
  <c r="F132"/>
  <c r="F131"/>
  <c r="F130"/>
  <c r="F134" s="1"/>
  <c r="Z31" i="55"/>
  <c r="D54" i="2" l="1"/>
  <c r="D73"/>
  <c r="G54"/>
  <c r="G74" s="1"/>
  <c r="G73"/>
  <c r="G55"/>
  <c r="E55"/>
  <c r="E56" s="1"/>
  <c r="E57" s="1"/>
  <c r="E58" s="1"/>
  <c r="E60" s="1"/>
  <c r="L201" i="30"/>
  <c r="M201" s="1"/>
  <c r="N201" s="1"/>
  <c r="O201" s="1"/>
  <c r="P201" s="1"/>
  <c r="Q201" s="1"/>
  <c r="H175"/>
  <c r="K176"/>
  <c r="J200"/>
  <c r="K175"/>
  <c r="H176"/>
  <c r="H201" s="1"/>
  <c r="G14" i="2"/>
  <c r="G15" s="1"/>
  <c r="E14"/>
  <c r="E15" s="1"/>
  <c r="G56" l="1"/>
  <c r="G75"/>
  <c r="D55"/>
  <c r="D75" s="1"/>
  <c r="D74"/>
  <c r="E16"/>
  <c r="G16"/>
  <c r="G17" s="1"/>
  <c r="L175" i="30"/>
  <c r="M175" s="1"/>
  <c r="N175" s="1"/>
  <c r="O175" s="1"/>
  <c r="P175" s="1"/>
  <c r="Q175" s="1"/>
  <c r="L176"/>
  <c r="M176" s="1"/>
  <c r="N176" s="1"/>
  <c r="O176" s="1"/>
  <c r="P176" s="1"/>
  <c r="Q176" s="1"/>
  <c r="H184"/>
  <c r="H200"/>
  <c r="H209" s="1"/>
  <c r="D201"/>
  <c r="E201" s="1"/>
  <c r="K200"/>
  <c r="F22" i="18"/>
  <c r="F21"/>
  <c r="F20"/>
  <c r="F19"/>
  <c r="F18"/>
  <c r="F17"/>
  <c r="F16"/>
  <c r="L13"/>
  <c r="G57" i="2" l="1"/>
  <c r="G76"/>
  <c r="E17"/>
  <c r="E18" s="1"/>
  <c r="E19" s="1"/>
  <c r="E21" s="1"/>
  <c r="G18"/>
  <c r="G19" s="1"/>
  <c r="G21" s="1"/>
  <c r="G34" s="1"/>
  <c r="D176" i="30"/>
  <c r="E176" s="1"/>
  <c r="D56" i="2"/>
  <c r="D76" s="1"/>
  <c r="L200" i="30"/>
  <c r="M200" s="1"/>
  <c r="N200" s="1"/>
  <c r="O200" s="1"/>
  <c r="P200" s="1"/>
  <c r="Q200" s="1"/>
  <c r="D175"/>
  <c r="E175" s="1"/>
  <c r="C66"/>
  <c r="C65"/>
  <c r="C99"/>
  <c r="C97"/>
  <c r="C94"/>
  <c r="C69"/>
  <c r="C122" s="1"/>
  <c r="B16" i="6" s="1"/>
  <c r="F103" i="30"/>
  <c r="F102"/>
  <c r="F101"/>
  <c r="F105" s="1"/>
  <c r="J89"/>
  <c r="I89"/>
  <c r="F79"/>
  <c r="F77"/>
  <c r="L47" i="18"/>
  <c r="L46"/>
  <c r="F56"/>
  <c r="F55"/>
  <c r="F54"/>
  <c r="F53"/>
  <c r="F52"/>
  <c r="F51"/>
  <c r="F50"/>
  <c r="L56"/>
  <c r="L55"/>
  <c r="L54"/>
  <c r="L53"/>
  <c r="L52"/>
  <c r="L51"/>
  <c r="L50"/>
  <c r="K31" i="2"/>
  <c r="K32"/>
  <c r="J32"/>
  <c r="AB66" i="41"/>
  <c r="AB65"/>
  <c r="T46"/>
  <c r="S46"/>
  <c r="R46"/>
  <c r="Q46"/>
  <c r="P46"/>
  <c r="O46"/>
  <c r="N46"/>
  <c r="M46"/>
  <c r="T45"/>
  <c r="S45"/>
  <c r="R45"/>
  <c r="Q45"/>
  <c r="P45"/>
  <c r="O45"/>
  <c r="N45"/>
  <c r="M45"/>
  <c r="L45"/>
  <c r="L46"/>
  <c r="C38" i="30" l="1"/>
  <c r="B51" i="6" s="1"/>
  <c r="B12"/>
  <c r="B47" s="1"/>
  <c r="C34" i="30"/>
  <c r="B13" i="6"/>
  <c r="C35" i="30"/>
  <c r="G58" i="2"/>
  <c r="G60" s="1"/>
  <c r="G77"/>
  <c r="F81" i="30"/>
  <c r="D200"/>
  <c r="E200" s="1"/>
  <c r="C89"/>
  <c r="C118" s="1"/>
  <c r="C171"/>
  <c r="C196" s="1"/>
  <c r="F60" i="18"/>
  <c r="C90" i="30"/>
  <c r="C119" s="1"/>
  <c r="C172"/>
  <c r="C197" s="1"/>
  <c r="D57" i="2"/>
  <c r="D77" s="1"/>
  <c r="C93" i="30"/>
  <c r="C95"/>
  <c r="C96"/>
  <c r="C98"/>
  <c r="F58" i="18"/>
  <c r="F59"/>
  <c r="J21" i="2"/>
  <c r="J34" s="1"/>
  <c r="J35" s="1"/>
  <c r="J36" s="1"/>
  <c r="J37" s="1"/>
  <c r="J39" l="1"/>
  <c r="J38"/>
  <c r="H34" i="15"/>
  <c r="Q28" s="1"/>
  <c r="D58" i="2"/>
  <c r="D60" s="1"/>
  <c r="G35"/>
  <c r="G36" s="1"/>
  <c r="G37" s="1"/>
  <c r="G39" l="1"/>
  <c r="G38"/>
  <c r="F48" i="30"/>
  <c r="E93" i="2" l="1"/>
  <c r="E94" s="1"/>
  <c r="D93"/>
  <c r="D94" l="1"/>
  <c r="F94" s="1"/>
  <c r="I94" s="1"/>
  <c r="F93"/>
  <c r="I93" s="1"/>
  <c r="E95"/>
  <c r="E96" s="1"/>
  <c r="E97" s="1"/>
  <c r="E98" s="1"/>
  <c r="L31" i="41"/>
  <c r="L51"/>
  <c r="G52"/>
  <c r="AD68"/>
  <c r="AC68"/>
  <c r="U56"/>
  <c r="AA94" i="2" l="1"/>
  <c r="AA93"/>
  <c r="Y56" i="41"/>
  <c r="F56" s="1"/>
  <c r="D95" i="2"/>
  <c r="D96" s="1"/>
  <c r="AB94"/>
  <c r="F95"/>
  <c r="I95" s="1"/>
  <c r="E100"/>
  <c r="E102" s="1"/>
  <c r="Z56" i="41"/>
  <c r="G56" s="1"/>
  <c r="E45"/>
  <c r="AC56"/>
  <c r="AD56"/>
  <c r="C45"/>
  <c r="D45"/>
  <c r="D46"/>
  <c r="C44"/>
  <c r="C46"/>
  <c r="E46"/>
  <c r="AA95" i="2" l="1"/>
  <c r="AB93"/>
  <c r="AB95"/>
  <c r="D97"/>
  <c r="F96"/>
  <c r="I96" s="1"/>
  <c r="AD48" i="41"/>
  <c r="A35" i="44"/>
  <c r="A34"/>
  <c r="A33"/>
  <c r="A32"/>
  <c r="A31"/>
  <c r="A30"/>
  <c r="A29"/>
  <c r="A27"/>
  <c r="E38"/>
  <c r="D38"/>
  <c r="B38"/>
  <c r="E37"/>
  <c r="D37"/>
  <c r="B37"/>
  <c r="J103" i="18"/>
  <c r="J102"/>
  <c r="J101"/>
  <c r="J100"/>
  <c r="J99"/>
  <c r="J98"/>
  <c r="J97"/>
  <c r="J96"/>
  <c r="F107"/>
  <c r="E107"/>
  <c r="D107"/>
  <c r="F106"/>
  <c r="E106"/>
  <c r="D106"/>
  <c r="J34" i="30"/>
  <c r="I34"/>
  <c r="C20"/>
  <c r="C152" s="1"/>
  <c r="C19"/>
  <c r="C151" s="1"/>
  <c r="C18"/>
  <c r="C150" s="1"/>
  <c r="C17"/>
  <c r="C149" s="1"/>
  <c r="C16"/>
  <c r="C148" s="1"/>
  <c r="C15"/>
  <c r="C147" s="1"/>
  <c r="C14"/>
  <c r="C146" s="1"/>
  <c r="L10" i="54"/>
  <c r="Q10" s="1"/>
  <c r="AZ13" i="55"/>
  <c r="U36" i="41" s="1"/>
  <c r="AP13" i="55"/>
  <c r="BN13" s="1"/>
  <c r="AO13"/>
  <c r="AA96" i="2" l="1"/>
  <c r="Y44" i="41"/>
  <c r="F44" s="1"/>
  <c r="Y36"/>
  <c r="F36" s="1"/>
  <c r="Z36"/>
  <c r="Z44"/>
  <c r="G44" s="1"/>
  <c r="AB96" i="2"/>
  <c r="D98"/>
  <c r="F97"/>
  <c r="I97" s="1"/>
  <c r="R10" i="54"/>
  <c r="T10"/>
  <c r="AC36" i="41"/>
  <c r="AC46" s="1"/>
  <c r="AD36"/>
  <c r="U45"/>
  <c r="U46"/>
  <c r="AD46" s="1"/>
  <c r="S10" i="54"/>
  <c r="E59" i="6"/>
  <c r="J106" i="18"/>
  <c r="Y22" i="55"/>
  <c r="J107" i="18"/>
  <c r="D34" i="2"/>
  <c r="D14"/>
  <c r="AC45" i="41" l="1"/>
  <c r="F46"/>
  <c r="F45"/>
  <c r="AA97" i="2"/>
  <c r="Y46" i="41"/>
  <c r="Y45"/>
  <c r="AB97" i="2"/>
  <c r="D100"/>
  <c r="F98"/>
  <c r="I98" s="1"/>
  <c r="Z46" i="41"/>
  <c r="G36"/>
  <c r="Z45"/>
  <c r="D35" i="2"/>
  <c r="D15"/>
  <c r="D16" s="1"/>
  <c r="BM13" i="55"/>
  <c r="AA98" i="2" l="1"/>
  <c r="AA100" s="1"/>
  <c r="D102"/>
  <c r="D112"/>
  <c r="AB98"/>
  <c r="AB100" s="1"/>
  <c r="G45" i="41"/>
  <c r="G46"/>
  <c r="D36" i="2"/>
  <c r="D113" l="1"/>
  <c r="D37"/>
  <c r="D17"/>
  <c r="D38" l="1"/>
  <c r="D114"/>
  <c r="D39"/>
  <c r="D18"/>
  <c r="B23"/>
  <c r="B21"/>
  <c r="B62" l="1"/>
  <c r="N23"/>
  <c r="N62" s="1"/>
  <c r="B60"/>
  <c r="N21"/>
  <c r="N60" s="1"/>
  <c r="AE18"/>
  <c r="D19"/>
  <c r="D21" s="1"/>
  <c r="S19" i="55"/>
  <c r="S18"/>
  <c r="S17"/>
  <c r="S16"/>
  <c r="S15"/>
  <c r="S14"/>
  <c r="S13"/>
  <c r="S29" l="1"/>
  <c r="S22"/>
  <c r="P22" i="18" l="1"/>
  <c r="P56" s="1"/>
  <c r="L22"/>
  <c r="P21"/>
  <c r="P55" s="1"/>
  <c r="L21"/>
  <c r="P20"/>
  <c r="P54" s="1"/>
  <c r="L20"/>
  <c r="P19"/>
  <c r="P53" s="1"/>
  <c r="L19"/>
  <c r="P18"/>
  <c r="P52" s="1"/>
  <c r="L18"/>
  <c r="P17"/>
  <c r="P51" s="1"/>
  <c r="L17"/>
  <c r="P16"/>
  <c r="L16"/>
  <c r="L13" i="52"/>
  <c r="L30"/>
  <c r="C52" i="2" l="1"/>
  <c r="F52" s="1"/>
  <c r="P50" i="18"/>
  <c r="P60" s="1"/>
  <c r="C57" i="2"/>
  <c r="C55"/>
  <c r="F55" s="1"/>
  <c r="H55" s="1"/>
  <c r="C54"/>
  <c r="C58"/>
  <c r="C56"/>
  <c r="C53"/>
  <c r="AD13"/>
  <c r="K13"/>
  <c r="P26" i="18"/>
  <c r="P25"/>
  <c r="J14" i="30"/>
  <c r="J16"/>
  <c r="J17"/>
  <c r="J19"/>
  <c r="J15"/>
  <c r="J18"/>
  <c r="J20"/>
  <c r="C23" i="2"/>
  <c r="C102" s="1"/>
  <c r="C21"/>
  <c r="F18"/>
  <c r="F16"/>
  <c r="F15"/>
  <c r="R33" i="15" s="1"/>
  <c r="F19" i="2"/>
  <c r="F17"/>
  <c r="F14"/>
  <c r="P24" i="18"/>
  <c r="I18" i="44"/>
  <c r="I17"/>
  <c r="I16"/>
  <c r="I15"/>
  <c r="I14"/>
  <c r="I13"/>
  <c r="I12"/>
  <c r="H18"/>
  <c r="H17"/>
  <c r="H16"/>
  <c r="H15"/>
  <c r="H14"/>
  <c r="H13"/>
  <c r="H12"/>
  <c r="B18"/>
  <c r="O22" i="18" s="1"/>
  <c r="O56" s="1"/>
  <c r="B17" i="44"/>
  <c r="O21" i="18" s="1"/>
  <c r="O55" s="1"/>
  <c r="B16" i="44"/>
  <c r="O20" i="18" s="1"/>
  <c r="O54" s="1"/>
  <c r="B15" i="44"/>
  <c r="O19" i="18" s="1"/>
  <c r="O53" s="1"/>
  <c r="B14" i="44"/>
  <c r="O18" i="18" s="1"/>
  <c r="O52" s="1"/>
  <c r="B13" i="44"/>
  <c r="O17" i="18" s="1"/>
  <c r="O51" s="1"/>
  <c r="B12" i="44"/>
  <c r="O16" i="18" s="1"/>
  <c r="O50" s="1"/>
  <c r="AA12" i="14"/>
  <c r="T60" i="41"/>
  <c r="S60"/>
  <c r="S64" s="1"/>
  <c r="R60"/>
  <c r="Q60"/>
  <c r="Q64" s="1"/>
  <c r="P60"/>
  <c r="O60"/>
  <c r="AA60" s="1"/>
  <c r="H60" s="1"/>
  <c r="N60"/>
  <c r="M60"/>
  <c r="M64" s="1"/>
  <c r="L60"/>
  <c r="K60"/>
  <c r="K64" s="1"/>
  <c r="U60"/>
  <c r="U58"/>
  <c r="U57"/>
  <c r="P64"/>
  <c r="N64"/>
  <c r="L64"/>
  <c r="H54"/>
  <c r="H53"/>
  <c r="H52"/>
  <c r="H34"/>
  <c r="H33"/>
  <c r="H32"/>
  <c r="E16" i="18" l="1"/>
  <c r="E50" s="1"/>
  <c r="I50" s="1"/>
  <c r="I122" i="30"/>
  <c r="H16" i="6" s="1"/>
  <c r="E20" i="18"/>
  <c r="E54" s="1"/>
  <c r="I54" s="1"/>
  <c r="I126" i="30"/>
  <c r="H20" i="6" s="1"/>
  <c r="E17" i="18"/>
  <c r="E51" s="1"/>
  <c r="I123" i="30"/>
  <c r="H17" i="6" s="1"/>
  <c r="E19" i="18"/>
  <c r="E53" s="1"/>
  <c r="I125" i="30"/>
  <c r="H19" i="6" s="1"/>
  <c r="E21" i="18"/>
  <c r="E55" s="1"/>
  <c r="I55" s="1"/>
  <c r="I127" i="30"/>
  <c r="H21" i="6" s="1"/>
  <c r="E18" i="18"/>
  <c r="E52" s="1"/>
  <c r="I52" s="1"/>
  <c r="I124" i="30"/>
  <c r="H18" i="6" s="1"/>
  <c r="E22" i="18"/>
  <c r="E56" s="1"/>
  <c r="I128" i="30"/>
  <c r="H22" i="6" s="1"/>
  <c r="Z58" i="41"/>
  <c r="G58" s="1"/>
  <c r="Y58"/>
  <c r="F58" s="1"/>
  <c r="Y57"/>
  <c r="Y64"/>
  <c r="Z60"/>
  <c r="G60" s="1"/>
  <c r="Y60"/>
  <c r="F60" s="1"/>
  <c r="AA15" i="2"/>
  <c r="H15"/>
  <c r="K15" s="1"/>
  <c r="R36" i="15" s="1"/>
  <c r="AA16" i="2"/>
  <c r="H16"/>
  <c r="K16" s="1"/>
  <c r="AA18"/>
  <c r="H18"/>
  <c r="K18" s="1"/>
  <c r="AA14"/>
  <c r="H14"/>
  <c r="K14" s="1"/>
  <c r="AA17"/>
  <c r="H17"/>
  <c r="K17" s="1"/>
  <c r="AA19"/>
  <c r="H19"/>
  <c r="K19" s="1"/>
  <c r="T36" i="15" s="1"/>
  <c r="H52" i="2"/>
  <c r="K52" s="1"/>
  <c r="C100"/>
  <c r="C72"/>
  <c r="C73" s="1"/>
  <c r="O64" i="41"/>
  <c r="AA64" s="1"/>
  <c r="H64" s="1"/>
  <c r="R37" i="15"/>
  <c r="P58" i="18"/>
  <c r="C60" i="2"/>
  <c r="P59" i="18"/>
  <c r="U64" i="41"/>
  <c r="Z57"/>
  <c r="G57" s="1"/>
  <c r="Z64"/>
  <c r="AD64"/>
  <c r="AD60"/>
  <c r="AC60"/>
  <c r="AD58"/>
  <c r="AC58"/>
  <c r="AD57"/>
  <c r="AC57"/>
  <c r="J74" i="30"/>
  <c r="J72"/>
  <c r="J71"/>
  <c r="C62" i="2"/>
  <c r="J75" i="30"/>
  <c r="J73"/>
  <c r="J70"/>
  <c r="F53" i="2"/>
  <c r="F56"/>
  <c r="F58"/>
  <c r="F54"/>
  <c r="K55"/>
  <c r="F57"/>
  <c r="S51" i="18"/>
  <c r="S54"/>
  <c r="S56"/>
  <c r="I53"/>
  <c r="O60"/>
  <c r="O59"/>
  <c r="S50"/>
  <c r="O58"/>
  <c r="S52"/>
  <c r="S53"/>
  <c r="S55"/>
  <c r="I51"/>
  <c r="I56"/>
  <c r="J69" i="30"/>
  <c r="M65" i="41"/>
  <c r="M66"/>
  <c r="O65"/>
  <c r="O66"/>
  <c r="Q65"/>
  <c r="Q66"/>
  <c r="S65"/>
  <c r="S66"/>
  <c r="AA65"/>
  <c r="AA66"/>
  <c r="U65"/>
  <c r="U66"/>
  <c r="L66"/>
  <c r="L65"/>
  <c r="N66"/>
  <c r="N65"/>
  <c r="P66"/>
  <c r="P65"/>
  <c r="R64"/>
  <c r="R66"/>
  <c r="R65"/>
  <c r="D65"/>
  <c r="T66"/>
  <c r="T65"/>
  <c r="O25" i="18"/>
  <c r="O26"/>
  <c r="F22" i="2"/>
  <c r="C64" i="41"/>
  <c r="C65"/>
  <c r="C66"/>
  <c r="T64"/>
  <c r="E65"/>
  <c r="E66"/>
  <c r="D66"/>
  <c r="R14" i="55"/>
  <c r="R19"/>
  <c r="R13"/>
  <c r="R15"/>
  <c r="R16"/>
  <c r="R18"/>
  <c r="F23" i="2"/>
  <c r="F21"/>
  <c r="R17" i="55"/>
  <c r="D64" i="41"/>
  <c r="E64"/>
  <c r="E44"/>
  <c r="K22" i="2" l="1"/>
  <c r="E25" i="18"/>
  <c r="E26"/>
  <c r="H23" i="2"/>
  <c r="K23"/>
  <c r="F57" i="41"/>
  <c r="Y66"/>
  <c r="Y65"/>
  <c r="K21" i="2"/>
  <c r="S36" i="15" s="1"/>
  <c r="H21" i="2"/>
  <c r="H25" s="1"/>
  <c r="H22"/>
  <c r="F25"/>
  <c r="F28" s="1"/>
  <c r="S33" i="15"/>
  <c r="C74" i="2"/>
  <c r="F73"/>
  <c r="H73" s="1"/>
  <c r="K73" s="1"/>
  <c r="AA21"/>
  <c r="H58"/>
  <c r="K58" s="1"/>
  <c r="H53"/>
  <c r="K53" s="1"/>
  <c r="H57"/>
  <c r="K57" s="1"/>
  <c r="H54"/>
  <c r="K54" s="1"/>
  <c r="H56"/>
  <c r="K56" s="1"/>
  <c r="C34"/>
  <c r="F34" s="1"/>
  <c r="H34" s="1"/>
  <c r="K34" s="1"/>
  <c r="C112"/>
  <c r="F112" s="1"/>
  <c r="I112" s="1"/>
  <c r="F72"/>
  <c r="H72" s="1"/>
  <c r="K72" s="1"/>
  <c r="R29" i="55"/>
  <c r="J96" i="30"/>
  <c r="J125" s="1"/>
  <c r="I19" i="6" s="1"/>
  <c r="J95" i="30"/>
  <c r="J124" s="1"/>
  <c r="I18" i="6" s="1"/>
  <c r="J98" i="30"/>
  <c r="J127" s="1"/>
  <c r="I21" i="6" s="1"/>
  <c r="E58" i="18"/>
  <c r="AD66" i="41"/>
  <c r="AC64"/>
  <c r="E60" i="18"/>
  <c r="E59"/>
  <c r="Z65" i="41"/>
  <c r="Z66"/>
  <c r="J99" i="30"/>
  <c r="J128" s="1"/>
  <c r="F60" i="2"/>
  <c r="F64" s="1"/>
  <c r="F62"/>
  <c r="J94" i="30"/>
  <c r="J123" s="1"/>
  <c r="I17" i="6" s="1"/>
  <c r="J97" i="30"/>
  <c r="J126" s="1"/>
  <c r="I20" i="6" s="1"/>
  <c r="F61" i="2"/>
  <c r="J181" i="30"/>
  <c r="J151"/>
  <c r="S60" i="18"/>
  <c r="S58"/>
  <c r="S59"/>
  <c r="I60"/>
  <c r="I59"/>
  <c r="I58"/>
  <c r="J93" i="30"/>
  <c r="J122" s="1"/>
  <c r="J77"/>
  <c r="K27" i="2"/>
  <c r="F101"/>
  <c r="F100"/>
  <c r="F102"/>
  <c r="R22" i="55"/>
  <c r="G64" i="41"/>
  <c r="AC66"/>
  <c r="AC65"/>
  <c r="AE17" i="2"/>
  <c r="AF18" s="1"/>
  <c r="J149" i="30" l="1"/>
  <c r="H27" i="2"/>
  <c r="K28"/>
  <c r="K25"/>
  <c r="J148" i="30"/>
  <c r="J178"/>
  <c r="J203" s="1"/>
  <c r="J179"/>
  <c r="J147"/>
  <c r="I16" i="6"/>
  <c r="J177" i="30"/>
  <c r="J202" s="1"/>
  <c r="J146"/>
  <c r="I22" i="6"/>
  <c r="J152" i="30"/>
  <c r="J182"/>
  <c r="J207" s="1"/>
  <c r="J180"/>
  <c r="J150"/>
  <c r="J130"/>
  <c r="F27" i="2"/>
  <c r="H28"/>
  <c r="F66" i="41"/>
  <c r="F64"/>
  <c r="F65"/>
  <c r="H60" i="2"/>
  <c r="H64" s="1"/>
  <c r="C75"/>
  <c r="F74"/>
  <c r="H74" s="1"/>
  <c r="K74" s="1"/>
  <c r="K60"/>
  <c r="K64" s="1"/>
  <c r="K61"/>
  <c r="K62"/>
  <c r="H62"/>
  <c r="H61"/>
  <c r="H66" s="1"/>
  <c r="C35"/>
  <c r="C113"/>
  <c r="F113" s="1"/>
  <c r="I113" s="1"/>
  <c r="G66" i="41"/>
  <c r="F67" i="2"/>
  <c r="G65" i="41"/>
  <c r="J206" i="30"/>
  <c r="F66" i="2"/>
  <c r="J205" i="30"/>
  <c r="J204"/>
  <c r="J101"/>
  <c r="I100" i="2"/>
  <c r="S37" i="15" s="1"/>
  <c r="S52" s="1"/>
  <c r="I102" i="2"/>
  <c r="I101"/>
  <c r="F104"/>
  <c r="J184" i="30" l="1"/>
  <c r="H67" i="2"/>
  <c r="J154" i="30"/>
  <c r="C76" i="2"/>
  <c r="F75"/>
  <c r="H75" s="1"/>
  <c r="K75" s="1"/>
  <c r="K66"/>
  <c r="K67"/>
  <c r="C114"/>
  <c r="F114" s="1"/>
  <c r="I114" s="1"/>
  <c r="C36"/>
  <c r="F35"/>
  <c r="H35" s="1"/>
  <c r="K35" s="1"/>
  <c r="J209" i="30"/>
  <c r="F106" i="2"/>
  <c r="F107"/>
  <c r="I106"/>
  <c r="I104"/>
  <c r="I107"/>
  <c r="U44" i="41"/>
  <c r="T44"/>
  <c r="S44"/>
  <c r="R44"/>
  <c r="Q44"/>
  <c r="P44"/>
  <c r="O44"/>
  <c r="AA44" s="1"/>
  <c r="H44" s="1"/>
  <c r="N44"/>
  <c r="M44"/>
  <c r="L44"/>
  <c r="K44"/>
  <c r="C77" i="2" l="1"/>
  <c r="F77" s="1"/>
  <c r="H77" s="1"/>
  <c r="K77" s="1"/>
  <c r="F76"/>
  <c r="H76" s="1"/>
  <c r="K76" s="1"/>
  <c r="AE21"/>
  <c r="C37"/>
  <c r="F36"/>
  <c r="H36" s="1"/>
  <c r="K36" s="1"/>
  <c r="AC44" i="41"/>
  <c r="AD44"/>
  <c r="D44"/>
  <c r="X29" i="57"/>
  <c r="W29"/>
  <c r="W16"/>
  <c r="X17"/>
  <c r="W17"/>
  <c r="X16"/>
  <c r="V28"/>
  <c r="T28"/>
  <c r="V29"/>
  <c r="U29"/>
  <c r="T29"/>
  <c r="V17"/>
  <c r="V16"/>
  <c r="U17"/>
  <c r="U16"/>
  <c r="T17"/>
  <c r="T16"/>
  <c r="M17"/>
  <c r="L17"/>
  <c r="M16"/>
  <c r="L16"/>
  <c r="M29"/>
  <c r="H17"/>
  <c r="G17"/>
  <c r="H16"/>
  <c r="G16"/>
  <c r="H29"/>
  <c r="G29"/>
  <c r="H28"/>
  <c r="G28"/>
  <c r="S14"/>
  <c r="S13"/>
  <c r="S12"/>
  <c r="S11"/>
  <c r="S10"/>
  <c r="S9"/>
  <c r="S8"/>
  <c r="S7"/>
  <c r="S6"/>
  <c r="S5"/>
  <c r="K28"/>
  <c r="K17"/>
  <c r="K16"/>
  <c r="I17"/>
  <c r="I16"/>
  <c r="C29"/>
  <c r="C28"/>
  <c r="F28"/>
  <c r="D28"/>
  <c r="R29"/>
  <c r="R17"/>
  <c r="Q17"/>
  <c r="P17"/>
  <c r="O17"/>
  <c r="N17"/>
  <c r="F17"/>
  <c r="R16"/>
  <c r="Q16"/>
  <c r="P16"/>
  <c r="O16"/>
  <c r="N16"/>
  <c r="F16"/>
  <c r="D17"/>
  <c r="D16"/>
  <c r="CC19" i="55"/>
  <c r="CC18"/>
  <c r="CC17"/>
  <c r="CC16"/>
  <c r="CC15"/>
  <c r="CC14"/>
  <c r="CC13"/>
  <c r="C38" i="2" l="1"/>
  <c r="AE23"/>
  <c r="H39" i="15"/>
  <c r="F37" i="2"/>
  <c r="H37" s="1"/>
  <c r="K37" s="1"/>
  <c r="C39"/>
  <c r="CC22" i="55"/>
  <c r="CC21"/>
  <c r="S21" i="57"/>
  <c r="S24"/>
  <c r="S26"/>
  <c r="S17"/>
  <c r="X28"/>
  <c r="W28"/>
  <c r="U28"/>
  <c r="L29"/>
  <c r="M28"/>
  <c r="L28"/>
  <c r="O29"/>
  <c r="S22"/>
  <c r="S23"/>
  <c r="S25"/>
  <c r="S16"/>
  <c r="Q29"/>
  <c r="N28"/>
  <c r="P29"/>
  <c r="I28"/>
  <c r="D29"/>
  <c r="F29"/>
  <c r="N29"/>
  <c r="P28"/>
  <c r="R28"/>
  <c r="O28"/>
  <c r="Q28"/>
  <c r="K29"/>
  <c r="I29"/>
  <c r="F38" i="2" l="1"/>
  <c r="H38" s="1"/>
  <c r="K38" s="1"/>
  <c r="F39"/>
  <c r="H39" s="1"/>
  <c r="K39" s="1"/>
  <c r="AE24"/>
  <c r="H40" i="15"/>
  <c r="S29" i="57"/>
  <c r="AE30" i="2"/>
  <c r="H43" i="15"/>
  <c r="S28" i="57"/>
  <c r="H41" i="15" l="1"/>
  <c r="H44"/>
  <c r="H45" s="1"/>
  <c r="AE33" i="2"/>
  <c r="AF30" l="1"/>
  <c r="AY19" i="55"/>
  <c r="AT19"/>
  <c r="AO19"/>
  <c r="BM19" s="1"/>
  <c r="AO18"/>
  <c r="BM18" s="1"/>
  <c r="BD17"/>
  <c r="BJ17" s="1"/>
  <c r="AZ17"/>
  <c r="AZ29" s="1"/>
  <c r="AZ31" s="1"/>
  <c r="AY17"/>
  <c r="AU17"/>
  <c r="AT17"/>
  <c r="AP17"/>
  <c r="AO17"/>
  <c r="BM17" s="1"/>
  <c r="BD16"/>
  <c r="AY16"/>
  <c r="AY29" s="1"/>
  <c r="AT16"/>
  <c r="AO16"/>
  <c r="AO29" s="1"/>
  <c r="AK22"/>
  <c r="AK21"/>
  <c r="AJ22"/>
  <c r="AJ21"/>
  <c r="AF22"/>
  <c r="AF21"/>
  <c r="AE22"/>
  <c r="AE21"/>
  <c r="AA22"/>
  <c r="AA21"/>
  <c r="L12" i="54"/>
  <c r="BD15" i="55"/>
  <c r="BJ15" s="1"/>
  <c r="AZ15"/>
  <c r="AY15"/>
  <c r="AU15"/>
  <c r="AT15"/>
  <c r="AP15"/>
  <c r="BN15" s="1"/>
  <c r="AO15"/>
  <c r="BM15" s="1"/>
  <c r="AY24"/>
  <c r="AT24"/>
  <c r="AO24"/>
  <c r="AE24"/>
  <c r="AE31" s="1"/>
  <c r="BD14"/>
  <c r="BJ14" s="1"/>
  <c r="AZ14"/>
  <c r="AZ22" s="1"/>
  <c r="AY14"/>
  <c r="AU14"/>
  <c r="AU21" s="1"/>
  <c r="AU26" s="1"/>
  <c r="AT14"/>
  <c r="AP14"/>
  <c r="BN14" s="1"/>
  <c r="AO14"/>
  <c r="BM14" s="1"/>
  <c r="BD13"/>
  <c r="AY13"/>
  <c r="AT13"/>
  <c r="BK26"/>
  <c r="Z22"/>
  <c r="U22"/>
  <c r="T22"/>
  <c r="Z21"/>
  <c r="U21"/>
  <c r="T21"/>
  <c r="K14"/>
  <c r="K21" s="1"/>
  <c r="J14"/>
  <c r="J21" s="1"/>
  <c r="I14"/>
  <c r="I21" s="1"/>
  <c r="H14"/>
  <c r="H21" s="1"/>
  <c r="S21"/>
  <c r="R21"/>
  <c r="E21"/>
  <c r="T12" i="54" l="1"/>
  <c r="Q12"/>
  <c r="BD29" i="55"/>
  <c r="BD31" s="1"/>
  <c r="BJ16"/>
  <c r="BJ29" s="1"/>
  <c r="BJ31" s="1"/>
  <c r="AP29"/>
  <c r="AP31" s="1"/>
  <c r="AT29"/>
  <c r="BJ22"/>
  <c r="BJ13"/>
  <c r="BJ21"/>
  <c r="BJ26" s="1"/>
  <c r="AY31"/>
  <c r="BM24"/>
  <c r="AU31"/>
  <c r="AU29"/>
  <c r="BE21"/>
  <c r="BE26" s="1"/>
  <c r="L11" i="54"/>
  <c r="R12"/>
  <c r="S12"/>
  <c r="L14"/>
  <c r="Q14" s="1"/>
  <c r="BM16" i="55"/>
  <c r="BM29" s="1"/>
  <c r="BM31" s="1"/>
  <c r="AO31"/>
  <c r="AT31"/>
  <c r="AP22"/>
  <c r="BN17"/>
  <c r="BN29" s="1"/>
  <c r="BN31" s="1"/>
  <c r="AU22"/>
  <c r="BE22"/>
  <c r="AZ21"/>
  <c r="AZ26" s="1"/>
  <c r="BD22"/>
  <c r="BM22"/>
  <c r="BM21"/>
  <c r="CB18"/>
  <c r="CB16"/>
  <c r="CB15"/>
  <c r="CB13"/>
  <c r="CB19"/>
  <c r="CB17"/>
  <c r="CB14"/>
  <c r="AP21"/>
  <c r="AP26" s="1"/>
  <c r="AY22"/>
  <c r="AT22"/>
  <c r="AO22"/>
  <c r="BD21"/>
  <c r="BD26" s="1"/>
  <c r="AY21"/>
  <c r="AY26" s="1"/>
  <c r="AT21"/>
  <c r="AT26" s="1"/>
  <c r="AO21"/>
  <c r="AO26" s="1"/>
  <c r="H22"/>
  <c r="J22"/>
  <c r="I22"/>
  <c r="K22"/>
  <c r="AF36" i="14"/>
  <c r="T11" i="54" l="1"/>
  <c r="Q11"/>
  <c r="Q18" s="1"/>
  <c r="T14"/>
  <c r="BM26" i="55"/>
  <c r="BN22"/>
  <c r="S14" i="54"/>
  <c r="R14"/>
  <c r="S11"/>
  <c r="R11"/>
  <c r="L18"/>
  <c r="L22" s="1"/>
  <c r="BN21" i="55"/>
  <c r="BN26" s="1"/>
  <c r="CB22"/>
  <c r="CB21"/>
  <c r="C18" i="54"/>
  <c r="C22" s="1"/>
  <c r="D18"/>
  <c r="D22" s="1"/>
  <c r="E18"/>
  <c r="E22" s="1"/>
  <c r="F18"/>
  <c r="F22" s="1"/>
  <c r="G18"/>
  <c r="G22" s="1"/>
  <c r="H18"/>
  <c r="H22" s="1"/>
  <c r="I18"/>
  <c r="I22" s="1"/>
  <c r="J18"/>
  <c r="J22" s="1"/>
  <c r="K18"/>
  <c r="K22" s="1"/>
  <c r="M13" i="41"/>
  <c r="M12"/>
  <c r="J61" i="15"/>
  <c r="J58"/>
  <c r="S18" i="54" l="1"/>
  <c r="S22" s="1"/>
  <c r="Q22"/>
  <c r="S42" i="15"/>
  <c r="R18" i="54"/>
  <c r="R22" s="1"/>
  <c r="I103" i="18"/>
  <c r="I102"/>
  <c r="I101"/>
  <c r="I100"/>
  <c r="I99"/>
  <c r="I98"/>
  <c r="I97"/>
  <c r="I96"/>
  <c r="I107" l="1"/>
  <c r="I106"/>
  <c r="O20" i="14"/>
  <c r="N20"/>
  <c r="B103" i="18" l="1"/>
  <c r="B102"/>
  <c r="B101"/>
  <c r="B100"/>
  <c r="B99"/>
  <c r="B98"/>
  <c r="B97"/>
  <c r="B96"/>
  <c r="F21" i="44"/>
  <c r="E21"/>
  <c r="D21"/>
  <c r="B21"/>
  <c r="F20"/>
  <c r="E20"/>
  <c r="D20"/>
  <c r="B20"/>
  <c r="Q11" i="52"/>
  <c r="P11"/>
  <c r="O11"/>
  <c r="N11"/>
  <c r="M11"/>
  <c r="Q10"/>
  <c r="P10"/>
  <c r="C27" s="1"/>
  <c r="C21" i="18" s="1"/>
  <c r="O10" i="52"/>
  <c r="N10"/>
  <c r="M10"/>
  <c r="Q9"/>
  <c r="P9"/>
  <c r="O9"/>
  <c r="N9"/>
  <c r="M9"/>
  <c r="Q8"/>
  <c r="P8"/>
  <c r="C25" s="1"/>
  <c r="C19" i="18" s="1"/>
  <c r="O8" i="52"/>
  <c r="N8"/>
  <c r="M8"/>
  <c r="Q7"/>
  <c r="P7"/>
  <c r="O7"/>
  <c r="N7"/>
  <c r="M7"/>
  <c r="Q6"/>
  <c r="P6"/>
  <c r="V6" s="1"/>
  <c r="C23" s="1"/>
  <c r="C17" i="18" s="1"/>
  <c r="O6" i="52"/>
  <c r="N6"/>
  <c r="M6"/>
  <c r="B32"/>
  <c r="B21"/>
  <c r="B20"/>
  <c r="B19"/>
  <c r="B28"/>
  <c r="B27"/>
  <c r="B26"/>
  <c r="B25"/>
  <c r="B24"/>
  <c r="B23"/>
  <c r="G5"/>
  <c r="R5" s="1"/>
  <c r="F5"/>
  <c r="E5"/>
  <c r="K5" s="1"/>
  <c r="D5"/>
  <c r="C5"/>
  <c r="M5" s="1"/>
  <c r="V7" l="1"/>
  <c r="C24" s="1"/>
  <c r="V9"/>
  <c r="C26" s="1"/>
  <c r="C28"/>
  <c r="D23"/>
  <c r="E23" s="1"/>
  <c r="F23" s="1"/>
  <c r="G23" s="1"/>
  <c r="D25"/>
  <c r="E25" s="1"/>
  <c r="F25" s="1"/>
  <c r="D27"/>
  <c r="E27" s="1"/>
  <c r="F27" s="1"/>
  <c r="G27" s="1"/>
  <c r="G25"/>
  <c r="N5"/>
  <c r="I15" i="30"/>
  <c r="I18"/>
  <c r="I20"/>
  <c r="B107" i="18"/>
  <c r="B106"/>
  <c r="I16" i="30"/>
  <c r="I17"/>
  <c r="I19"/>
  <c r="S17" i="18"/>
  <c r="S20"/>
  <c r="S22"/>
  <c r="S16"/>
  <c r="O24"/>
  <c r="S18"/>
  <c r="S19"/>
  <c r="S21"/>
  <c r="P5" i="52"/>
  <c r="O5"/>
  <c r="K13"/>
  <c r="B30" s="1"/>
  <c r="B22"/>
  <c r="Q5"/>
  <c r="D22"/>
  <c r="E22" s="1"/>
  <c r="F22" s="1"/>
  <c r="H20" i="44"/>
  <c r="I20"/>
  <c r="H21"/>
  <c r="I21"/>
  <c r="AB20" i="14"/>
  <c r="AJ20"/>
  <c r="AI20"/>
  <c r="AK20"/>
  <c r="X20"/>
  <c r="W20"/>
  <c r="V20"/>
  <c r="Z20"/>
  <c r="AD20"/>
  <c r="AG20"/>
  <c r="AF20"/>
  <c r="C22" i="18" l="1"/>
  <c r="G20" i="30" s="1"/>
  <c r="K28" i="52"/>
  <c r="C18" i="18"/>
  <c r="G16" i="30" s="1"/>
  <c r="D24" i="52"/>
  <c r="E24" s="1"/>
  <c r="F24" s="1"/>
  <c r="G24" s="1"/>
  <c r="C20" i="18"/>
  <c r="C54" s="1"/>
  <c r="D26" i="52"/>
  <c r="E26" s="1"/>
  <c r="F26" s="1"/>
  <c r="G26" s="1"/>
  <c r="K27"/>
  <c r="K26"/>
  <c r="K25"/>
  <c r="K24"/>
  <c r="K23"/>
  <c r="G22"/>
  <c r="K22" s="1"/>
  <c r="C55" i="18"/>
  <c r="G19" i="30"/>
  <c r="M21" i="18"/>
  <c r="N21" s="1"/>
  <c r="T21" s="1"/>
  <c r="C53"/>
  <c r="G17" i="30"/>
  <c r="M19" i="18"/>
  <c r="N19" s="1"/>
  <c r="T19" s="1"/>
  <c r="C51"/>
  <c r="G15" i="30"/>
  <c r="M17" i="18"/>
  <c r="N17" s="1"/>
  <c r="T17" s="1"/>
  <c r="I74" i="30"/>
  <c r="I71"/>
  <c r="I72"/>
  <c r="I75"/>
  <c r="I152"/>
  <c r="I73"/>
  <c r="I70"/>
  <c r="S25" i="18"/>
  <c r="S26"/>
  <c r="F24"/>
  <c r="F25"/>
  <c r="F26"/>
  <c r="I14" i="30"/>
  <c r="S24" i="18"/>
  <c r="I26" i="41"/>
  <c r="H26"/>
  <c r="I11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24"/>
  <c r="E24"/>
  <c r="D24"/>
  <c r="C24"/>
  <c r="G23"/>
  <c r="E23"/>
  <c r="D23"/>
  <c r="C23"/>
  <c r="G22"/>
  <c r="E22"/>
  <c r="D22"/>
  <c r="C22"/>
  <c r="I9"/>
  <c r="G9"/>
  <c r="E13" i="40"/>
  <c r="E14"/>
  <c r="E15"/>
  <c r="D17"/>
  <c r="D17" i="18"/>
  <c r="D19"/>
  <c r="D21"/>
  <c r="E24" i="6"/>
  <c r="F22" i="30"/>
  <c r="E63" i="6"/>
  <c r="F46" i="30"/>
  <c r="F50" s="1"/>
  <c r="I34" i="15" s="1"/>
  <c r="H50"/>
  <c r="H51"/>
  <c r="H53"/>
  <c r="I53"/>
  <c r="I51"/>
  <c r="I50"/>
  <c r="P20" i="14"/>
  <c r="Q20"/>
  <c r="R20"/>
  <c r="S20"/>
  <c r="J44" i="30"/>
  <c r="I57" i="6" s="1"/>
  <c r="J43" i="30"/>
  <c r="I56" i="6" s="1"/>
  <c r="J42" i="30"/>
  <c r="I55" i="6" s="1"/>
  <c r="J41" i="30"/>
  <c r="I54" i="6" s="1"/>
  <c r="J40" i="30"/>
  <c r="I53" i="6" s="1"/>
  <c r="J38" i="30"/>
  <c r="I51" i="6" s="1"/>
  <c r="B6" i="2"/>
  <c r="A17" i="18"/>
  <c r="B122" i="2" s="1"/>
  <c r="A18" i="18"/>
  <c r="B123" i="2" s="1"/>
  <c r="A19" i="18"/>
  <c r="B124" i="2" s="1"/>
  <c r="A20" i="18"/>
  <c r="B18" i="30" s="1"/>
  <c r="A21" i="18"/>
  <c r="B126" i="2" s="1"/>
  <c r="A22" i="18"/>
  <c r="J39" i="30"/>
  <c r="I52" i="6" s="1"/>
  <c r="A16" i="18"/>
  <c r="B3" i="30"/>
  <c r="B58" s="1"/>
  <c r="B60"/>
  <c r="J22"/>
  <c r="F23"/>
  <c r="F24"/>
  <c r="F47"/>
  <c r="A6" i="18"/>
  <c r="A94"/>
  <c r="A73" s="1"/>
  <c r="Q21" i="14"/>
  <c r="P21"/>
  <c r="L3" i="15"/>
  <c r="B3" i="2"/>
  <c r="N3" s="1"/>
  <c r="A4" i="6"/>
  <c r="A39" s="1"/>
  <c r="A4" i="18"/>
  <c r="I24" i="6"/>
  <c r="E25"/>
  <c r="E26"/>
  <c r="G18" i="30" l="1"/>
  <c r="C56" i="18"/>
  <c r="D56" s="1"/>
  <c r="C52"/>
  <c r="M52" s="1"/>
  <c r="N52" s="1"/>
  <c r="M22"/>
  <c r="N22" s="1"/>
  <c r="T22" s="1"/>
  <c r="M18"/>
  <c r="N18" s="1"/>
  <c r="T18" s="1"/>
  <c r="D22"/>
  <c r="H22" s="1"/>
  <c r="D20"/>
  <c r="Y16" i="14" s="1"/>
  <c r="D18" i="18"/>
  <c r="H18" s="1"/>
  <c r="M20"/>
  <c r="N20" s="1"/>
  <c r="T20" s="1"/>
  <c r="H74" i="15"/>
  <c r="S28"/>
  <c r="B45" i="2"/>
  <c r="N45" s="1"/>
  <c r="N6"/>
  <c r="H75" i="15"/>
  <c r="E28" i="6"/>
  <c r="I97" i="30"/>
  <c r="I99"/>
  <c r="I94"/>
  <c r="I96"/>
  <c r="I98"/>
  <c r="I95"/>
  <c r="B48" i="6"/>
  <c r="C143" i="30"/>
  <c r="B121" i="2"/>
  <c r="B13" s="1"/>
  <c r="B20" i="30"/>
  <c r="B44" s="1"/>
  <c r="B75" s="1"/>
  <c r="B127" i="2"/>
  <c r="B125"/>
  <c r="B17" s="1"/>
  <c r="F26" i="30"/>
  <c r="I33" i="15" s="1"/>
  <c r="H78" s="1"/>
  <c r="Y18" i="14"/>
  <c r="Y14"/>
  <c r="Y17"/>
  <c r="Y15"/>
  <c r="A55" i="18"/>
  <c r="K55" s="1"/>
  <c r="A53"/>
  <c r="K53" s="1"/>
  <c r="A51"/>
  <c r="K51" s="1"/>
  <c r="B14" i="2"/>
  <c r="B14" i="30"/>
  <c r="B122" s="1"/>
  <c r="A56" i="18"/>
  <c r="K56" s="1"/>
  <c r="A54"/>
  <c r="K54" s="1"/>
  <c r="A52"/>
  <c r="K52" s="1"/>
  <c r="B19" i="30"/>
  <c r="B17"/>
  <c r="B41" s="1"/>
  <c r="B72" s="1"/>
  <c r="J53" i="15"/>
  <c r="J50"/>
  <c r="I55"/>
  <c r="A41" i="6"/>
  <c r="J51" i="15"/>
  <c r="B15" i="30"/>
  <c r="B123" s="1"/>
  <c r="K30" i="52"/>
  <c r="C50" i="18"/>
  <c r="D16"/>
  <c r="G14" i="30"/>
  <c r="M16" i="18"/>
  <c r="N16" s="1"/>
  <c r="G124" i="30"/>
  <c r="F18" i="6" s="1"/>
  <c r="G71" i="30"/>
  <c r="G126"/>
  <c r="F20" i="6" s="1"/>
  <c r="G73" i="30"/>
  <c r="G128"/>
  <c r="F22" i="6" s="1"/>
  <c r="G75" i="30"/>
  <c r="G125"/>
  <c r="F19" i="6" s="1"/>
  <c r="G72" i="30"/>
  <c r="G127"/>
  <c r="F21" i="6" s="1"/>
  <c r="G74" i="30"/>
  <c r="Q20" i="18"/>
  <c r="M54"/>
  <c r="N54" s="1"/>
  <c r="D54"/>
  <c r="R22"/>
  <c r="R19"/>
  <c r="Q19"/>
  <c r="M53"/>
  <c r="N53" s="1"/>
  <c r="D53"/>
  <c r="R21"/>
  <c r="Q21"/>
  <c r="M55"/>
  <c r="N55" s="1"/>
  <c r="D55"/>
  <c r="H16" i="30"/>
  <c r="H40" s="1"/>
  <c r="G53" i="6" s="1"/>
  <c r="H18" i="30"/>
  <c r="H42" s="1"/>
  <c r="G55" i="6" s="1"/>
  <c r="G40" i="30"/>
  <c r="G42"/>
  <c r="H21" i="18"/>
  <c r="R17"/>
  <c r="Q17"/>
  <c r="M51"/>
  <c r="N51" s="1"/>
  <c r="D51"/>
  <c r="G70" i="30"/>
  <c r="G123"/>
  <c r="F17" i="6" s="1"/>
  <c r="H19" i="18"/>
  <c r="H17"/>
  <c r="Y13" i="14"/>
  <c r="A96" i="18"/>
  <c r="A75" s="1"/>
  <c r="B16" i="30"/>
  <c r="B40" s="1"/>
  <c r="B71" s="1"/>
  <c r="B82" i="2"/>
  <c r="N82" s="1"/>
  <c r="B42"/>
  <c r="N42" s="1"/>
  <c r="B43" i="30"/>
  <c r="B74" s="1"/>
  <c r="B127"/>
  <c r="B39"/>
  <c r="B70" s="1"/>
  <c r="I69"/>
  <c r="B42"/>
  <c r="B73" s="1"/>
  <c r="B126"/>
  <c r="B113"/>
  <c r="B111"/>
  <c r="I178"/>
  <c r="I147"/>
  <c r="I181"/>
  <c r="I150"/>
  <c r="I180"/>
  <c r="I149"/>
  <c r="I179"/>
  <c r="I148"/>
  <c r="I182"/>
  <c r="I151"/>
  <c r="K4" i="18"/>
  <c r="A38"/>
  <c r="K38" s="1"/>
  <c r="A50"/>
  <c r="K50" s="1"/>
  <c r="K6"/>
  <c r="A40"/>
  <c r="K40" s="1"/>
  <c r="B85" i="2"/>
  <c r="N85" s="1"/>
  <c r="E65" i="6"/>
  <c r="E66"/>
  <c r="J34" i="15"/>
  <c r="K16" i="18"/>
  <c r="A101"/>
  <c r="A80" s="1"/>
  <c r="K21"/>
  <c r="A99"/>
  <c r="A78" s="1"/>
  <c r="K19"/>
  <c r="A98"/>
  <c r="A77" s="1"/>
  <c r="K18"/>
  <c r="A102"/>
  <c r="A81" s="1"/>
  <c r="K22"/>
  <c r="A100"/>
  <c r="A79" s="1"/>
  <c r="K20"/>
  <c r="A97"/>
  <c r="A76" s="1"/>
  <c r="K17"/>
  <c r="I24" i="41"/>
  <c r="H22"/>
  <c r="H23"/>
  <c r="I23"/>
  <c r="I22"/>
  <c r="K16" i="30"/>
  <c r="I18" i="18"/>
  <c r="I40" i="30"/>
  <c r="H53" i="6" s="1"/>
  <c r="G18" i="18"/>
  <c r="I17"/>
  <c r="I39" i="30"/>
  <c r="H52" i="6" s="1"/>
  <c r="G17" i="18"/>
  <c r="I16"/>
  <c r="I38" i="30"/>
  <c r="H51" i="6" s="1"/>
  <c r="I22" i="18"/>
  <c r="I44" i="30"/>
  <c r="H57" i="6" s="1"/>
  <c r="I20" i="18"/>
  <c r="I42" i="30"/>
  <c r="H55" i="6" s="1"/>
  <c r="G21" i="18"/>
  <c r="I21"/>
  <c r="I43" i="30"/>
  <c r="H56" i="6" s="1"/>
  <c r="I19" i="18"/>
  <c r="G19"/>
  <c r="E24"/>
  <c r="H24" i="41"/>
  <c r="K18" i="30"/>
  <c r="K126" s="1"/>
  <c r="J20" i="6" s="1"/>
  <c r="A103" i="18"/>
  <c r="A82" s="1"/>
  <c r="J46" i="30"/>
  <c r="E17" i="40"/>
  <c r="I59" i="6"/>
  <c r="K15" i="30"/>
  <c r="K123" s="1"/>
  <c r="J17" i="6" s="1"/>
  <c r="G39" i="30"/>
  <c r="H15"/>
  <c r="H39" s="1"/>
  <c r="G52" i="6" s="1"/>
  <c r="H55" i="15"/>
  <c r="J76" s="1"/>
  <c r="Q22" i="18" l="1"/>
  <c r="M56"/>
  <c r="N56" s="1"/>
  <c r="T56" s="1"/>
  <c r="N24"/>
  <c r="I35" i="15"/>
  <c r="D52" i="18"/>
  <c r="J52" s="1"/>
  <c r="B38" i="30"/>
  <c r="B69" s="1"/>
  <c r="B93" s="1"/>
  <c r="G22" i="18"/>
  <c r="R18"/>
  <c r="Q18"/>
  <c r="G20"/>
  <c r="R20"/>
  <c r="H20"/>
  <c r="B128" i="30"/>
  <c r="B152" s="1"/>
  <c r="E31" i="6"/>
  <c r="E30"/>
  <c r="B147" i="30"/>
  <c r="B178" s="1"/>
  <c r="B203" s="1"/>
  <c r="A17" i="6"/>
  <c r="A52" s="1"/>
  <c r="B146" i="30"/>
  <c r="B177" s="1"/>
  <c r="B202" s="1"/>
  <c r="A16" i="6"/>
  <c r="A51" s="1"/>
  <c r="B150" i="30"/>
  <c r="B181" s="1"/>
  <c r="B206" s="1"/>
  <c r="A20" i="6"/>
  <c r="A55" s="1"/>
  <c r="B151" i="30"/>
  <c r="B182" s="1"/>
  <c r="B207" s="1"/>
  <c r="A21" i="6"/>
  <c r="A56" s="1"/>
  <c r="S27" i="15"/>
  <c r="H33"/>
  <c r="J33" s="1"/>
  <c r="J35" s="1"/>
  <c r="J74" s="1"/>
  <c r="K39" i="30"/>
  <c r="F52" i="6"/>
  <c r="K40" i="30"/>
  <c r="F53" i="6"/>
  <c r="B52" i="2"/>
  <c r="N13"/>
  <c r="N52" s="1"/>
  <c r="K42" i="30"/>
  <c r="F55" i="6"/>
  <c r="B53" i="2"/>
  <c r="N14"/>
  <c r="N53" s="1"/>
  <c r="B56"/>
  <c r="N17"/>
  <c r="N56" s="1"/>
  <c r="B98" i="30"/>
  <c r="B125"/>
  <c r="B97"/>
  <c r="B99"/>
  <c r="B94"/>
  <c r="B95"/>
  <c r="B96"/>
  <c r="I93"/>
  <c r="I101" s="1"/>
  <c r="D25" i="18"/>
  <c r="J55" i="15"/>
  <c r="B19" i="2"/>
  <c r="D24" i="18"/>
  <c r="B16" i="2"/>
  <c r="D26" i="18"/>
  <c r="B124" i="30"/>
  <c r="B15" i="2"/>
  <c r="B18"/>
  <c r="N25" i="18"/>
  <c r="N26"/>
  <c r="R16"/>
  <c r="Q16"/>
  <c r="T16"/>
  <c r="Y12" i="14"/>
  <c r="Y20" s="1"/>
  <c r="G16" i="18"/>
  <c r="H16"/>
  <c r="G122" i="30"/>
  <c r="F16" i="6" s="1"/>
  <c r="G69" i="30"/>
  <c r="K14"/>
  <c r="H14"/>
  <c r="H38" s="1"/>
  <c r="G51" i="6" s="1"/>
  <c r="G38" i="30"/>
  <c r="M50" i="18"/>
  <c r="N50" s="1"/>
  <c r="D50"/>
  <c r="D59" s="1"/>
  <c r="H55"/>
  <c r="G55"/>
  <c r="J55"/>
  <c r="T21" i="15" s="1"/>
  <c r="H53" i="18"/>
  <c r="G53"/>
  <c r="J53"/>
  <c r="H56"/>
  <c r="G56"/>
  <c r="J56"/>
  <c r="R21" i="15" s="1"/>
  <c r="H54" i="18"/>
  <c r="G54"/>
  <c r="J54"/>
  <c r="H74" i="30"/>
  <c r="G98"/>
  <c r="K98" s="1"/>
  <c r="L98" s="1"/>
  <c r="M98" s="1"/>
  <c r="N98" s="1"/>
  <c r="O98" s="1"/>
  <c r="P98" s="1"/>
  <c r="Q98" s="1"/>
  <c r="D98" s="1"/>
  <c r="E98" s="1"/>
  <c r="K74"/>
  <c r="H72"/>
  <c r="G96"/>
  <c r="K96" s="1"/>
  <c r="L96" s="1"/>
  <c r="M96" s="1"/>
  <c r="N96" s="1"/>
  <c r="O96" s="1"/>
  <c r="P96" s="1"/>
  <c r="Q96" s="1"/>
  <c r="D96" s="1"/>
  <c r="E96" s="1"/>
  <c r="K72"/>
  <c r="G99"/>
  <c r="K99" s="1"/>
  <c r="L99" s="1"/>
  <c r="M99" s="1"/>
  <c r="N99" s="1"/>
  <c r="O99" s="1"/>
  <c r="P99" s="1"/>
  <c r="Q99" s="1"/>
  <c r="D99" s="1"/>
  <c r="E99" s="1"/>
  <c r="H75"/>
  <c r="K75"/>
  <c r="G97"/>
  <c r="K97" s="1"/>
  <c r="L97" s="1"/>
  <c r="M97" s="1"/>
  <c r="N97" s="1"/>
  <c r="O97" s="1"/>
  <c r="P97" s="1"/>
  <c r="Q97" s="1"/>
  <c r="D97" s="1"/>
  <c r="E97" s="1"/>
  <c r="H73"/>
  <c r="K73"/>
  <c r="H71"/>
  <c r="G95"/>
  <c r="K95" s="1"/>
  <c r="L95" s="1"/>
  <c r="M95" s="1"/>
  <c r="N95" s="1"/>
  <c r="O95" s="1"/>
  <c r="P95" s="1"/>
  <c r="Q95" s="1"/>
  <c r="D95" s="1"/>
  <c r="E95" s="1"/>
  <c r="K71"/>
  <c r="R55" i="18"/>
  <c r="T17" i="15" s="1"/>
  <c r="Q55" i="18"/>
  <c r="T55"/>
  <c r="R53"/>
  <c r="Q53"/>
  <c r="T53"/>
  <c r="R54"/>
  <c r="Q54"/>
  <c r="R13" i="15" s="1"/>
  <c r="T54" i="18"/>
  <c r="R52"/>
  <c r="Q52"/>
  <c r="T52"/>
  <c r="G182" i="30"/>
  <c r="G151"/>
  <c r="K151" s="1"/>
  <c r="L151" s="1"/>
  <c r="M151" s="1"/>
  <c r="N151" s="1"/>
  <c r="O151" s="1"/>
  <c r="P151" s="1"/>
  <c r="Q151" s="1"/>
  <c r="D151" s="1"/>
  <c r="E151" s="1"/>
  <c r="H127"/>
  <c r="G149"/>
  <c r="K149" s="1"/>
  <c r="L149" s="1"/>
  <c r="M149" s="1"/>
  <c r="N149" s="1"/>
  <c r="O149" s="1"/>
  <c r="P149" s="1"/>
  <c r="Q149" s="1"/>
  <c r="D149" s="1"/>
  <c r="E149" s="1"/>
  <c r="H125"/>
  <c r="G180"/>
  <c r="G152"/>
  <c r="K152" s="1"/>
  <c r="L152" s="1"/>
  <c r="M152" s="1"/>
  <c r="N152" s="1"/>
  <c r="O152" s="1"/>
  <c r="P152" s="1"/>
  <c r="Q152" s="1"/>
  <c r="D152" s="1"/>
  <c r="E152" s="1"/>
  <c r="H128"/>
  <c r="G181"/>
  <c r="G150"/>
  <c r="K150" s="1"/>
  <c r="L150" s="1"/>
  <c r="M150" s="1"/>
  <c r="N150" s="1"/>
  <c r="O150" s="1"/>
  <c r="P150" s="1"/>
  <c r="Q150" s="1"/>
  <c r="D150" s="1"/>
  <c r="E150" s="1"/>
  <c r="H126"/>
  <c r="G179"/>
  <c r="G148"/>
  <c r="K148" s="1"/>
  <c r="L148" s="1"/>
  <c r="M148" s="1"/>
  <c r="N148" s="1"/>
  <c r="O148" s="1"/>
  <c r="P148" s="1"/>
  <c r="Q148" s="1"/>
  <c r="D148" s="1"/>
  <c r="E148" s="1"/>
  <c r="H124"/>
  <c r="H70"/>
  <c r="G94"/>
  <c r="K94" s="1"/>
  <c r="L94" s="1"/>
  <c r="M94" s="1"/>
  <c r="N94" s="1"/>
  <c r="O94" s="1"/>
  <c r="P94" s="1"/>
  <c r="Q94" s="1"/>
  <c r="D94" s="1"/>
  <c r="E94" s="1"/>
  <c r="K70"/>
  <c r="H51" i="18"/>
  <c r="G51"/>
  <c r="J51"/>
  <c r="G178" i="30"/>
  <c r="G147"/>
  <c r="K147" s="1"/>
  <c r="L147" s="1"/>
  <c r="M147" s="1"/>
  <c r="N147" s="1"/>
  <c r="O147" s="1"/>
  <c r="P147" s="1"/>
  <c r="Q147" s="1"/>
  <c r="D147" s="1"/>
  <c r="E147" s="1"/>
  <c r="H123"/>
  <c r="G17" i="6" s="1"/>
  <c r="R51" i="18"/>
  <c r="R17" i="15" s="1"/>
  <c r="Q51" i="18"/>
  <c r="T51"/>
  <c r="R22" i="15" s="1"/>
  <c r="I77" i="30"/>
  <c r="J19" i="18"/>
  <c r="J22"/>
  <c r="J17"/>
  <c r="J18"/>
  <c r="J21"/>
  <c r="J20"/>
  <c r="J16"/>
  <c r="L16" i="30"/>
  <c r="K124"/>
  <c r="J18" i="6" s="1"/>
  <c r="I207" i="30"/>
  <c r="I204"/>
  <c r="I205"/>
  <c r="I206"/>
  <c r="I203"/>
  <c r="B164"/>
  <c r="B166"/>
  <c r="I177"/>
  <c r="I146"/>
  <c r="I130"/>
  <c r="I26" i="18"/>
  <c r="I25"/>
  <c r="L18" i="30"/>
  <c r="I41"/>
  <c r="I22"/>
  <c r="G44"/>
  <c r="F57" i="6" s="1"/>
  <c r="K20" i="30"/>
  <c r="K128" s="1"/>
  <c r="J22" i="6" s="1"/>
  <c r="H20" i="30"/>
  <c r="H44" s="1"/>
  <c r="G57" i="6" s="1"/>
  <c r="L15" i="30"/>
  <c r="I24" i="18"/>
  <c r="G43" i="30"/>
  <c r="K19"/>
  <c r="K127" s="1"/>
  <c r="J21" i="6" s="1"/>
  <c r="H19" i="30"/>
  <c r="H43" s="1"/>
  <c r="G56" i="6" s="1"/>
  <c r="H24"/>
  <c r="G41" i="30"/>
  <c r="K17"/>
  <c r="K125" s="1"/>
  <c r="J19" i="6" s="1"/>
  <c r="H17" i="30"/>
  <c r="H41" s="1"/>
  <c r="G54" i="6" s="1"/>
  <c r="H24" i="18" l="1"/>
  <c r="H28" s="1"/>
  <c r="R56"/>
  <c r="H52"/>
  <c r="Q26"/>
  <c r="A22" i="6"/>
  <c r="A57" s="1"/>
  <c r="Q56" i="18"/>
  <c r="G52"/>
  <c r="N60"/>
  <c r="R26"/>
  <c r="G25"/>
  <c r="Q24"/>
  <c r="Q28" s="1"/>
  <c r="H148" i="30"/>
  <c r="G18" i="6"/>
  <c r="H150" i="30"/>
  <c r="G20" i="6"/>
  <c r="H149" i="30"/>
  <c r="G19" i="6"/>
  <c r="H151" i="30"/>
  <c r="G21" i="6"/>
  <c r="H152" i="30"/>
  <c r="G22" i="6"/>
  <c r="B148" i="30"/>
  <c r="B179" s="1"/>
  <c r="B204" s="1"/>
  <c r="A18" i="6"/>
  <c r="A53" s="1"/>
  <c r="B149" i="30"/>
  <c r="B180" s="1"/>
  <c r="B205" s="1"/>
  <c r="A19" i="6"/>
  <c r="A54" s="1"/>
  <c r="R57" i="15"/>
  <c r="T64" s="1"/>
  <c r="R56"/>
  <c r="R55"/>
  <c r="T63" s="1"/>
  <c r="Q27"/>
  <c r="H35"/>
  <c r="G59" i="6"/>
  <c r="K41" i="30"/>
  <c r="F54" i="6"/>
  <c r="K43" i="30"/>
  <c r="F56" i="6"/>
  <c r="L70" i="30"/>
  <c r="L71"/>
  <c r="H95"/>
  <c r="H97"/>
  <c r="L75"/>
  <c r="L74"/>
  <c r="H98"/>
  <c r="B57" i="2"/>
  <c r="N18"/>
  <c r="N57" s="1"/>
  <c r="B55"/>
  <c r="N16"/>
  <c r="N55" s="1"/>
  <c r="L42" i="30"/>
  <c r="J55" i="6"/>
  <c r="L40" i="30"/>
  <c r="J53" i="6"/>
  <c r="L39" i="30"/>
  <c r="J52" i="6"/>
  <c r="L73" i="30"/>
  <c r="H99"/>
  <c r="L72"/>
  <c r="H96"/>
  <c r="K38"/>
  <c r="J51" i="6" s="1"/>
  <c r="F51"/>
  <c r="B54" i="2"/>
  <c r="N15"/>
  <c r="N54" s="1"/>
  <c r="B58"/>
  <c r="N19"/>
  <c r="N58" s="1"/>
  <c r="I46" i="30"/>
  <c r="H54" i="6"/>
  <c r="H59" s="1"/>
  <c r="G26" i="18"/>
  <c r="N59"/>
  <c r="R25"/>
  <c r="G24"/>
  <c r="G28" s="1"/>
  <c r="G31" s="1"/>
  <c r="D58"/>
  <c r="J50"/>
  <c r="J59" s="1"/>
  <c r="N58"/>
  <c r="R24"/>
  <c r="R28" s="1"/>
  <c r="D60"/>
  <c r="Q25"/>
  <c r="H25"/>
  <c r="H26"/>
  <c r="H50"/>
  <c r="H58" s="1"/>
  <c r="G50"/>
  <c r="G58" s="1"/>
  <c r="K122" i="30"/>
  <c r="J16" i="6" s="1"/>
  <c r="L14" i="30"/>
  <c r="G177"/>
  <c r="G146"/>
  <c r="K146" s="1"/>
  <c r="L146" s="1"/>
  <c r="M146" s="1"/>
  <c r="N146" s="1"/>
  <c r="O146" s="1"/>
  <c r="P146" s="1"/>
  <c r="H122"/>
  <c r="T25" i="18"/>
  <c r="T26"/>
  <c r="T24"/>
  <c r="R50"/>
  <c r="Q50"/>
  <c r="T50"/>
  <c r="H69" i="30"/>
  <c r="G93"/>
  <c r="K93" s="1"/>
  <c r="L93" s="1"/>
  <c r="M93" s="1"/>
  <c r="N93" s="1"/>
  <c r="O93" s="1"/>
  <c r="P93" s="1"/>
  <c r="Q93" s="1"/>
  <c r="D93" s="1"/>
  <c r="E93" s="1"/>
  <c r="K69"/>
  <c r="G205"/>
  <c r="K205" s="1"/>
  <c r="L205" s="1"/>
  <c r="M205" s="1"/>
  <c r="N205" s="1"/>
  <c r="O205" s="1"/>
  <c r="P205" s="1"/>
  <c r="H180"/>
  <c r="H205" s="1"/>
  <c r="K180"/>
  <c r="L180" s="1"/>
  <c r="M180" s="1"/>
  <c r="N180" s="1"/>
  <c r="O180" s="1"/>
  <c r="P180" s="1"/>
  <c r="Q180" s="1"/>
  <c r="D180" s="1"/>
  <c r="E180" s="1"/>
  <c r="H182"/>
  <c r="H207" s="1"/>
  <c r="G207"/>
  <c r="K207" s="1"/>
  <c r="L207" s="1"/>
  <c r="M207" s="1"/>
  <c r="N207" s="1"/>
  <c r="O207" s="1"/>
  <c r="P207" s="1"/>
  <c r="Q207" s="1"/>
  <c r="D207" s="1"/>
  <c r="E207" s="1"/>
  <c r="K182"/>
  <c r="L182" s="1"/>
  <c r="M182" s="1"/>
  <c r="N182" s="1"/>
  <c r="O182" s="1"/>
  <c r="P182" s="1"/>
  <c r="Q182" s="1"/>
  <c r="D182" s="1"/>
  <c r="E182" s="1"/>
  <c r="H179"/>
  <c r="H204" s="1"/>
  <c r="G204"/>
  <c r="K204" s="1"/>
  <c r="L204" s="1"/>
  <c r="M204" s="1"/>
  <c r="N204" s="1"/>
  <c r="O204" s="1"/>
  <c r="P204" s="1"/>
  <c r="Q204" s="1"/>
  <c r="D204" s="1"/>
  <c r="E204" s="1"/>
  <c r="K179"/>
  <c r="L179" s="1"/>
  <c r="M179" s="1"/>
  <c r="N179" s="1"/>
  <c r="O179" s="1"/>
  <c r="P179" s="1"/>
  <c r="Q179" s="1"/>
  <c r="D179" s="1"/>
  <c r="E179" s="1"/>
  <c r="G206"/>
  <c r="K206" s="1"/>
  <c r="L206" s="1"/>
  <c r="M206" s="1"/>
  <c r="N206" s="1"/>
  <c r="O206" s="1"/>
  <c r="P206" s="1"/>
  <c r="Q206" s="1"/>
  <c r="D206" s="1"/>
  <c r="E206" s="1"/>
  <c r="H181"/>
  <c r="H206" s="1"/>
  <c r="K181"/>
  <c r="L181" s="1"/>
  <c r="M181" s="1"/>
  <c r="N181" s="1"/>
  <c r="O181" s="1"/>
  <c r="P181" s="1"/>
  <c r="Q181" s="1"/>
  <c r="D181" s="1"/>
  <c r="E181" s="1"/>
  <c r="Q205"/>
  <c r="D205" s="1"/>
  <c r="E205" s="1"/>
  <c r="H94"/>
  <c r="H147"/>
  <c r="H178"/>
  <c r="H203" s="1"/>
  <c r="G203"/>
  <c r="K203" s="1"/>
  <c r="L203" s="1"/>
  <c r="M203" s="1"/>
  <c r="N203" s="1"/>
  <c r="O203" s="1"/>
  <c r="P203" s="1"/>
  <c r="Q203" s="1"/>
  <c r="D203" s="1"/>
  <c r="E203" s="1"/>
  <c r="K178"/>
  <c r="L178" s="1"/>
  <c r="M178" s="1"/>
  <c r="N178" s="1"/>
  <c r="O178" s="1"/>
  <c r="P178" s="1"/>
  <c r="Q178" s="1"/>
  <c r="D178" s="1"/>
  <c r="E178" s="1"/>
  <c r="J58" i="18"/>
  <c r="I26" i="15"/>
  <c r="J26" s="1"/>
  <c r="H35" i="44"/>
  <c r="O19" i="2" s="1"/>
  <c r="I35" i="44"/>
  <c r="J24" i="18"/>
  <c r="M15" i="30"/>
  <c r="L123"/>
  <c r="K17" i="6" s="1"/>
  <c r="I202" i="30"/>
  <c r="I184"/>
  <c r="M16"/>
  <c r="L124"/>
  <c r="K18" i="6" s="1"/>
  <c r="M18" i="30"/>
  <c r="L126"/>
  <c r="K20" i="6" s="1"/>
  <c r="I154" i="30"/>
  <c r="Q146"/>
  <c r="D146" s="1"/>
  <c r="E146" s="1"/>
  <c r="I27" i="15"/>
  <c r="I15"/>
  <c r="K44" i="30"/>
  <c r="J72" i="15"/>
  <c r="J71"/>
  <c r="I21"/>
  <c r="J21" s="1"/>
  <c r="L20" i="30"/>
  <c r="L17"/>
  <c r="L19"/>
  <c r="H46"/>
  <c r="H22"/>
  <c r="J25" i="18"/>
  <c r="J26"/>
  <c r="I19" i="15"/>
  <c r="I20"/>
  <c r="J20" s="1"/>
  <c r="I25"/>
  <c r="H25" l="1"/>
  <c r="H28" s="1"/>
  <c r="Q31" i="18"/>
  <c r="R60"/>
  <c r="G30"/>
  <c r="R30"/>
  <c r="L38" i="30"/>
  <c r="K51" i="6" s="1"/>
  <c r="H19" i="15"/>
  <c r="Q30" i="18"/>
  <c r="H146" i="30"/>
  <c r="G16" i="6"/>
  <c r="G24" s="1"/>
  <c r="R19" i="2"/>
  <c r="T19" s="1"/>
  <c r="W19" s="1"/>
  <c r="O58"/>
  <c r="H154" i="30"/>
  <c r="L44"/>
  <c r="J57" i="6"/>
  <c r="M72" i="30"/>
  <c r="M73"/>
  <c r="M39"/>
  <c r="K52" i="6"/>
  <c r="M40" i="30"/>
  <c r="K53" i="6"/>
  <c r="M42" i="30"/>
  <c r="K55" i="6"/>
  <c r="M74" i="30"/>
  <c r="M75"/>
  <c r="M71"/>
  <c r="M70"/>
  <c r="L43"/>
  <c r="J56" i="6"/>
  <c r="L41" i="30"/>
  <c r="J54" i="6"/>
  <c r="H93" i="30"/>
  <c r="H101" s="1"/>
  <c r="L69"/>
  <c r="H59" i="18"/>
  <c r="R59"/>
  <c r="T59"/>
  <c r="T22" i="15"/>
  <c r="H77" i="30"/>
  <c r="G59" i="18"/>
  <c r="Q59"/>
  <c r="T13" i="15"/>
  <c r="H60" i="18"/>
  <c r="G60"/>
  <c r="H130" i="30"/>
  <c r="T70" i="18"/>
  <c r="R31"/>
  <c r="T60"/>
  <c r="T71"/>
  <c r="H30"/>
  <c r="H31"/>
  <c r="J60"/>
  <c r="R58"/>
  <c r="R62" s="1"/>
  <c r="T58"/>
  <c r="T62" s="1"/>
  <c r="S22" i="15" s="1"/>
  <c r="S55" s="1"/>
  <c r="Q58" i="18"/>
  <c r="Q60"/>
  <c r="T28"/>
  <c r="G202" i="30"/>
  <c r="K202" s="1"/>
  <c r="L202" s="1"/>
  <c r="M202" s="1"/>
  <c r="N202" s="1"/>
  <c r="O202" s="1"/>
  <c r="P202" s="1"/>
  <c r="Q202" s="1"/>
  <c r="D202" s="1"/>
  <c r="E202" s="1"/>
  <c r="H177"/>
  <c r="H202" s="1"/>
  <c r="K177"/>
  <c r="L177" s="1"/>
  <c r="M177" s="1"/>
  <c r="N177" s="1"/>
  <c r="O177" s="1"/>
  <c r="P177" s="1"/>
  <c r="Q177" s="1"/>
  <c r="D177" s="1"/>
  <c r="E177" s="1"/>
  <c r="L122"/>
  <c r="K16" i="6" s="1"/>
  <c r="M14" i="30"/>
  <c r="J62" i="18"/>
  <c r="H62"/>
  <c r="G62"/>
  <c r="J15" i="15"/>
  <c r="J73" s="1"/>
  <c r="M19" i="30"/>
  <c r="L127"/>
  <c r="K21" i="6" s="1"/>
  <c r="I209" i="30"/>
  <c r="N15"/>
  <c r="M123"/>
  <c r="L17" i="6" s="1"/>
  <c r="M17" i="30"/>
  <c r="L125"/>
  <c r="K19" i="6" s="1"/>
  <c r="M20" i="30"/>
  <c r="L128"/>
  <c r="K22" i="6" s="1"/>
  <c r="N18" i="30"/>
  <c r="M126"/>
  <c r="L20" i="6" s="1"/>
  <c r="N16" i="30"/>
  <c r="M124"/>
  <c r="L18" i="6" s="1"/>
  <c r="J27" i="15"/>
  <c r="J28" i="18"/>
  <c r="H69" i="15" s="1"/>
  <c r="H22"/>
  <c r="I28"/>
  <c r="J25"/>
  <c r="J28" s="1"/>
  <c r="I22"/>
  <c r="J19"/>
  <c r="J22" s="1"/>
  <c r="M38" i="30" l="1"/>
  <c r="L51" i="6" s="1"/>
  <c r="S57" i="15"/>
  <c r="U64" s="1"/>
  <c r="S56"/>
  <c r="O98" i="2"/>
  <c r="R98" s="1"/>
  <c r="U98" s="1"/>
  <c r="R58"/>
  <c r="T58" s="1"/>
  <c r="W58" s="1"/>
  <c r="T57" i="15"/>
  <c r="V64" s="1"/>
  <c r="T56"/>
  <c r="T55"/>
  <c r="U63"/>
  <c r="M41" i="30"/>
  <c r="K54" i="6"/>
  <c r="M43" i="30"/>
  <c r="K56" i="6"/>
  <c r="N70" i="30"/>
  <c r="N71"/>
  <c r="N75"/>
  <c r="N74"/>
  <c r="N42"/>
  <c r="L55" i="6"/>
  <c r="N40" i="30"/>
  <c r="L53" i="6"/>
  <c r="N39" i="30"/>
  <c r="L52" i="6"/>
  <c r="N73" i="30"/>
  <c r="N72"/>
  <c r="M44"/>
  <c r="K57" i="6"/>
  <c r="M69" i="30"/>
  <c r="V63" i="15"/>
  <c r="Z55"/>
  <c r="S21"/>
  <c r="S53" s="1"/>
  <c r="Q21"/>
  <c r="Q17"/>
  <c r="S17"/>
  <c r="Q22"/>
  <c r="Q13"/>
  <c r="Q62" i="18"/>
  <c r="N14" i="30"/>
  <c r="M122"/>
  <c r="L16" i="6" s="1"/>
  <c r="H70" i="15"/>
  <c r="T30" i="18"/>
  <c r="H14" i="15"/>
  <c r="T31" i="18"/>
  <c r="G64"/>
  <c r="G65"/>
  <c r="R65"/>
  <c r="R64"/>
  <c r="H65"/>
  <c r="H64"/>
  <c r="J65"/>
  <c r="J64"/>
  <c r="T73"/>
  <c r="T65"/>
  <c r="T74"/>
  <c r="T64"/>
  <c r="H34" i="44"/>
  <c r="O18" i="2" s="1"/>
  <c r="I34" i="44"/>
  <c r="O15" i="30"/>
  <c r="N123"/>
  <c r="M17" i="6" s="1"/>
  <c r="N19" i="30"/>
  <c r="M127"/>
  <c r="L21" i="6" s="1"/>
  <c r="O16" i="30"/>
  <c r="N124"/>
  <c r="M18" i="6" s="1"/>
  <c r="O18" i="30"/>
  <c r="N126"/>
  <c r="M20" i="6" s="1"/>
  <c r="N20" i="30"/>
  <c r="M128"/>
  <c r="L22" i="6" s="1"/>
  <c r="N17" i="30"/>
  <c r="M125"/>
  <c r="L19" i="6" s="1"/>
  <c r="J30" i="18"/>
  <c r="J31"/>
  <c r="H13" i="15"/>
  <c r="I14"/>
  <c r="I13"/>
  <c r="N38" i="30" l="1"/>
  <c r="O38" s="1"/>
  <c r="R18" i="2"/>
  <c r="T18" s="1"/>
  <c r="W18" s="1"/>
  <c r="O57"/>
  <c r="S54" i="15"/>
  <c r="O73" i="30"/>
  <c r="O40"/>
  <c r="M53" i="6"/>
  <c r="O72" i="30"/>
  <c r="O39"/>
  <c r="M52" i="6"/>
  <c r="O42" i="30"/>
  <c r="M55" i="6"/>
  <c r="O75" i="30"/>
  <c r="O70"/>
  <c r="N43"/>
  <c r="L56" i="6"/>
  <c r="N41" i="30"/>
  <c r="L54" i="6"/>
  <c r="N44" i="30"/>
  <c r="L57" i="6"/>
  <c r="O74" i="30"/>
  <c r="O71"/>
  <c r="N69"/>
  <c r="Q64" i="18"/>
  <c r="S13" i="15"/>
  <c r="Q65" i="18"/>
  <c r="O14" i="30"/>
  <c r="N122"/>
  <c r="M16" i="6" s="1"/>
  <c r="J70" i="15"/>
  <c r="O17" i="30"/>
  <c r="N125"/>
  <c r="M19" i="6" s="1"/>
  <c r="O20" i="30"/>
  <c r="N128"/>
  <c r="M22" i="6" s="1"/>
  <c r="P18" i="30"/>
  <c r="O126"/>
  <c r="P16"/>
  <c r="Q16" s="1"/>
  <c r="D16" s="1"/>
  <c r="E16" s="1"/>
  <c r="O124"/>
  <c r="O19"/>
  <c r="N127"/>
  <c r="M21" i="6" s="1"/>
  <c r="P15" i="30"/>
  <c r="O123"/>
  <c r="J69" i="15"/>
  <c r="H16"/>
  <c r="I16"/>
  <c r="J14"/>
  <c r="J13"/>
  <c r="M51" i="6" l="1"/>
  <c r="P123" i="30"/>
  <c r="N17" i="6"/>
  <c r="P124" i="30"/>
  <c r="N18" i="6"/>
  <c r="P126" i="30"/>
  <c r="N20" i="6"/>
  <c r="O97" i="2"/>
  <c r="R97" s="1"/>
  <c r="U97" s="1"/>
  <c r="R57"/>
  <c r="T57" s="1"/>
  <c r="W57" s="1"/>
  <c r="P71" i="30"/>
  <c r="P74"/>
  <c r="O44"/>
  <c r="M57" i="6"/>
  <c r="O43" i="30"/>
  <c r="M56" i="6"/>
  <c r="P70" i="30"/>
  <c r="P75"/>
  <c r="P42"/>
  <c r="N55" i="6"/>
  <c r="P39" i="30"/>
  <c r="N52" i="6"/>
  <c r="P72" i="30"/>
  <c r="P40"/>
  <c r="N53" i="6"/>
  <c r="P73" i="30"/>
  <c r="O41"/>
  <c r="M54" i="6"/>
  <c r="P38" i="30"/>
  <c r="N51" i="6"/>
  <c r="O69" i="30"/>
  <c r="O122"/>
  <c r="P14"/>
  <c r="Q14" s="1"/>
  <c r="D14" s="1"/>
  <c r="E14" s="1"/>
  <c r="H33" i="44"/>
  <c r="O17" i="2" s="1"/>
  <c r="I33" i="44"/>
  <c r="Q15" i="30"/>
  <c r="D15" s="1"/>
  <c r="E15" s="1"/>
  <c r="P19"/>
  <c r="O127"/>
  <c r="Q18"/>
  <c r="D18" s="1"/>
  <c r="E18" s="1"/>
  <c r="P20"/>
  <c r="O128"/>
  <c r="P17"/>
  <c r="O125"/>
  <c r="J16" i="15"/>
  <c r="P128" i="30" l="1"/>
  <c r="N22" i="6"/>
  <c r="Q126" i="30"/>
  <c r="O20" i="6"/>
  <c r="Q124" i="30"/>
  <c r="O18" i="6"/>
  <c r="Q123" i="30"/>
  <c r="O17" i="6"/>
  <c r="P125" i="30"/>
  <c r="N19" i="6"/>
  <c r="P127" i="30"/>
  <c r="N21" i="6"/>
  <c r="P122" i="30"/>
  <c r="N16" i="6"/>
  <c r="R17" i="2"/>
  <c r="T17" s="1"/>
  <c r="W17" s="1"/>
  <c r="O56"/>
  <c r="Q73" i="30"/>
  <c r="Q72"/>
  <c r="O55" i="6"/>
  <c r="Q42" i="30"/>
  <c r="Q70"/>
  <c r="P43"/>
  <c r="N56" i="6"/>
  <c r="P44" i="30"/>
  <c r="N57" i="6"/>
  <c r="Q71" i="30"/>
  <c r="P41"/>
  <c r="N54" i="6"/>
  <c r="O53"/>
  <c r="Q40" i="30"/>
  <c r="O52" i="6"/>
  <c r="Q39" i="30"/>
  <c r="Q75"/>
  <c r="Q74"/>
  <c r="P69"/>
  <c r="Q38"/>
  <c r="O51" i="6"/>
  <c r="Q17" i="30"/>
  <c r="D17" s="1"/>
  <c r="E17" s="1"/>
  <c r="Q20"/>
  <c r="D20" s="1"/>
  <c r="E20" s="1"/>
  <c r="Q19"/>
  <c r="D19" s="1"/>
  <c r="E19" s="1"/>
  <c r="I41" i="15"/>
  <c r="Q122" i="30" l="1"/>
  <c r="O16" i="6"/>
  <c r="Q127" i="30"/>
  <c r="O21" i="6"/>
  <c r="Q125" i="30"/>
  <c r="O19" i="6"/>
  <c r="P17"/>
  <c r="C17" s="1"/>
  <c r="D17" s="1"/>
  <c r="D123" i="30"/>
  <c r="E123" s="1"/>
  <c r="P18" i="6"/>
  <c r="C18" s="1"/>
  <c r="D18" s="1"/>
  <c r="D124" i="30"/>
  <c r="E124" s="1"/>
  <c r="P20" i="6"/>
  <c r="C20" s="1"/>
  <c r="D20" s="1"/>
  <c r="D126" i="30"/>
  <c r="E126" s="1"/>
  <c r="Q128"/>
  <c r="O22" i="6"/>
  <c r="O96" i="2"/>
  <c r="R96" s="1"/>
  <c r="U96" s="1"/>
  <c r="R56"/>
  <c r="T56" s="1"/>
  <c r="W56" s="1"/>
  <c r="P52" i="6"/>
  <c r="C52" s="1"/>
  <c r="D52" s="1"/>
  <c r="D39" i="30"/>
  <c r="E39" s="1"/>
  <c r="P53" i="6"/>
  <c r="C53" s="1"/>
  <c r="D53" s="1"/>
  <c r="D40" i="30"/>
  <c r="E40" s="1"/>
  <c r="O54" i="6"/>
  <c r="Q41" i="30"/>
  <c r="D71"/>
  <c r="E71" s="1"/>
  <c r="O56" i="6"/>
  <c r="Q43" i="30"/>
  <c r="D70"/>
  <c r="E70" s="1"/>
  <c r="D72"/>
  <c r="E72" s="1"/>
  <c r="D73"/>
  <c r="E73" s="1"/>
  <c r="D74"/>
  <c r="E74" s="1"/>
  <c r="D75"/>
  <c r="E75" s="1"/>
  <c r="Q44"/>
  <c r="O57" i="6"/>
  <c r="P55"/>
  <c r="C55" s="1"/>
  <c r="D55" s="1"/>
  <c r="D42" i="30"/>
  <c r="E42" s="1"/>
  <c r="P51" i="6"/>
  <c r="D38" i="30"/>
  <c r="E38" s="1"/>
  <c r="Q69"/>
  <c r="H32" i="44"/>
  <c r="O16" i="2" s="1"/>
  <c r="I32" i="44"/>
  <c r="J41" i="15"/>
  <c r="I78"/>
  <c r="I40"/>
  <c r="J40" s="1"/>
  <c r="I39"/>
  <c r="P22" i="6" l="1"/>
  <c r="C22" s="1"/>
  <c r="D22" s="1"/>
  <c r="D128" i="30"/>
  <c r="E128" s="1"/>
  <c r="P19" i="6"/>
  <c r="C19" s="1"/>
  <c r="D19" s="1"/>
  <c r="D125" i="30"/>
  <c r="E125" s="1"/>
  <c r="P21" i="6"/>
  <c r="C21" s="1"/>
  <c r="D21" s="1"/>
  <c r="D127" i="30"/>
  <c r="E127" s="1"/>
  <c r="P16" i="6"/>
  <c r="D122" i="30"/>
  <c r="E122" s="1"/>
  <c r="R16" i="2"/>
  <c r="T16" s="1"/>
  <c r="W16" s="1"/>
  <c r="O55"/>
  <c r="P57" i="6"/>
  <c r="C57" s="1"/>
  <c r="D57" s="1"/>
  <c r="D44" i="30"/>
  <c r="E44" s="1"/>
  <c r="P56" i="6"/>
  <c r="C56" s="1"/>
  <c r="D56" s="1"/>
  <c r="D43" i="30"/>
  <c r="E43" s="1"/>
  <c r="P54" i="6"/>
  <c r="C54" s="1"/>
  <c r="D54" s="1"/>
  <c r="D41" i="30"/>
  <c r="E41" s="1"/>
  <c r="C16" i="6"/>
  <c r="D16" s="1"/>
  <c r="D69" i="30"/>
  <c r="E69" s="1"/>
  <c r="I43" i="15"/>
  <c r="J43" s="1"/>
  <c r="J39"/>
  <c r="O95" i="2" l="1"/>
  <c r="R95" s="1"/>
  <c r="U95" s="1"/>
  <c r="R55"/>
  <c r="T55" s="1"/>
  <c r="W55" s="1"/>
  <c r="J75" i="15"/>
  <c r="C51" i="6" l="1"/>
  <c r="D51" s="1"/>
  <c r="H31" i="44"/>
  <c r="O15" i="2" s="1"/>
  <c r="R15" l="1"/>
  <c r="T15" s="1"/>
  <c r="W15" s="1"/>
  <c r="O54"/>
  <c r="H30" i="44"/>
  <c r="O14" i="2" s="1"/>
  <c r="I31" i="44"/>
  <c r="I30"/>
  <c r="O94" i="2" l="1"/>
  <c r="R94" s="1"/>
  <c r="U94" s="1"/>
  <c r="R54"/>
  <c r="T54" s="1"/>
  <c r="W54" s="1"/>
  <c r="R14"/>
  <c r="T14" s="1"/>
  <c r="W14" s="1"/>
  <c r="O53"/>
  <c r="E75" i="18"/>
  <c r="D75"/>
  <c r="C75"/>
  <c r="O93" i="2" l="1"/>
  <c r="R93" s="1"/>
  <c r="U93" s="1"/>
  <c r="R53"/>
  <c r="T53" s="1"/>
  <c r="W53" s="1"/>
  <c r="AA18" i="14"/>
  <c r="AA16"/>
  <c r="AA14"/>
  <c r="F20" i="43"/>
  <c r="F21"/>
  <c r="I18"/>
  <c r="I16"/>
  <c r="I14"/>
  <c r="E20"/>
  <c r="E21"/>
  <c r="B21"/>
  <c r="B20"/>
  <c r="B81" i="18"/>
  <c r="B79"/>
  <c r="B77"/>
  <c r="E76"/>
  <c r="D76"/>
  <c r="B76"/>
  <c r="AA13" i="14"/>
  <c r="I17" i="43"/>
  <c r="I15"/>
  <c r="I13"/>
  <c r="B82" i="18"/>
  <c r="AA17" i="14"/>
  <c r="B80" i="18"/>
  <c r="AA15" i="14"/>
  <c r="B78" i="18"/>
  <c r="E82"/>
  <c r="E81"/>
  <c r="E80"/>
  <c r="E79"/>
  <c r="E78"/>
  <c r="E77"/>
  <c r="D82"/>
  <c r="D81"/>
  <c r="D80"/>
  <c r="D79"/>
  <c r="D78"/>
  <c r="D77"/>
  <c r="C79"/>
  <c r="C80"/>
  <c r="C78"/>
  <c r="C81"/>
  <c r="C82"/>
  <c r="C77"/>
  <c r="C76"/>
  <c r="I77" l="1"/>
  <c r="I81"/>
  <c r="J79"/>
  <c r="AA20" i="14"/>
  <c r="B84" i="18"/>
  <c r="C84"/>
  <c r="J82"/>
  <c r="J78"/>
  <c r="I80"/>
  <c r="E85"/>
  <c r="D85"/>
  <c r="J76"/>
  <c r="I76"/>
  <c r="D84"/>
  <c r="B85"/>
  <c r="C85"/>
  <c r="J77"/>
  <c r="I78"/>
  <c r="I79"/>
  <c r="J80"/>
  <c r="J81"/>
  <c r="I82"/>
  <c r="E84"/>
  <c r="G20" i="43" l="1"/>
  <c r="G21"/>
  <c r="F75" i="18"/>
  <c r="F84" s="1"/>
  <c r="I21" i="43"/>
  <c r="F38" i="44"/>
  <c r="J12" i="43"/>
  <c r="J21" s="1"/>
  <c r="I20" l="1"/>
  <c r="I75" i="18"/>
  <c r="I85" s="1"/>
  <c r="F85"/>
  <c r="I29" i="44"/>
  <c r="J75" i="18"/>
  <c r="F37" i="44"/>
  <c r="J20" i="43"/>
  <c r="H29" i="44"/>
  <c r="O13" i="2" s="1"/>
  <c r="I84" i="18" l="1"/>
  <c r="R13" i="2"/>
  <c r="O52"/>
  <c r="O21"/>
  <c r="O23"/>
  <c r="O102" s="1"/>
  <c r="H38" i="44"/>
  <c r="H37"/>
  <c r="I38"/>
  <c r="I37"/>
  <c r="J84" i="18"/>
  <c r="J85"/>
  <c r="O92" i="2" l="1"/>
  <c r="R92" s="1"/>
  <c r="O60"/>
  <c r="R52"/>
  <c r="O62"/>
  <c r="O72"/>
  <c r="O100"/>
  <c r="T13"/>
  <c r="R23"/>
  <c r="R22"/>
  <c r="R21"/>
  <c r="R25" s="1"/>
  <c r="I44" i="15"/>
  <c r="J44" s="1"/>
  <c r="I45"/>
  <c r="J45" s="1"/>
  <c r="R28" i="2" l="1"/>
  <c r="R27"/>
  <c r="W13"/>
  <c r="T21"/>
  <c r="T23"/>
  <c r="T22"/>
  <c r="R72"/>
  <c r="T72" s="1"/>
  <c r="W72" s="1"/>
  <c r="O73"/>
  <c r="T52"/>
  <c r="R62"/>
  <c r="R60"/>
  <c r="R64" s="1"/>
  <c r="R61"/>
  <c r="U92"/>
  <c r="R101"/>
  <c r="R102"/>
  <c r="R100"/>
  <c r="R104" s="1"/>
  <c r="O34"/>
  <c r="R34" s="1"/>
  <c r="T34" s="1"/>
  <c r="W34" s="1"/>
  <c r="O112"/>
  <c r="R112" s="1"/>
  <c r="U112" s="1"/>
  <c r="T27" l="1"/>
  <c r="O113"/>
  <c r="R113" s="1"/>
  <c r="U113" s="1"/>
  <c r="R106"/>
  <c r="R107"/>
  <c r="O74"/>
  <c r="R73"/>
  <c r="T73" s="1"/>
  <c r="W73" s="1"/>
  <c r="T25"/>
  <c r="T28"/>
  <c r="O35"/>
  <c r="R35" s="1"/>
  <c r="T35" s="1"/>
  <c r="W35" s="1"/>
  <c r="U101"/>
  <c r="U102"/>
  <c r="U100"/>
  <c r="R66"/>
  <c r="R67"/>
  <c r="W52"/>
  <c r="T62"/>
  <c r="T60"/>
  <c r="T61"/>
  <c r="W21"/>
  <c r="W22"/>
  <c r="W23"/>
  <c r="W28" l="1"/>
  <c r="W27"/>
  <c r="W25"/>
  <c r="T67"/>
  <c r="T66"/>
  <c r="T64"/>
  <c r="W62"/>
  <c r="W60"/>
  <c r="W61"/>
  <c r="O36"/>
  <c r="O114"/>
  <c r="R114" s="1"/>
  <c r="U114" s="1"/>
  <c r="U107"/>
  <c r="U104"/>
  <c r="U106"/>
  <c r="O75"/>
  <c r="R74"/>
  <c r="T74" s="1"/>
  <c r="W74" s="1"/>
  <c r="O37" l="1"/>
  <c r="R37" s="1"/>
  <c r="T37" s="1"/>
  <c r="W37" s="1"/>
  <c r="R36"/>
  <c r="T36" s="1"/>
  <c r="W36" s="1"/>
  <c r="W67"/>
  <c r="W66"/>
  <c r="W64"/>
  <c r="O76"/>
  <c r="R75"/>
  <c r="T75" s="1"/>
  <c r="W75" s="1"/>
  <c r="O77" l="1"/>
  <c r="R77" s="1"/>
  <c r="T77" s="1"/>
  <c r="W77" s="1"/>
  <c r="R76"/>
  <c r="T76" s="1"/>
  <c r="W76" s="1"/>
  <c r="O38"/>
  <c r="R38" s="1"/>
  <c r="T38" s="1"/>
  <c r="W38" s="1"/>
  <c r="O39"/>
  <c r="R39" s="1"/>
  <c r="T39" s="1"/>
  <c r="W39" s="1"/>
</calcChain>
</file>

<file path=xl/sharedStrings.xml><?xml version="1.0" encoding="utf-8"?>
<sst xmlns="http://schemas.openxmlformats.org/spreadsheetml/2006/main" count="2550" uniqueCount="839">
  <si>
    <t>E &amp; P operations and other non-reg dominate</t>
  </si>
  <si>
    <t>Ratio</t>
  </si>
  <si>
    <t>20-Year</t>
  </si>
  <si>
    <t>Company Name</t>
  </si>
  <si>
    <t>Stock Price</t>
  </si>
  <si>
    <t>AGL Resources</t>
  </si>
  <si>
    <t>B++</t>
  </si>
  <si>
    <t>Atmos Energy</t>
  </si>
  <si>
    <t>ATO</t>
  </si>
  <si>
    <t>B+</t>
  </si>
  <si>
    <t>Laclede Group</t>
  </si>
  <si>
    <t>LG</t>
  </si>
  <si>
    <t>New Jersey Resources</t>
  </si>
  <si>
    <t>A</t>
  </si>
  <si>
    <t>Northwest Nat. Gas</t>
  </si>
  <si>
    <t>NWN</t>
  </si>
  <si>
    <t>Piedmont Natural Gas</t>
  </si>
  <si>
    <t>PNY</t>
  </si>
  <si>
    <t>South Jersey Inds.</t>
  </si>
  <si>
    <t>SJI</t>
  </si>
  <si>
    <t>Ticker</t>
  </si>
  <si>
    <t>Median</t>
  </si>
  <si>
    <t>Indicated</t>
  </si>
  <si>
    <t>Dividend</t>
  </si>
  <si>
    <t>Equity</t>
  </si>
  <si>
    <t>Total</t>
  </si>
  <si>
    <t>Growth</t>
  </si>
  <si>
    <t>Projected</t>
  </si>
  <si>
    <t xml:space="preserve">Earnings Growth Forecasts </t>
  </si>
  <si>
    <t>Line</t>
  </si>
  <si>
    <t>Zacks</t>
  </si>
  <si>
    <t>Yahoo!</t>
  </si>
  <si>
    <t>Finance</t>
  </si>
  <si>
    <t>Reuters</t>
  </si>
  <si>
    <t>3-5 Year</t>
  </si>
  <si>
    <t>Financial</t>
  </si>
  <si>
    <t>Strength</t>
  </si>
  <si>
    <t>Price</t>
  </si>
  <si>
    <t>Average</t>
  </si>
  <si>
    <t>75-25 Wtd.</t>
  </si>
  <si>
    <t>Divd Yield</t>
  </si>
  <si>
    <t>on Current</t>
  </si>
  <si>
    <t>DCF Model Results</t>
  </si>
  <si>
    <t>Standard Deviation</t>
  </si>
  <si>
    <t>Calculated</t>
  </si>
  <si>
    <t>Estimated</t>
  </si>
  <si>
    <t>Year 1</t>
  </si>
  <si>
    <t>Year 2</t>
  </si>
  <si>
    <t>Year 3</t>
  </si>
  <si>
    <t>Year 4</t>
  </si>
  <si>
    <t>Year 5</t>
  </si>
  <si>
    <t>Terminal</t>
  </si>
  <si>
    <t>Value</t>
  </si>
  <si>
    <t>Difference</t>
  </si>
  <si>
    <t>V.L.</t>
  </si>
  <si>
    <t>S &amp; P</t>
  </si>
  <si>
    <t>Bond</t>
  </si>
  <si>
    <t>Rating</t>
  </si>
  <si>
    <t>BBB</t>
  </si>
  <si>
    <t>A-</t>
  </si>
  <si>
    <t>EPS Growth</t>
  </si>
  <si>
    <t>Divd. Growth</t>
  </si>
  <si>
    <t>Divd Growth</t>
  </si>
  <si>
    <t xml:space="preserve">Cost of </t>
  </si>
  <si>
    <t>5-Yr. EPS</t>
  </si>
  <si>
    <t>5-Yr. Divd.</t>
  </si>
  <si>
    <t>Capital Asset Pricing Model</t>
  </si>
  <si>
    <t>V.L. Beta</t>
  </si>
  <si>
    <t>T-Bill</t>
  </si>
  <si>
    <t>CAPM</t>
  </si>
  <si>
    <t>CAPM Results</t>
  </si>
  <si>
    <t>Two-Stage Discounted Cash Flow Models</t>
  </si>
  <si>
    <t>Single-Stage Discounted Cash Flow Models</t>
  </si>
  <si>
    <t>Symbol</t>
  </si>
  <si>
    <t>Comments</t>
  </si>
  <si>
    <t>Summary of Model Results</t>
  </si>
  <si>
    <t>Forecast Growth Rates</t>
  </si>
  <si>
    <t>Final Estimate Applicable to Questar</t>
  </si>
  <si>
    <t>Rates</t>
  </si>
  <si>
    <t>Questar Gas</t>
  </si>
  <si>
    <t>Mean</t>
  </si>
  <si>
    <t>Revenues</t>
  </si>
  <si>
    <t>na</t>
  </si>
  <si>
    <t>Forecast</t>
  </si>
  <si>
    <t>Moody's</t>
  </si>
  <si>
    <t>A3</t>
  </si>
  <si>
    <t>Baa1</t>
  </si>
  <si>
    <t>Net</t>
  </si>
  <si>
    <t>Plant</t>
  </si>
  <si>
    <t>AVERAGE</t>
  </si>
  <si>
    <t>Questar Gas Company</t>
  </si>
  <si>
    <t>National Fuel Gas</t>
  </si>
  <si>
    <t>NFG</t>
  </si>
  <si>
    <t>Preliminary Selected Natural Gas Distribution Guideline Companies</t>
  </si>
  <si>
    <t>( $ millions)</t>
  </si>
  <si>
    <t>Forecast Dividend Growth Rates, Then Earnings Growth Rates</t>
  </si>
  <si>
    <t>Avg. of Divid. and Earn. Growth Rates, Then Earn. Growth Rates</t>
  </si>
  <si>
    <t xml:space="preserve">  Historical Risk Premium Period: 50 Years</t>
  </si>
  <si>
    <t>10 Year Historical Growth Rates</t>
  </si>
  <si>
    <t>BBB-</t>
  </si>
  <si>
    <t>Mean All Companies</t>
  </si>
  <si>
    <t>30 Year Historical Period</t>
  </si>
  <si>
    <t>50 Year Historical Period</t>
  </si>
  <si>
    <t>82 Year Historical Period</t>
  </si>
  <si>
    <t xml:space="preserve">Capital Asset Pricing Models, </t>
  </si>
  <si>
    <t>T-Bills</t>
  </si>
  <si>
    <t>20-Year Bonds</t>
  </si>
  <si>
    <t>Cost of Equity</t>
  </si>
  <si>
    <t>(Spot Prices)</t>
  </si>
  <si>
    <t>(1-Month  Prices)</t>
  </si>
  <si>
    <t>Wtd. Growth</t>
  </si>
  <si>
    <t xml:space="preserve">Weighted Average Growth (75% EPS / 25% Divd) </t>
  </si>
  <si>
    <t>EPS Growth Rate Only</t>
  </si>
  <si>
    <t>Forecast Growth Rates-Adjusted</t>
  </si>
  <si>
    <t>Dividend  Growth Rate Only</t>
  </si>
  <si>
    <t xml:space="preserve">Yields As Of </t>
  </si>
  <si>
    <t>Adjusted</t>
  </si>
  <si>
    <t>Beta</t>
  </si>
  <si>
    <t>GAS</t>
  </si>
  <si>
    <t xml:space="preserve">           Discounted using mid-year convention.</t>
  </si>
  <si>
    <t>WGL</t>
  </si>
  <si>
    <t>Sources: Value Line for Betas.  WSJ for current interest rates, Ibbotson &amp; Assoc. for historical data.</t>
  </si>
  <si>
    <t>Nicor</t>
  </si>
  <si>
    <t>WGL Holdings</t>
  </si>
  <si>
    <t>Total Capital</t>
  </si>
  <si>
    <t>Historical</t>
  </si>
  <si>
    <t>Net Income</t>
  </si>
  <si>
    <t>Note: dividend growth rates used for dividend forecasts, first year assumed 1/2 year rate;</t>
  </si>
  <si>
    <t xml:space="preserve"> terminal value based upon  75% EPS and 25% Divd. weighted growth rate.</t>
  </si>
  <si>
    <t>N/A</t>
  </si>
  <si>
    <t>B</t>
  </si>
  <si>
    <t>Reconciliation and Recommendation</t>
  </si>
  <si>
    <t>Single Stage Forecast (Earnings Growth), Adjusted Average</t>
  </si>
  <si>
    <t>Single Stage Historical, Overall Average</t>
  </si>
  <si>
    <t>Risk Premium, Average 20-year Bonds</t>
  </si>
  <si>
    <t>Single Stage Forecast (Dividend Growth), Adjusted Average</t>
  </si>
  <si>
    <t>Range (Highs and Lows of Preferred Estimates, excluding 82-year estimates)</t>
  </si>
  <si>
    <t>Model Using Forecast Dividend Growth Rates, Then 75% Earnings, 25 % Dividend Growth Rates</t>
  </si>
  <si>
    <t>Southwest Gas</t>
  </si>
  <si>
    <t>SWX</t>
  </si>
  <si>
    <t>Questar Gas Weighted Average Cost of Capital</t>
  </si>
  <si>
    <t>Capital</t>
  </si>
  <si>
    <t>Weighted</t>
  </si>
  <si>
    <t>Rate</t>
  </si>
  <si>
    <t>Structure</t>
  </si>
  <si>
    <t>Common Stock</t>
  </si>
  <si>
    <t>Preferred Stock</t>
  </si>
  <si>
    <t>Long-term Debt</t>
  </si>
  <si>
    <t>WACC</t>
  </si>
  <si>
    <t>Questar Gas General Rate Case</t>
  </si>
  <si>
    <t>Common Equity</t>
  </si>
  <si>
    <t>Total Equity</t>
  </si>
  <si>
    <t>Avg. 2001-2007</t>
  </si>
  <si>
    <t>AGL Resources*</t>
  </si>
  <si>
    <t>Northwest Natural Gas</t>
  </si>
  <si>
    <t>South Jersey Industries*</t>
  </si>
  <si>
    <t>Nicor*</t>
  </si>
  <si>
    <t>Southwest Gas*</t>
  </si>
  <si>
    <t>WGL Holdings*</t>
  </si>
  <si>
    <t>St. Deviation</t>
  </si>
  <si>
    <t>*  Average is for 2002-2007 time period.</t>
  </si>
  <si>
    <t>Other Regulated</t>
  </si>
  <si>
    <t>Income</t>
  </si>
  <si>
    <t>Mean Selected Companies</t>
  </si>
  <si>
    <t>65 percent natural gas operations plus mostly gas-related non-reg businesses, SELECTED</t>
  </si>
  <si>
    <t>57 percent natural gas operations plus mostly gas-related non-reg businesses, SELECTED</t>
  </si>
  <si>
    <t>57 percent natrual gas revenues; plus mostly gas-related non-reg businesses, SELECTED</t>
  </si>
  <si>
    <t>Nearly 100 percent natural gas operations. SELECTED</t>
  </si>
  <si>
    <t>67 percent natural gas utility, other gas-related operations;  SELECTED</t>
  </si>
  <si>
    <t>80 percent natural gas operations; construction co., SELECTED</t>
  </si>
  <si>
    <t>70 percent natural gas operations, SELECTED</t>
  </si>
  <si>
    <t>Beta Estimates</t>
  </si>
  <si>
    <t xml:space="preserve">  Historical Risk Premium Period: 30 Years</t>
  </si>
  <si>
    <t>Risk Premium Models--V. L.  Fin'l Strength (Regression)</t>
  </si>
  <si>
    <t>Page 3 of 3</t>
  </si>
  <si>
    <t>Page 2 of 3</t>
  </si>
  <si>
    <t>Page 1 of 3</t>
  </si>
  <si>
    <t xml:space="preserve">  Historical Risk Premium Period: 82 Years</t>
  </si>
  <si>
    <t>Single Stage Forecast (75% Earnings, 25% Dividends)</t>
  </si>
  <si>
    <t>Value Line</t>
  </si>
  <si>
    <t>Note: dividend growth rates used for dividend forecasts, first year assumed 1/2 year rate; terminal value based upon  75% EPS and 25% Divd. weighted growth rate.</t>
  </si>
  <si>
    <t>Note: average of divd. and  EPS growth rates used for dividend forecasts, first year assumed 1/2 year rate; terminal value based upon   EPS growth rate.</t>
  </si>
  <si>
    <t>AGL</t>
  </si>
  <si>
    <t>Chesapeake Utility</t>
  </si>
  <si>
    <t>CPK</t>
  </si>
  <si>
    <t>EGAS</t>
  </si>
  <si>
    <t>Nisource Inc Hldg Co</t>
  </si>
  <si>
    <t>NI</t>
  </si>
  <si>
    <t>Market</t>
  </si>
  <si>
    <t>Cap</t>
  </si>
  <si>
    <t>Revenue</t>
  </si>
  <si>
    <t>Earnings</t>
  </si>
  <si>
    <t>Per Share</t>
  </si>
  <si>
    <t>Yield</t>
  </si>
  <si>
    <t xml:space="preserve">S &amp; P </t>
  </si>
  <si>
    <t>Credit</t>
  </si>
  <si>
    <t>ROE</t>
  </si>
  <si>
    <t>(Million)</t>
  </si>
  <si>
    <t>Payout</t>
  </si>
  <si>
    <t>Analysts</t>
  </si>
  <si>
    <t xml:space="preserve">Estimated </t>
  </si>
  <si>
    <t>Property</t>
  </si>
  <si>
    <t>Preferred</t>
  </si>
  <si>
    <t xml:space="preserve">% Total </t>
  </si>
  <si>
    <t>Common</t>
  </si>
  <si>
    <t>LTD</t>
  </si>
  <si>
    <t>NA</t>
  </si>
  <si>
    <t>Relative</t>
  </si>
  <si>
    <t>Growth Rate</t>
  </si>
  <si>
    <t xml:space="preserve">Historical </t>
  </si>
  <si>
    <t xml:space="preserve"> Dividend</t>
  </si>
  <si>
    <t>Forecast  Dividend Growth</t>
  </si>
  <si>
    <t>Check projection against payout ratio in future years</t>
  </si>
  <si>
    <t>Authorized ROE Comparison to 30 Year Treasury (for Comparison)</t>
  </si>
  <si>
    <t>Authorized ROE Comparison to Baa Corp Bonds (for Comparison)</t>
  </si>
  <si>
    <t>RETURN ON COMMON EQUITY</t>
  </si>
  <si>
    <t>Return on Equity Comparison</t>
  </si>
  <si>
    <t>Ba2</t>
  </si>
  <si>
    <t>Customers</t>
  </si>
  <si>
    <t>Baa2</t>
  </si>
  <si>
    <t>RGC Resources</t>
  </si>
  <si>
    <t>RGCO</t>
  </si>
  <si>
    <t>BBB+</t>
  </si>
  <si>
    <t>Total Revenues</t>
  </si>
  <si>
    <t>Net Plant</t>
  </si>
  <si>
    <t>Market Cap</t>
  </si>
  <si>
    <t>Earnings Per Share</t>
  </si>
  <si>
    <t>Payout Ratio</t>
  </si>
  <si>
    <t>-</t>
  </si>
  <si>
    <t>Forecast Growth 2 (9.5)</t>
  </si>
  <si>
    <t xml:space="preserve">10 Year </t>
  </si>
  <si>
    <t>Treasury</t>
  </si>
  <si>
    <t>NJR</t>
  </si>
  <si>
    <t>Nicor Inc.</t>
  </si>
  <si>
    <t>South Jersey Industries</t>
  </si>
  <si>
    <t>WGL Holdings Inc.</t>
  </si>
  <si>
    <t>Value Line Summary Information</t>
  </si>
  <si>
    <t>Financial Strength</t>
  </si>
  <si>
    <t>Mkt Cap</t>
  </si>
  <si>
    <t>Compare</t>
  </si>
  <si>
    <t>to Questar</t>
  </si>
  <si>
    <t>Earnings Predictability</t>
  </si>
  <si>
    <t>TOTAL RETURN</t>
  </si>
  <si>
    <t>Historical1 Yr</t>
  </si>
  <si>
    <t>Historical3 Yr</t>
  </si>
  <si>
    <t>Historical 5 Yr</t>
  </si>
  <si>
    <t>Projected  3 Yr High</t>
  </si>
  <si>
    <t>Projected 3 Yr Low</t>
  </si>
  <si>
    <t>Projected Dividend Growth</t>
  </si>
  <si>
    <t>EARNINGS</t>
  </si>
  <si>
    <t>DIVIDEND</t>
  </si>
  <si>
    <t>Historical 5 Yr Growth</t>
  </si>
  <si>
    <t>Projected Growth</t>
  </si>
  <si>
    <t>Projected 3 year</t>
  </si>
  <si>
    <t>Projected Payout Ratio</t>
  </si>
  <si>
    <t>Long Term Debt Ratio</t>
  </si>
  <si>
    <t>Common Equity Ratio</t>
  </si>
  <si>
    <t>CAPITAL</t>
  </si>
  <si>
    <t>Return on Equity</t>
  </si>
  <si>
    <t>Projected Return on Equity</t>
  </si>
  <si>
    <t xml:space="preserve">Annual </t>
  </si>
  <si>
    <t>% Change</t>
  </si>
  <si>
    <t>VL Forecast</t>
  </si>
  <si>
    <t>Model Using Value Line Forecast Growth Rates</t>
  </si>
  <si>
    <t>Long Term Debt</t>
  </si>
  <si>
    <t>Forecast Growth Rates-Value Line</t>
  </si>
  <si>
    <t>+ / - Comparable Average</t>
  </si>
  <si>
    <t>5 years</t>
  </si>
  <si>
    <t xml:space="preserve">     </t>
  </si>
  <si>
    <t>Risk Premium</t>
  </si>
  <si>
    <t>Estimates</t>
  </si>
  <si>
    <t>Ibbotson</t>
  </si>
  <si>
    <t>Expected</t>
  </si>
  <si>
    <t>Return</t>
  </si>
  <si>
    <t>VL Beta</t>
  </si>
  <si>
    <t>10 Year Treasury</t>
  </si>
  <si>
    <t>10 Year Average</t>
  </si>
  <si>
    <t>40 Year Historical Period</t>
  </si>
  <si>
    <t>60 Year Historical Period</t>
  </si>
  <si>
    <t>SUGGESTED</t>
  </si>
  <si>
    <t>Regulated Gas Utility</t>
  </si>
  <si>
    <t>%</t>
  </si>
  <si>
    <t>Change</t>
  </si>
  <si>
    <t>VL Projected</t>
  </si>
  <si>
    <t>Model Using Value Line Dividend  and Earnings Growth Rates</t>
  </si>
  <si>
    <t>Excluding</t>
  </si>
  <si>
    <t xml:space="preserve">Median </t>
  </si>
  <si>
    <t xml:space="preserve">Average </t>
  </si>
  <si>
    <t>Retention  Ratio</t>
  </si>
  <si>
    <t>Allowed</t>
  </si>
  <si>
    <t>Order</t>
  </si>
  <si>
    <t>Date</t>
  </si>
  <si>
    <t>Avg. Annual</t>
  </si>
  <si>
    <t>Pct. Change</t>
  </si>
  <si>
    <t>20 Yr Bond</t>
  </si>
  <si>
    <t>10 Yr Bond</t>
  </si>
  <si>
    <t>20 Yr Treasury</t>
  </si>
  <si>
    <t>Demodoran</t>
  </si>
  <si>
    <t>30 Year Average</t>
  </si>
  <si>
    <t>50 Year Average</t>
  </si>
  <si>
    <t>Std Dev</t>
  </si>
  <si>
    <t>20 Year Average</t>
  </si>
  <si>
    <t>40 Year Average</t>
  </si>
  <si>
    <t>Range = Results +/- 1 Std Deviation</t>
  </si>
  <si>
    <t>Model Using The Average of Reuters, Zacks and Yahoo Forecast Growth Rates</t>
  </si>
  <si>
    <t>Premium</t>
  </si>
  <si>
    <t>Risk</t>
  </si>
  <si>
    <t>Industry</t>
  </si>
  <si>
    <t>Premia</t>
  </si>
  <si>
    <t>Returns</t>
  </si>
  <si>
    <t>Decile</t>
  </si>
  <si>
    <t>Size</t>
  </si>
  <si>
    <t xml:space="preserve">Investor </t>
  </si>
  <si>
    <t>Expectation</t>
  </si>
  <si>
    <t>Single Stage Forecast (75% Earnings, 25% Dividends),  Value Line</t>
  </si>
  <si>
    <t>Two Stage Forecast, Overall Average - Avg Growth Rates</t>
  </si>
  <si>
    <t>Two Stage Forecast, Overall Average - Value Line Growth Rates</t>
  </si>
  <si>
    <t>Analysis of Comparable Company Capital Structure</t>
  </si>
  <si>
    <t>Avg Size</t>
  </si>
  <si>
    <t xml:space="preserve">30 Day </t>
  </si>
  <si>
    <t>Model Using Forecast Dividend and Earnings Growth Rates</t>
  </si>
  <si>
    <t>'00 - '09</t>
  </si>
  <si>
    <t>% Total Capital</t>
  </si>
  <si>
    <t>LT Debt</t>
  </si>
  <si>
    <t>Common  Equity</t>
  </si>
  <si>
    <t>Model Using Value Line Forecast - 75% Earnings -  25 % Dividend Growth Rates</t>
  </si>
  <si>
    <t>10 Yr</t>
  </si>
  <si>
    <t>20 Yr</t>
  </si>
  <si>
    <t>30 Yr</t>
  </si>
  <si>
    <t>2003 - 2012</t>
  </si>
  <si>
    <t>AGL and NICOR merged</t>
  </si>
  <si>
    <t>A+</t>
  </si>
  <si>
    <t>Fitch</t>
  </si>
  <si>
    <t>Gas Natural Inc.</t>
  </si>
  <si>
    <t>5 Yr</t>
  </si>
  <si>
    <t>Avg ROE</t>
  </si>
  <si>
    <t xml:space="preserve">3 Yr </t>
  </si>
  <si>
    <t>Questar in Wyoming</t>
  </si>
  <si>
    <t>9.5 / 10.1</t>
  </si>
  <si>
    <t xml:space="preserve">3 Year </t>
  </si>
  <si>
    <t>Comparable Earnings</t>
  </si>
  <si>
    <t>3 Yr average</t>
  </si>
  <si>
    <t>Northwest &amp; Piedmont Comparison to Questar</t>
  </si>
  <si>
    <t>RECOMMENDED COST OF CAPITAL</t>
  </si>
  <si>
    <t>Average Dividend Yield</t>
  </si>
  <si>
    <t>xxxxxxxx</t>
  </si>
  <si>
    <t>Docket No. 13-057-05</t>
  </si>
  <si>
    <t>Test Year Ending December 31, 2012</t>
  </si>
  <si>
    <t>2012 Gas Utility</t>
  </si>
  <si>
    <t>Corning Natural Gas</t>
  </si>
  <si>
    <t>CNIG.OE</t>
  </si>
  <si>
    <t>Delta Natural Gas</t>
  </si>
  <si>
    <t>DGAS</t>
  </si>
  <si>
    <t>EQT</t>
  </si>
  <si>
    <t>EQT Corp</t>
  </si>
  <si>
    <t>Intergy Energy Group</t>
  </si>
  <si>
    <t>TEG</t>
  </si>
  <si>
    <t>ONEOK</t>
  </si>
  <si>
    <t>OKE</t>
  </si>
  <si>
    <t>Questar</t>
  </si>
  <si>
    <t>STR</t>
  </si>
  <si>
    <t>Sempra</t>
  </si>
  <si>
    <t>SRE</t>
  </si>
  <si>
    <t>'10 Yr</t>
  </si>
  <si>
    <t>Capital Expenditures</t>
  </si>
  <si>
    <t>Interest Coverage</t>
  </si>
  <si>
    <t>LOW</t>
  </si>
  <si>
    <t>HIGH</t>
  </si>
  <si>
    <t>Std Deviation</t>
  </si>
  <si>
    <t>AVG</t>
  </si>
  <si>
    <t>AVERAGE OF CALCULATED METHODS</t>
  </si>
  <si>
    <t>QUESTAR GAS</t>
  </si>
  <si>
    <t>TESTIMONY (CURTIS)</t>
  </si>
  <si>
    <t>AVERAGE INCLUDING 2012 AVERAGE ALLOWED ROE</t>
  </si>
  <si>
    <t>30 Year Treasury</t>
  </si>
  <si>
    <t>MY FORMULA</t>
  </si>
  <si>
    <t>Page 38 of Article</t>
  </si>
  <si>
    <t>30 Yr Treasury</t>
  </si>
  <si>
    <t>15 Year Average</t>
  </si>
  <si>
    <t>Ibbotson Market Risk Premium - Table A-1              page 147</t>
  </si>
  <si>
    <t>Did not use 75% 25%</t>
  </si>
  <si>
    <t xml:space="preserve">10 Yr </t>
  </si>
  <si>
    <t xml:space="preserve">5 Year </t>
  </si>
  <si>
    <t>2008 - 2012</t>
  </si>
  <si>
    <t>84 Year Average</t>
  </si>
  <si>
    <t>Equity Risk Premiums (ERP): Determinants, Estimation and Implications - Aswath Damodaran - March 2013 Edition  p. 29</t>
  </si>
  <si>
    <t>Damodaran - Historical Risk Premium to 30 Yr Treasury</t>
  </si>
  <si>
    <t>Selected Natural Gas Distribution Guideline Companies</t>
  </si>
  <si>
    <t>30 Year Treasury Rate</t>
  </si>
  <si>
    <t>Note: average of divd. and  EPS growth rates used for dividend forecasts, first year assumed 1/2 year rate; terminal value based upon Value Line EPS growth rate.</t>
  </si>
  <si>
    <t xml:space="preserve">       30 Day Avg Stock Price</t>
  </si>
  <si>
    <t>.</t>
  </si>
  <si>
    <t>Model Using Value Line Dividend  and Yahoo Earnings Growth Rates</t>
  </si>
  <si>
    <t>DPU</t>
  </si>
  <si>
    <t>TESTIMONY (WHEELWRIGHT)</t>
  </si>
  <si>
    <t>Proposed Rate Structure</t>
  </si>
  <si>
    <t>5 Year</t>
  </si>
  <si>
    <t>5 Year Avg</t>
  </si>
  <si>
    <t xml:space="preserve">AVERAGE </t>
  </si>
  <si>
    <t>+ / - Average</t>
  </si>
  <si>
    <t>DPU 1.7A</t>
  </si>
  <si>
    <t>DPU 1.7B</t>
  </si>
  <si>
    <t>Forecast Growth Rates - Reuters, Zacks &amp; Yahoo</t>
  </si>
  <si>
    <t>Forecast Growth Rates - Value Line</t>
  </si>
  <si>
    <t>Model Using Average Forecast Dividend Growth Rates, Then 75% Earnings, 25 % Dividend Growth Rates</t>
  </si>
  <si>
    <t>Model Using Average Forecast Growth Rates and Valueline Dividend Growth Rates</t>
  </si>
  <si>
    <t>Model Using Value Line Dividend  and Earnings Growth Rates, Then 75% Earnings, 25% Dividend Growth Rates</t>
  </si>
  <si>
    <t>AVERAGE INCLUDING AVG YTD 2013 ALLOWED ROE</t>
  </si>
  <si>
    <t>Ibbottson Risk Premium - No Adjustments</t>
  </si>
  <si>
    <t>1.9C</t>
  </si>
  <si>
    <t>1.9D</t>
  </si>
  <si>
    <t>Historical Risk Premium Period: 87 Years</t>
  </si>
  <si>
    <t>87 Year Average</t>
  </si>
  <si>
    <t>DPU Exhibit 1.3  DIR</t>
  </si>
  <si>
    <t>DPU Exhibit 1.5 DIR</t>
  </si>
  <si>
    <t>DPU Exhibit 1.6  DIR</t>
  </si>
  <si>
    <t>DPU Exhibit 1.7 DIR</t>
  </si>
  <si>
    <t>DPU Exhibit 1.8b DIR</t>
  </si>
  <si>
    <t>DPU Exhibit 1.8a DIR</t>
  </si>
  <si>
    <t>DPU Exhibit 1.9a DIR</t>
  </si>
  <si>
    <t>DPU Exhibit 1.9b DIR</t>
  </si>
  <si>
    <t>DPU Exhibit 1.10a DIR</t>
  </si>
  <si>
    <t>DPU Exhibit 1.10c DIR</t>
  </si>
  <si>
    <t>DPU Exhibit 1.10d DIR</t>
  </si>
  <si>
    <t>DPU Exhibit 1.10b DIR</t>
  </si>
  <si>
    <t>DPU Exhibit 1.11 DIR</t>
  </si>
  <si>
    <t>Adjustments to Filing</t>
  </si>
  <si>
    <t>Independent</t>
  </si>
  <si>
    <t>Testimony</t>
  </si>
  <si>
    <t>Amount</t>
  </si>
  <si>
    <t xml:space="preserve">Questar Gas </t>
  </si>
  <si>
    <t>Filed Revenue Deficiency</t>
  </si>
  <si>
    <t>Updated forward price curve and debt offering</t>
  </si>
  <si>
    <t>Cost of Capital - 9.45% ROE</t>
  </si>
  <si>
    <t>Wheelwright</t>
  </si>
  <si>
    <t>Rate Base</t>
  </si>
  <si>
    <t>Croft</t>
  </si>
  <si>
    <t>Other Revenue Requirement Adjustments</t>
  </si>
  <si>
    <t>Pension Update</t>
  </si>
  <si>
    <t>Economic Development</t>
  </si>
  <si>
    <t>Fine</t>
  </si>
  <si>
    <t>Lead Lag Study (1.015 to .180)</t>
  </si>
  <si>
    <t>Oman</t>
  </si>
  <si>
    <t>Rent for Radio Shop Sold</t>
  </si>
  <si>
    <t>Combined impact of adjustments</t>
  </si>
  <si>
    <t xml:space="preserve">  Total Proposed Revenue Requirement Adjustments</t>
  </si>
  <si>
    <t xml:space="preserve">  Total Proposed Revenue Requirement Deficiency </t>
  </si>
  <si>
    <t>Impact of all adjustments combined</t>
  </si>
  <si>
    <t xml:space="preserve">Combined </t>
  </si>
  <si>
    <t>DPU Exhibit 1.2 DIR</t>
  </si>
  <si>
    <t>REVENUE REQUIREMENT ADJUSTMENTS</t>
  </si>
  <si>
    <t>Rate Case History - Authorized Rate Changes</t>
  </si>
  <si>
    <t>(A)</t>
  </si>
  <si>
    <t>(B)</t>
  </si>
  <si>
    <t>(C)</t>
  </si>
  <si>
    <t>(D)</t>
  </si>
  <si>
    <t>(E)</t>
  </si>
  <si>
    <t>(F)</t>
  </si>
  <si>
    <t>State</t>
  </si>
  <si>
    <t>Company</t>
  </si>
  <si>
    <t>Order Date</t>
  </si>
  <si>
    <t>Rate Increase
($M)</t>
  </si>
  <si>
    <t>Return on
Rate Base (%)</t>
  </si>
  <si>
    <t>Return on
Equity
(%)</t>
  </si>
  <si>
    <t>Ohio</t>
  </si>
  <si>
    <t>Vectren Energy Delivery Ohio</t>
  </si>
  <si>
    <t>Michigan</t>
  </si>
  <si>
    <t>Michigan Gas Utilities Corp</t>
  </si>
  <si>
    <t>Massachusetts</t>
  </si>
  <si>
    <t>New England Gas Company</t>
  </si>
  <si>
    <t>Kentucky</t>
  </si>
  <si>
    <t>Louisville Gas &amp; Electric Co.</t>
  </si>
  <si>
    <t>Pennsylvania</t>
  </si>
  <si>
    <t>Equitable Gas Company</t>
  </si>
  <si>
    <t>Tennessee</t>
  </si>
  <si>
    <t>Atmos Energy Corp.</t>
  </si>
  <si>
    <t>Illinois</t>
  </si>
  <si>
    <t>Northern Illinois Gas Co.</t>
  </si>
  <si>
    <t>Louisiana</t>
  </si>
  <si>
    <t>Entergy New Orleans Inc.</t>
  </si>
  <si>
    <t>Florida</t>
  </si>
  <si>
    <t>Peoples Gas System</t>
  </si>
  <si>
    <t>New York</t>
  </si>
  <si>
    <t>Niagara Mohawk Power Corp.</t>
  </si>
  <si>
    <t>Florida Public Utilities Co.</t>
  </si>
  <si>
    <t>New Hampshire</t>
  </si>
  <si>
    <t>EnergyNorth Natural Gas Inc.</t>
  </si>
  <si>
    <t>Iowa</t>
  </si>
  <si>
    <t>Black Hills Iowa Gas Utility</t>
  </si>
  <si>
    <t>Central Hudson Gas &amp; Electric</t>
  </si>
  <si>
    <t>Minnesota</t>
  </si>
  <si>
    <t>Minnesota Energy Resources</t>
  </si>
  <si>
    <t>Connecticut</t>
  </si>
  <si>
    <t>CT Natural Gas Corp.</t>
  </si>
  <si>
    <t>Southern Connecticut Gas Co.</t>
  </si>
  <si>
    <t>Idaho</t>
  </si>
  <si>
    <t>Avista Corp.</t>
  </si>
  <si>
    <t>UGI Central Penn Gas</t>
  </si>
  <si>
    <t>UGI Penn Natural Gas</t>
  </si>
  <si>
    <t>Orange &amp; Rockland Utlts Inc.</t>
  </si>
  <si>
    <t>Columbia Gas of Kentucky Inc</t>
  </si>
  <si>
    <t>Oregon</t>
  </si>
  <si>
    <t>Nevada</t>
  </si>
  <si>
    <t>Southwest Gas Corp.</t>
  </si>
  <si>
    <t>Columbia Gas of Massachusetts</t>
  </si>
  <si>
    <t>West Virginia</t>
  </si>
  <si>
    <t>Hope Gas Inc</t>
  </si>
  <si>
    <t>Oklahoma</t>
  </si>
  <si>
    <t>ONEOK Inc.</t>
  </si>
  <si>
    <t>New Jersey</t>
  </si>
  <si>
    <t>Pivotal Utility Holdings Inc.</t>
  </si>
  <si>
    <t>Wisconsin</t>
  </si>
  <si>
    <t>Wisconsin Electric Power Co.</t>
  </si>
  <si>
    <t>Wisconsin Gas LLC</t>
  </si>
  <si>
    <t>Wisconsin Power and Light Co</t>
  </si>
  <si>
    <t>Washington</t>
  </si>
  <si>
    <t>Madison Gas and Electric Co.</t>
  </si>
  <si>
    <t>Duke Energy Kentucky Inc.</t>
  </si>
  <si>
    <t>CenterPoint Energy Resources</t>
  </si>
  <si>
    <t>Missouri</t>
  </si>
  <si>
    <t>Empire District Gas Co.</t>
  </si>
  <si>
    <t>North Shore Gas Co.</t>
  </si>
  <si>
    <t>Peoples Gas Light &amp; Coke Co.</t>
  </si>
  <si>
    <t>Texas</t>
  </si>
  <si>
    <t>Missouri Gas Energy</t>
  </si>
  <si>
    <t>Nebraska</t>
  </si>
  <si>
    <t>SourceGas Distribution LLC</t>
  </si>
  <si>
    <t>Mountaineer Gas Company</t>
  </si>
  <si>
    <t>MidAmerican Energy Co.</t>
  </si>
  <si>
    <t>Georgia</t>
  </si>
  <si>
    <t>Arizona</t>
  </si>
  <si>
    <t>UNS Gas Inc.</t>
  </si>
  <si>
    <t>Puget Sound Energy Inc.</t>
  </si>
  <si>
    <t>Utah</t>
  </si>
  <si>
    <t>Questar Gas Co.</t>
  </si>
  <si>
    <t>Ameren Illinois</t>
  </si>
  <si>
    <t>Consumers Energy Co.</t>
  </si>
  <si>
    <t>Chattanooga Gas Company</t>
  </si>
  <si>
    <t>Michigan Consolidated Gas Co.</t>
  </si>
  <si>
    <t>Public Service Electric Gas</t>
  </si>
  <si>
    <t>Kansas</t>
  </si>
  <si>
    <t>Black Hills Nebraska Gas</t>
  </si>
  <si>
    <t>Laclede Gas Co.</t>
  </si>
  <si>
    <t>Columbia Gas of Pennsylvania</t>
  </si>
  <si>
    <t>South Jersey Gas Co.</t>
  </si>
  <si>
    <t>Consolidated Edison Co. of NY</t>
  </si>
  <si>
    <t>NY State Electric &amp; Gas Corp.</t>
  </si>
  <si>
    <t>Rochester Gas &amp; Electric Corp.</t>
  </si>
  <si>
    <t>Delta Natural Gas Co.</t>
  </si>
  <si>
    <t>Boston Gas Co.</t>
  </si>
  <si>
    <t>Colonial Gas Co.</t>
  </si>
  <si>
    <t>Atlanta Gas Light Co.</t>
  </si>
  <si>
    <t>Indiana</t>
  </si>
  <si>
    <t>Northern IN Public Svc Co.</t>
  </si>
  <si>
    <t>Colorado</t>
  </si>
  <si>
    <t>Maryland</t>
  </si>
  <si>
    <t>Baltimore Gas and Electric Co.</t>
  </si>
  <si>
    <t>Northern States Power Co. - MN</t>
  </si>
  <si>
    <t>Montana</t>
  </si>
  <si>
    <t>NorthWestern Energy Division</t>
  </si>
  <si>
    <t>Texas Gas Service Co.</t>
  </si>
  <si>
    <t>PECO Energy Co.</t>
  </si>
  <si>
    <t>Virginia</t>
  </si>
  <si>
    <t>Columbia Gas of Virginia Inc</t>
  </si>
  <si>
    <t>Sierra Pacific Power Co.</t>
  </si>
  <si>
    <t>Wyoming</t>
  </si>
  <si>
    <t>SEMCO Energy Inc.</t>
  </si>
  <si>
    <t>Wisconsin Public Service Corp</t>
  </si>
  <si>
    <t>Union Electric Co.</t>
  </si>
  <si>
    <t>California</t>
  </si>
  <si>
    <t>Pacific Gas and Electric Co.</t>
  </si>
  <si>
    <t>Peoples Natural Gas Co. LLC</t>
  </si>
  <si>
    <t>Delaware</t>
  </si>
  <si>
    <t>Delmarva Power &amp; Light Co.</t>
  </si>
  <si>
    <t>Yankee Gas Services Co.</t>
  </si>
  <si>
    <t>Fitchburg Gas &amp; Electric Light</t>
  </si>
  <si>
    <t>Public Service Co. of CO</t>
  </si>
  <si>
    <t>Columbia Gas</t>
  </si>
  <si>
    <t>Northern Utilities</t>
  </si>
  <si>
    <t>Washington Gas Light</t>
  </si>
  <si>
    <t>Virginia Natural Gas</t>
  </si>
  <si>
    <t>Northern States Power Co.</t>
  </si>
  <si>
    <t>Piedmont Natural Gas Co.</t>
  </si>
  <si>
    <t>New Mexico</t>
  </si>
  <si>
    <t>New Mexico Gas Co.</t>
  </si>
  <si>
    <t>Source Gas</t>
  </si>
  <si>
    <t>Cheyenne Light Fuel Power Co.</t>
  </si>
  <si>
    <t>South Carolina</t>
  </si>
  <si>
    <t>Scanna</t>
  </si>
  <si>
    <t>Bay State Gas Company</t>
  </si>
  <si>
    <t>Interstate Power &amp; Light</t>
  </si>
  <si>
    <t>Northern States Power</t>
  </si>
  <si>
    <t>San Diego Gas &amp; Electric</t>
  </si>
  <si>
    <t>Southern California Gas</t>
  </si>
  <si>
    <t>DTE Gas</t>
  </si>
  <si>
    <t>Rhode Island</t>
  </si>
  <si>
    <t>Narragansett Electric</t>
  </si>
  <si>
    <t>Niagra Mohawk Power Corp.</t>
  </si>
  <si>
    <t>Avista Corp</t>
  </si>
  <si>
    <t>Northwestern Corp</t>
  </si>
  <si>
    <t>District of Columbia</t>
  </si>
  <si>
    <t>Washington Gas Light Co</t>
  </si>
  <si>
    <t>Brooklyn Union Gas Co.</t>
  </si>
  <si>
    <t>Peoples Gas Light and Coke Co.</t>
  </si>
  <si>
    <t xml:space="preserve">Columbia Gas of Maryland Inc. </t>
  </si>
  <si>
    <t>Minimum</t>
  </si>
  <si>
    <t>Maximum</t>
  </si>
  <si>
    <t>Source - SNL, January 2009 through September 2011</t>
  </si>
  <si>
    <t>AGA September 2011 through December 2012</t>
  </si>
  <si>
    <t xml:space="preserve">Return on </t>
  </si>
  <si>
    <t>2010 - 2013</t>
  </si>
  <si>
    <t>Rate Case History</t>
  </si>
  <si>
    <t>Past Rate Cases</t>
  </si>
  <si>
    <t>Increase Requested</t>
  </si>
  <si>
    <t>Increase Authorized</t>
  </si>
  <si>
    <t>Parent
Company
Ticker</t>
  </si>
  <si>
    <t>Case Identification</t>
  </si>
  <si>
    <t>Service</t>
  </si>
  <si>
    <t>Rate
Increase
($M)</t>
  </si>
  <si>
    <t>Return on
Rate Base
(%)</t>
  </si>
  <si>
    <t>Common Equity
/Total Cap
(%)</t>
  </si>
  <si>
    <t>Rate Base
($M)</t>
  </si>
  <si>
    <t>Return on
Rate Base(%)</t>
  </si>
  <si>
    <t>Test Year End</t>
  </si>
  <si>
    <t>Rate Base ($M)</t>
  </si>
  <si>
    <t>Rate Base
 Valuation Method</t>
  </si>
  <si>
    <t>Lag
(months)</t>
  </si>
  <si>
    <t>Columbia Gas of Maryland Inc</t>
  </si>
  <si>
    <t>C-9316</t>
  </si>
  <si>
    <t>Natural Gas</t>
  </si>
  <si>
    <t>2/28/2013</t>
  </si>
  <si>
    <t>9/23/2013</t>
  </si>
  <si>
    <t>03/2013</t>
  </si>
  <si>
    <t>MGEE</t>
  </si>
  <si>
    <t>D-3270-UR-119 (Gas)</t>
  </si>
  <si>
    <t>4/15/2013</t>
  </si>
  <si>
    <t>7/26/2013</t>
  </si>
  <si>
    <t>12/2014</t>
  </si>
  <si>
    <t>C-GR-2013-0171</t>
  </si>
  <si>
    <t>12/21/2012</t>
  </si>
  <si>
    <t>6/26/2013</t>
  </si>
  <si>
    <t>D-UG-130138</t>
  </si>
  <si>
    <t>2/1/2013</t>
  </si>
  <si>
    <t>6/25/2013</t>
  </si>
  <si>
    <t>06/2012</t>
  </si>
  <si>
    <t>Year-end</t>
  </si>
  <si>
    <t>D-12-0511</t>
  </si>
  <si>
    <t>7/31/2012</t>
  </si>
  <si>
    <t>6/18/2013</t>
  </si>
  <si>
    <t>12/2013</t>
  </si>
  <si>
    <t>D-12-0512</t>
  </si>
  <si>
    <t>C-12-G-0544</t>
  </si>
  <si>
    <t>2/22/2013</t>
  </si>
  <si>
    <t>6/13/2013</t>
  </si>
  <si>
    <t>D-R-2012-2321748</t>
  </si>
  <si>
    <t>9/28/2012</t>
  </si>
  <si>
    <t>5/23/2013</t>
  </si>
  <si>
    <t>Washington Gas Light Co.</t>
  </si>
  <si>
    <t>FC-1093</t>
  </si>
  <si>
    <t>2/29/2012</t>
  </si>
  <si>
    <t>5/10/2013</t>
  </si>
  <si>
    <t>09/2011</t>
  </si>
  <si>
    <t>San Diego Gas &amp; Electric Co.</t>
  </si>
  <si>
    <t>AP-10-12-005 (gas)</t>
  </si>
  <si>
    <t>12/15/2010</t>
  </si>
  <si>
    <t>5/9/2013</t>
  </si>
  <si>
    <t>12/2012</t>
  </si>
  <si>
    <t>Southern California Gas Co.</t>
  </si>
  <si>
    <t>AP-10-12-006</t>
  </si>
  <si>
    <t>C-GO-2013-0391 (ISRS)</t>
  </si>
  <si>
    <t>2/8/2013</t>
  </si>
  <si>
    <t>5/1/2013</t>
  </si>
  <si>
    <t>NorthWestern Corp.</t>
  </si>
  <si>
    <t>NWE</t>
  </si>
  <si>
    <t>D-D2012.9.94</t>
  </si>
  <si>
    <t>4/23/2013</t>
  </si>
  <si>
    <t>AVA</t>
  </si>
  <si>
    <t>C-AVU-G-12-07</t>
  </si>
  <si>
    <t>10/10/2012</t>
  </si>
  <si>
    <t>3/27/2013</t>
  </si>
  <si>
    <t>D-12-G-0202</t>
  </si>
  <si>
    <t>4/27/2012</t>
  </si>
  <si>
    <t>3/14/2013</t>
  </si>
  <si>
    <t>03/2014</t>
  </si>
  <si>
    <t>C-GO-2013-0352 (ISRS)</t>
  </si>
  <si>
    <t>1/11/2013</t>
  </si>
  <si>
    <t>3/13/2013</t>
  </si>
  <si>
    <t>D-30022-192-GI-12</t>
  </si>
  <si>
    <t>9/17/2012</t>
  </si>
  <si>
    <t>3/5/2013</t>
  </si>
  <si>
    <t>EXC</t>
  </si>
  <si>
    <t>C-9299 (gas)</t>
  </si>
  <si>
    <t>7/27/2012</t>
  </si>
  <si>
    <t>09/2012</t>
  </si>
  <si>
    <t>D-UG-120437</t>
  </si>
  <si>
    <t>4/2/2012</t>
  </si>
  <si>
    <t>12/26/2012</t>
  </si>
  <si>
    <t>12/2011</t>
  </si>
  <si>
    <t>PCG</t>
  </si>
  <si>
    <t>Ap-12-04-018 (Gas)</t>
  </si>
  <si>
    <t>4/20/2012</t>
  </si>
  <si>
    <t>12/20/2012</t>
  </si>
  <si>
    <t>Ap-12-04-016 (Gas)</t>
  </si>
  <si>
    <t>Ap-12-04-017</t>
  </si>
  <si>
    <t>PPL</t>
  </si>
  <si>
    <t>C-2012-00222 (gas)</t>
  </si>
  <si>
    <t>6/29/2012</t>
  </si>
  <si>
    <t>03/2012</t>
  </si>
  <si>
    <t>DTE Gas Co.</t>
  </si>
  <si>
    <t>DTE</t>
  </si>
  <si>
    <t>C-U-16999</t>
  </si>
  <si>
    <t>10/2013</t>
  </si>
  <si>
    <t>Narragansett Electric Co.</t>
  </si>
  <si>
    <t>D-4323 (gas)</t>
  </si>
  <si>
    <t>Northern States Power Co - WI</t>
  </si>
  <si>
    <t>XEL</t>
  </si>
  <si>
    <t>D-4220-UR-118 (gas)</t>
  </si>
  <si>
    <t>6/1/2012</t>
  </si>
  <si>
    <t>12/14/2012</t>
  </si>
  <si>
    <t>D-12-KGSG-835-RTS</t>
  </si>
  <si>
    <t>5/18/2012</t>
  </si>
  <si>
    <t>12/5/2012</t>
  </si>
  <si>
    <t>D-GUD-10170</t>
  </si>
  <si>
    <t>5/31/2012</t>
  </si>
  <si>
    <t>12/4/2012</t>
  </si>
  <si>
    <t>CNP</t>
  </si>
  <si>
    <t>D-GUD-10182</t>
  </si>
  <si>
    <t>7/2/2012</t>
  </si>
  <si>
    <t>WEC</t>
  </si>
  <si>
    <t>D-05-UR-106 (WEP-Gas)</t>
  </si>
  <si>
    <t>3/23/2012</t>
  </si>
  <si>
    <t>11/28/2012</t>
  </si>
  <si>
    <t>D-05-UR-106 (WG)</t>
  </si>
  <si>
    <t>Interstate Power &amp; Light Co.</t>
  </si>
  <si>
    <t>LNT</t>
  </si>
  <si>
    <t>D-RPU-2012-0002</t>
  </si>
  <si>
    <t>5/25/2012</t>
  </si>
  <si>
    <t>11/26/2012</t>
  </si>
  <si>
    <t>D-3270-UR-118 (gas)</t>
  </si>
  <si>
    <t>11/9/2012</t>
  </si>
  <si>
    <t>D-12-00064</t>
  </si>
  <si>
    <t>6/22/2012</t>
  </si>
  <si>
    <t>11/8/2012</t>
  </si>
  <si>
    <t>11/2013</t>
  </si>
  <si>
    <t>DPU 12-25</t>
  </si>
  <si>
    <t>4/13/2012</t>
  </si>
  <si>
    <t>11/1/2012</t>
  </si>
  <si>
    <t>D-12-04005 (Northern)</t>
  </si>
  <si>
    <t>4/4/2012</t>
  </si>
  <si>
    <t>10/31/2012</t>
  </si>
  <si>
    <t>11/2011</t>
  </si>
  <si>
    <t>D-12-04005 (Southern)</t>
  </si>
  <si>
    <t>C-11-1627-G-42T</t>
  </si>
  <si>
    <t>11/4/2011</t>
  </si>
  <si>
    <t>Northwest Natural Gas Co.</t>
  </si>
  <si>
    <t>D-UG-221</t>
  </si>
  <si>
    <t>12/30/2011</t>
  </si>
  <si>
    <t>10/26/2012</t>
  </si>
  <si>
    <t>Wisconsin Public Service Corp.</t>
  </si>
  <si>
    <t>D-6690-UR-121 (Gas)</t>
  </si>
  <si>
    <t>3/30/2012</t>
  </si>
  <si>
    <t>10/24/2012</t>
  </si>
  <si>
    <t>South Carolina Electric &amp; Gas</t>
  </si>
  <si>
    <t>SCG</t>
  </si>
  <si>
    <t>D-2012-6-G</t>
  </si>
  <si>
    <t>6/15/2012</t>
  </si>
  <si>
    <t>10/11/2012</t>
  </si>
  <si>
    <t>D-GUD 10174</t>
  </si>
  <si>
    <t>6/6/2012</t>
  </si>
  <si>
    <t>10/2/2012</t>
  </si>
  <si>
    <t>D-R-2012-2285985</t>
  </si>
  <si>
    <t>2/28/2012</t>
  </si>
  <si>
    <t>9/27/2012</t>
  </si>
  <si>
    <t>10/2012</t>
  </si>
  <si>
    <t>D-12-ATMG-564-RTS</t>
  </si>
  <si>
    <t>1/26/2012</t>
  </si>
  <si>
    <t>8/22/2012</t>
  </si>
  <si>
    <t>Ca-PUD201200029</t>
  </si>
  <si>
    <t>3/1/2012</t>
  </si>
  <si>
    <t>7/19/2012</t>
  </si>
  <si>
    <t>C-PUE-2010-00139</t>
  </si>
  <si>
    <t>1/31/2011</t>
  </si>
  <si>
    <t>09/2010</t>
  </si>
  <si>
    <t>BKH</t>
  </si>
  <si>
    <t>D-30005-157-GR-11 (gas)</t>
  </si>
  <si>
    <t>12/1/2011</t>
  </si>
  <si>
    <t>6/18/2012</t>
  </si>
  <si>
    <t>08/2011</t>
  </si>
  <si>
    <t>D-6680-UR-118 (gas)</t>
  </si>
  <si>
    <t>5/3/2012</t>
  </si>
  <si>
    <t>CMS</t>
  </si>
  <si>
    <t>C-U-16855</t>
  </si>
  <si>
    <t>9/2/2011</t>
  </si>
  <si>
    <t>6/7/2012</t>
  </si>
  <si>
    <t>D-G-007,011/GR-10-977</t>
  </si>
  <si>
    <t>11/30/2010</t>
  </si>
  <si>
    <t>5/24/2012</t>
  </si>
  <si>
    <t>D-NG-0067</t>
  </si>
  <si>
    <t>9/30/2011</t>
  </si>
  <si>
    <t>5/22/2012</t>
  </si>
  <si>
    <t>03/2011</t>
  </si>
  <si>
    <t>D-UG-111049</t>
  </si>
  <si>
    <t>6/13/2011</t>
  </si>
  <si>
    <t>5/7/2012</t>
  </si>
  <si>
    <t>12/2010</t>
  </si>
  <si>
    <t>UNS</t>
  </si>
  <si>
    <t>D-G-04204A-11-0158</t>
  </si>
  <si>
    <t>4/8/2011</t>
  </si>
  <si>
    <t>4/24/2012</t>
  </si>
  <si>
    <t>Northern Utilities Inc.</t>
  </si>
  <si>
    <t>UTL</t>
  </si>
  <si>
    <t>D-DG-11-069</t>
  </si>
  <si>
    <t>5/4/2011</t>
  </si>
  <si>
    <t>New Mexico Gas Company</t>
  </si>
  <si>
    <t>C-11-00042-UT</t>
  </si>
  <si>
    <t>3/25/2011</t>
  </si>
  <si>
    <t>1/31/2012</t>
  </si>
  <si>
    <t>D-11-00144</t>
  </si>
  <si>
    <t>1/23/2012</t>
  </si>
  <si>
    <t>02/2013</t>
  </si>
  <si>
    <t>AEE</t>
  </si>
  <si>
    <t>D-11-0282 (gas)</t>
  </si>
  <si>
    <t>2/18/2011</t>
  </si>
  <si>
    <t>1/10/2012</t>
  </si>
  <si>
    <t>D-11-0280</t>
  </si>
  <si>
    <t>2/15/2011</t>
  </si>
  <si>
    <t>D-11-0281</t>
  </si>
  <si>
    <t>Average 2013</t>
  </si>
  <si>
    <t>High 2013</t>
  </si>
  <si>
    <t>Low 2013</t>
  </si>
  <si>
    <t>DPU Exhibit 1.4a DIR</t>
  </si>
  <si>
    <t xml:space="preserve">Cafeteria </t>
  </si>
  <si>
    <t>Construction not classified - FERC 106</t>
  </si>
  <si>
    <t xml:space="preserve">Allowed </t>
  </si>
  <si>
    <t>Average Allowed ROE 2012 (QGC Exhibit 2.10)</t>
  </si>
  <si>
    <t>Average Allowed ROE 2013 (DPU Exhibit 1.4b DIR)</t>
  </si>
  <si>
    <t>Rate Base Adjustment (includes depreciation)</t>
  </si>
  <si>
    <t>Ibbotson Market Risk Premium - Table A-1       page 147</t>
  </si>
  <si>
    <t>Thomson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</si>
</sst>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[$-409]mmmm\ d\,\ yyyy;@"/>
    <numFmt numFmtId="166" formatCode="[$-409]d\-mmm\-yy;@"/>
    <numFmt numFmtId="167" formatCode="#,##0.0_);\(#,##0.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#,##0.0000_);\(#,##0.0000\)"/>
    <numFmt numFmtId="172" formatCode="#,##0.0_);[Red]\(#,##0.0\)"/>
    <numFmt numFmtId="173" formatCode="#,##0.0"/>
    <numFmt numFmtId="174" formatCode="0_);\(0\)"/>
    <numFmt numFmtId="175" formatCode="[$-409]dd\-mmm\-yy;@"/>
    <numFmt numFmtId="176" formatCode="[$-409]mmm\-yy;@"/>
    <numFmt numFmtId="177" formatCode="0.000%"/>
    <numFmt numFmtId="178" formatCode="#,##0.00000_);\(#,##0.00000\)"/>
    <numFmt numFmtId="179" formatCode="0.0"/>
    <numFmt numFmtId="180" formatCode="_(&quot;$&quot;* #,##0_);_(&quot;$&quot;* \(#,##0\);_(&quot;$&quot;* &quot;-&quot;??_);_(@_)"/>
    <numFmt numFmtId="181" formatCode="m/d/yy;@"/>
    <numFmt numFmtId="182" formatCode="###,##0.0;\-###,##0.0"/>
    <numFmt numFmtId="183" formatCode="###,##0.00;\-###,##0.00"/>
    <numFmt numFmtId="184" formatCode="###,##0;\ \-###,##0"/>
    <numFmt numFmtId="185" formatCode="m/d/yyyy;@"/>
  </numFmts>
  <fonts count="37"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/>
      <sz val="10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color rgb="FFFFFF0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39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892">
    <xf numFmtId="39" fontId="0" fillId="0" borderId="0" xfId="0"/>
    <xf numFmtId="39" fontId="2" fillId="0" borderId="0" xfId="0" applyFont="1"/>
    <xf numFmtId="39" fontId="4" fillId="0" borderId="0" xfId="0" applyFont="1"/>
    <xf numFmtId="39" fontId="0" fillId="0" borderId="1" xfId="0" applyBorder="1"/>
    <xf numFmtId="39" fontId="5" fillId="0" borderId="0" xfId="0" applyFont="1"/>
    <xf numFmtId="39" fontId="0" fillId="0" borderId="0" xfId="0" applyAlignment="1">
      <alignment horizontal="right"/>
    </xf>
    <xf numFmtId="10" fontId="0" fillId="0" borderId="0" xfId="0" applyNumberFormat="1"/>
    <xf numFmtId="10" fontId="4" fillId="0" borderId="0" xfId="0" applyNumberFormat="1" applyFont="1"/>
    <xf numFmtId="39" fontId="5" fillId="0" borderId="0" xfId="0" applyFont="1" applyAlignment="1">
      <alignment horizontal="right"/>
    </xf>
    <xf numFmtId="10" fontId="5" fillId="0" borderId="0" xfId="0" applyNumberFormat="1" applyFont="1"/>
    <xf numFmtId="39" fontId="6" fillId="0" borderId="0" xfId="0" applyFont="1" applyAlignment="1">
      <alignment horizontal="left"/>
    </xf>
    <xf numFmtId="10" fontId="0" fillId="0" borderId="1" xfId="0" applyNumberFormat="1" applyBorder="1"/>
    <xf numFmtId="39" fontId="0" fillId="0" borderId="0" xfId="0" applyNumberFormat="1"/>
    <xf numFmtId="39" fontId="4" fillId="0" borderId="0" xfId="0" applyNumberFormat="1" applyFont="1"/>
    <xf numFmtId="39" fontId="0" fillId="0" borderId="1" xfId="0" applyNumberFormat="1" applyBorder="1"/>
    <xf numFmtId="39" fontId="4" fillId="0" borderId="0" xfId="0" applyFont="1" applyAlignment="1">
      <alignment horizontal="center"/>
    </xf>
    <xf numFmtId="39" fontId="4" fillId="0" borderId="0" xfId="0" quotePrefix="1" applyFont="1" applyAlignment="1">
      <alignment horizontal="center"/>
    </xf>
    <xf numFmtId="39" fontId="0" fillId="0" borderId="0" xfId="0" applyAlignment="1">
      <alignment horizontal="center"/>
    </xf>
    <xf numFmtId="39" fontId="0" fillId="0" borderId="0" xfId="0" quotePrefix="1" applyAlignment="1">
      <alignment horizontal="right"/>
    </xf>
    <xf numFmtId="10" fontId="7" fillId="0" borderId="1" xfId="0" applyNumberFormat="1" applyFont="1" applyBorder="1"/>
    <xf numFmtId="39" fontId="7" fillId="0" borderId="0" xfId="0" applyFont="1" applyAlignment="1">
      <alignment horizontal="center"/>
    </xf>
    <xf numFmtId="10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/>
    <xf numFmtId="39" fontId="4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Alignment="1">
      <alignment horizontal="left"/>
    </xf>
    <xf numFmtId="39" fontId="8" fillId="0" borderId="0" xfId="0" applyFont="1"/>
    <xf numFmtId="39" fontId="2" fillId="0" borderId="0" xfId="0" applyFont="1" applyAlignment="1">
      <alignment horizontal="centerContinuous"/>
    </xf>
    <xf numFmtId="39" fontId="0" fillId="0" borderId="0" xfId="0" applyAlignment="1">
      <alignment horizontal="centerContinuous"/>
    </xf>
    <xf numFmtId="39" fontId="0" fillId="0" borderId="0" xfId="0" applyNumberFormat="1" applyAlignment="1">
      <alignment horizontal="centerContinuous"/>
    </xf>
    <xf numFmtId="39" fontId="5" fillId="0" borderId="0" xfId="0" applyFont="1" applyAlignment="1">
      <alignment horizontal="centerContinuous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Continuous"/>
    </xf>
    <xf numFmtId="7" fontId="0" fillId="0" borderId="0" xfId="0" applyNumberFormat="1"/>
    <xf numFmtId="39" fontId="7" fillId="0" borderId="0" xfId="0" quotePrefix="1" applyFont="1" applyAlignment="1">
      <alignment horizontal="center"/>
    </xf>
    <xf numFmtId="39" fontId="0" fillId="0" borderId="0" xfId="0" applyBorder="1"/>
    <xf numFmtId="39" fontId="0" fillId="0" borderId="0" xfId="0" quotePrefix="1" applyAlignment="1">
      <alignment horizontal="left"/>
    </xf>
    <xf numFmtId="39" fontId="0" fillId="0" borderId="0" xfId="0" applyAlignme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0" fillId="0" borderId="1" xfId="0" applyNumberFormat="1" applyBorder="1" applyAlignme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Continuous"/>
    </xf>
    <xf numFmtId="39" fontId="4" fillId="0" borderId="0" xfId="0" quotePrefix="1" applyFont="1" applyAlignment="1">
      <alignment horizontal="left"/>
    </xf>
    <xf numFmtId="10" fontId="4" fillId="0" borderId="0" xfId="0" quotePrefix="1" applyNumberFormat="1" applyFont="1" applyAlignment="1">
      <alignment horizontal="center"/>
    </xf>
    <xf numFmtId="39" fontId="9" fillId="0" borderId="0" xfId="0" quotePrefix="1" applyFont="1" applyAlignment="1">
      <alignment horizontal="left"/>
    </xf>
    <xf numFmtId="39" fontId="9" fillId="0" borderId="0" xfId="0" applyFont="1" applyAlignment="1">
      <alignment horizontal="left"/>
    </xf>
    <xf numFmtId="165" fontId="5" fillId="0" borderId="0" xfId="0" quotePrefix="1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6" fontId="4" fillId="0" borderId="0" xfId="0" quotePrefix="1" applyNumberFormat="1" applyFont="1" applyAlignment="1">
      <alignment horizontal="center"/>
    </xf>
    <xf numFmtId="2" fontId="0" fillId="0" borderId="0" xfId="0" applyNumberFormat="1"/>
    <xf numFmtId="39" fontId="0" fillId="0" borderId="0" xfId="0" quotePrefix="1" applyAlignment="1">
      <alignment horizontal="center"/>
    </xf>
    <xf numFmtId="39" fontId="9" fillId="0" borderId="0" xfId="0" applyFont="1" applyAlignment="1">
      <alignment horizontal="right"/>
    </xf>
    <xf numFmtId="39" fontId="0" fillId="0" borderId="0" xfId="0" quotePrefix="1" applyBorder="1" applyAlignment="1">
      <alignment horizontal="left"/>
    </xf>
    <xf numFmtId="9" fontId="2" fillId="0" borderId="0" xfId="0" applyNumberFormat="1" applyFont="1" applyAlignment="1">
      <alignment horizontal="centerContinuous"/>
    </xf>
    <xf numFmtId="9" fontId="0" fillId="0" borderId="0" xfId="0" applyNumberFormat="1" applyAlignment="1">
      <alignment horizontal="centerContinuous"/>
    </xf>
    <xf numFmtId="9" fontId="4" fillId="0" borderId="0" xfId="0" applyNumberFormat="1" applyFont="1" applyAlignment="1">
      <alignment horizontal="center"/>
    </xf>
    <xf numFmtId="9" fontId="7" fillId="0" borderId="1" xfId="0" applyNumberFormat="1" applyFont="1" applyBorder="1"/>
    <xf numFmtId="9" fontId="7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quotePrefix="1" applyNumberFormat="1" applyAlignment="1">
      <alignment horizontal="center"/>
    </xf>
    <xf numFmtId="10" fontId="0" fillId="0" borderId="0" xfId="0" quotePrefix="1" applyNumberFormat="1" applyAlignment="1">
      <alignment horizontal="left"/>
    </xf>
    <xf numFmtId="10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39" fontId="6" fillId="0" borderId="0" xfId="0" quotePrefix="1" applyFont="1" applyAlignment="1">
      <alignment horizontal="left"/>
    </xf>
    <xf numFmtId="39" fontId="7" fillId="0" borderId="0" xfId="0" applyFont="1" applyBorder="1"/>
    <xf numFmtId="39" fontId="0" fillId="0" borderId="0" xfId="0" applyBorder="1" applyAlignment="1">
      <alignment horizontal="left"/>
    </xf>
    <xf numFmtId="39" fontId="4" fillId="0" borderId="0" xfId="0" quotePrefix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4" fillId="0" borderId="0" xfId="0" quotePrefix="1" applyNumberFormat="1" applyFont="1" applyBorder="1" applyAlignment="1">
      <alignment horizontal="centerContinuous" wrapText="1"/>
    </xf>
    <xf numFmtId="39" fontId="0" fillId="0" borderId="0" xfId="0" applyBorder="1" applyAlignment="1">
      <alignment horizontal="centerContinuous"/>
    </xf>
    <xf numFmtId="39" fontId="7" fillId="0" borderId="0" xfId="0" quotePrefix="1" applyFont="1" applyBorder="1" applyAlignment="1">
      <alignment horizontal="left"/>
    </xf>
    <xf numFmtId="10" fontId="4" fillId="0" borderId="0" xfId="0" applyNumberFormat="1" applyFont="1" applyBorder="1"/>
    <xf numFmtId="39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9" fontId="6" fillId="0" borderId="0" xfId="0" applyFont="1" applyBorder="1"/>
    <xf numFmtId="39" fontId="4" fillId="0" borderId="0" xfId="0" quotePrefix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Continuous"/>
    </xf>
    <xf numFmtId="9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37" fontId="0" fillId="0" borderId="0" xfId="0" applyNumberFormat="1"/>
    <xf numFmtId="10" fontId="9" fillId="0" borderId="0" xfId="0" applyNumberFormat="1" applyFont="1" applyAlignment="1">
      <alignment horizontal="right"/>
    </xf>
    <xf numFmtId="10" fontId="10" fillId="0" borderId="0" xfId="0" quotePrefix="1" applyNumberFormat="1" applyFont="1" applyAlignment="1">
      <alignment horizontal="right"/>
    </xf>
    <xf numFmtId="39" fontId="11" fillId="0" borderId="0" xfId="0" applyFont="1" applyAlignment="1">
      <alignment horizontal="centerContinuous"/>
    </xf>
    <xf numFmtId="39" fontId="12" fillId="0" borderId="0" xfId="0" applyFont="1" applyAlignment="1">
      <alignment horizontal="centerContinuous"/>
    </xf>
    <xf numFmtId="39" fontId="13" fillId="0" borderId="0" xfId="0" applyFont="1"/>
    <xf numFmtId="10" fontId="14" fillId="0" borderId="0" xfId="0" quotePrefix="1" applyNumberFormat="1" applyFont="1" applyAlignment="1">
      <alignment horizontal="centerContinuous"/>
    </xf>
    <xf numFmtId="10" fontId="14" fillId="0" borderId="0" xfId="0" applyNumberFormat="1" applyFont="1" applyAlignment="1">
      <alignment horizontal="centerContinuous"/>
    </xf>
    <xf numFmtId="39" fontId="0" fillId="0" borderId="0" xfId="0" applyFill="1"/>
    <xf numFmtId="1" fontId="0" fillId="0" borderId="0" xfId="0" quotePrefix="1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39" fontId="0" fillId="0" borderId="1" xfId="0" applyFill="1" applyBorder="1"/>
    <xf numFmtId="1" fontId="0" fillId="0" borderId="1" xfId="0" quotePrefix="1" applyNumberFormat="1" applyFill="1" applyBorder="1" applyAlignment="1">
      <alignment horizontal="left"/>
    </xf>
    <xf numFmtId="10" fontId="0" fillId="0" borderId="1" xfId="0" applyNumberFormat="1" applyFill="1" applyBorder="1"/>
    <xf numFmtId="39" fontId="0" fillId="0" borderId="0" xfId="0" quotePrefix="1" applyFill="1" applyAlignment="1">
      <alignment horizontal="left"/>
    </xf>
    <xf numFmtId="10" fontId="0" fillId="0" borderId="0" xfId="0" quotePrefix="1" applyNumberFormat="1" applyFill="1"/>
    <xf numFmtId="10" fontId="0" fillId="0" borderId="0" xfId="0" applyNumberFormat="1" applyFill="1"/>
    <xf numFmtId="39" fontId="15" fillId="0" borderId="0" xfId="0" applyFont="1"/>
    <xf numFmtId="10" fontId="16" fillId="0" borderId="0" xfId="0" applyNumberFormat="1" applyFont="1"/>
    <xf numFmtId="10" fontId="15" fillId="0" borderId="0" xfId="0" applyNumberFormat="1" applyFont="1"/>
    <xf numFmtId="10" fontId="0" fillId="0" borderId="0" xfId="0" applyNumberFormat="1" applyAlignment="1"/>
    <xf numFmtId="39" fontId="9" fillId="0" borderId="0" xfId="0" quotePrefix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39" fontId="0" fillId="0" borderId="0" xfId="0" applyFill="1" applyBorder="1"/>
    <xf numFmtId="10" fontId="12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39" fontId="0" fillId="0" borderId="0" xfId="0" applyAlignment="1">
      <alignment horizontal="center" wrapText="1"/>
    </xf>
    <xf numFmtId="39" fontId="9" fillId="0" borderId="0" xfId="0" applyNumberFormat="1" applyFont="1" applyAlignment="1">
      <alignment horizontal="right"/>
    </xf>
    <xf numFmtId="39" fontId="7" fillId="0" borderId="0" xfId="0" applyFont="1" applyAlignment="1">
      <alignment horizontal="right"/>
    </xf>
    <xf numFmtId="10" fontId="0" fillId="0" borderId="0" xfId="1" applyNumberFormat="1" applyFont="1"/>
    <xf numFmtId="167" fontId="0" fillId="0" borderId="0" xfId="0" applyNumberFormat="1"/>
    <xf numFmtId="168" fontId="0" fillId="0" borderId="0" xfId="2" applyNumberFormat="1" applyFont="1"/>
    <xf numFmtId="169" fontId="0" fillId="0" borderId="0" xfId="2" applyNumberFormat="1" applyFont="1"/>
    <xf numFmtId="9" fontId="0" fillId="0" borderId="0" xfId="1" applyFont="1"/>
    <xf numFmtId="170" fontId="0" fillId="0" borderId="0" xfId="1" applyNumberFormat="1" applyFont="1"/>
    <xf numFmtId="39" fontId="0" fillId="2" borderId="0" xfId="0" applyFill="1"/>
    <xf numFmtId="37" fontId="0" fillId="0" borderId="0" xfId="0" applyNumberFormat="1" applyAlignment="1">
      <alignment horizontal="center"/>
    </xf>
    <xf numFmtId="170" fontId="0" fillId="0" borderId="0" xfId="0" applyNumberFormat="1"/>
    <xf numFmtId="10" fontId="4" fillId="0" borderId="0" xfId="0" applyNumberFormat="1" applyFont="1" applyAlignment="1">
      <alignment horizontal="right"/>
    </xf>
    <xf numFmtId="168" fontId="4" fillId="0" borderId="0" xfId="2" applyNumberFormat="1" applyFont="1"/>
    <xf numFmtId="167" fontId="4" fillId="0" borderId="0" xfId="0" applyNumberFormat="1" applyFont="1"/>
    <xf numFmtId="169" fontId="4" fillId="0" borderId="0" xfId="2" applyNumberFormat="1" applyFont="1"/>
    <xf numFmtId="164" fontId="4" fillId="0" borderId="0" xfId="0" applyNumberFormat="1" applyFont="1" applyAlignment="1">
      <alignment horizontal="right"/>
    </xf>
    <xf numFmtId="43" fontId="4" fillId="0" borderId="0" xfId="2" applyNumberFormat="1" applyFont="1"/>
    <xf numFmtId="170" fontId="4" fillId="0" borderId="0" xfId="1" applyNumberFormat="1" applyFont="1"/>
    <xf numFmtId="37" fontId="4" fillId="0" borderId="0" xfId="0" applyNumberFormat="1" applyFont="1" applyAlignment="1">
      <alignment horizontal="center"/>
    </xf>
    <xf numFmtId="37" fontId="4" fillId="0" borderId="0" xfId="0" applyNumberFormat="1" applyFont="1"/>
    <xf numFmtId="10" fontId="0" fillId="2" borderId="0" xfId="0" applyNumberFormat="1" applyFill="1"/>
    <xf numFmtId="39" fontId="0" fillId="0" borderId="0" xfId="0" applyNumberFormat="1" applyFill="1"/>
    <xf numFmtId="39" fontId="0" fillId="0" borderId="0" xfId="0" applyNumberFormat="1" applyFill="1" applyBorder="1"/>
    <xf numFmtId="39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0" applyNumberFormat="1" applyFill="1" applyAlignment="1">
      <alignment horizontal="right"/>
    </xf>
    <xf numFmtId="39" fontId="0" fillId="0" borderId="2" xfId="0" applyBorder="1" applyAlignment="1">
      <alignment horizontal="right"/>
    </xf>
    <xf numFmtId="171" fontId="0" fillId="0" borderId="0" xfId="0" applyNumberFormat="1"/>
    <xf numFmtId="0" fontId="0" fillId="0" borderId="0" xfId="0" applyNumberFormat="1" applyBorder="1"/>
    <xf numFmtId="10" fontId="9" fillId="0" borderId="0" xfId="0" applyNumberFormat="1" applyFont="1" applyAlignment="1"/>
    <xf numFmtId="39" fontId="0" fillId="0" borderId="0" xfId="0" applyAlignment="1">
      <alignment horizontal="center"/>
    </xf>
    <xf numFmtId="39" fontId="0" fillId="0" borderId="0" xfId="0" applyFill="1" applyBorder="1" applyAlignment="1">
      <alignment horizontal="left"/>
    </xf>
    <xf numFmtId="10" fontId="0" fillId="2" borderId="0" xfId="0" applyNumberFormat="1" applyFill="1" applyBorder="1"/>
    <xf numFmtId="10" fontId="4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Alignment="1">
      <alignment horizontal="center"/>
    </xf>
    <xf numFmtId="39" fontId="4" fillId="0" borderId="0" xfId="0" applyFont="1" applyAlignment="1">
      <alignment horizontal="right"/>
    </xf>
    <xf numFmtId="39" fontId="4" fillId="0" borderId="0" xfId="0" quotePrefix="1" applyFont="1" applyAlignment="1">
      <alignment horizontal="right"/>
    </xf>
    <xf numFmtId="9" fontId="0" fillId="0" borderId="0" xfId="1" applyFont="1" applyFill="1"/>
    <xf numFmtId="10" fontId="0" fillId="0" borderId="0" xfId="1" applyNumberFormat="1" applyFont="1" applyFill="1"/>
    <xf numFmtId="39" fontId="0" fillId="0" borderId="0" xfId="0" applyAlignment="1">
      <alignment horizontal="center"/>
    </xf>
    <xf numFmtId="10" fontId="0" fillId="2" borderId="1" xfId="0" applyNumberFormat="1" applyFill="1" applyBorder="1"/>
    <xf numFmtId="10" fontId="4" fillId="0" borderId="0" xfId="0" applyNumberFormat="1" applyFont="1" applyFill="1" applyBorder="1" applyAlignment="1">
      <alignment horizontal="center"/>
    </xf>
    <xf numFmtId="39" fontId="7" fillId="0" borderId="0" xfId="0" applyFont="1" applyFill="1" applyAlignment="1">
      <alignment horizontal="center"/>
    </xf>
    <xf numFmtId="39" fontId="4" fillId="0" borderId="0" xfId="0" applyFont="1" applyFill="1" applyAlignment="1">
      <alignment horizontal="center"/>
    </xf>
    <xf numFmtId="39" fontId="0" fillId="0" borderId="0" xfId="0" applyFill="1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7" fillId="0" borderId="9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8" fontId="0" fillId="0" borderId="5" xfId="2" applyNumberFormat="1" applyFont="1" applyBorder="1"/>
    <xf numFmtId="168" fontId="0" fillId="0" borderId="6" xfId="2" applyNumberFormat="1" applyFont="1" applyBorder="1"/>
    <xf numFmtId="168" fontId="0" fillId="0" borderId="8" xfId="2" applyNumberFormat="1" applyFont="1" applyBorder="1"/>
    <xf numFmtId="168" fontId="4" fillId="0" borderId="0" xfId="2" applyNumberFormat="1" applyFont="1" applyAlignment="1">
      <alignment horizontal="right"/>
    </xf>
    <xf numFmtId="168" fontId="0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center"/>
    </xf>
    <xf numFmtId="39" fontId="0" fillId="0" borderId="6" xfId="0" applyBorder="1"/>
    <xf numFmtId="39" fontId="0" fillId="0" borderId="5" xfId="0" applyBorder="1"/>
    <xf numFmtId="9" fontId="0" fillId="0" borderId="5" xfId="1" applyFont="1" applyBorder="1"/>
    <xf numFmtId="9" fontId="0" fillId="0" borderId="6" xfId="1" applyFont="1" applyBorder="1"/>
    <xf numFmtId="39" fontId="0" fillId="0" borderId="7" xfId="0" applyBorder="1" applyAlignment="1">
      <alignment horizontal="center"/>
    </xf>
    <xf numFmtId="39" fontId="0" fillId="0" borderId="8" xfId="0" applyBorder="1" applyAlignment="1">
      <alignment horizontal="center"/>
    </xf>
    <xf numFmtId="168" fontId="0" fillId="0" borderId="5" xfId="2" applyNumberFormat="1" applyFont="1" applyFill="1" applyBorder="1"/>
    <xf numFmtId="168" fontId="0" fillId="0" borderId="6" xfId="2" applyNumberFormat="1" applyFont="1" applyFill="1" applyBorder="1"/>
    <xf numFmtId="39" fontId="0" fillId="0" borderId="6" xfId="0" applyFill="1" applyBorder="1"/>
    <xf numFmtId="39" fontId="0" fillId="0" borderId="5" xfId="0" applyFill="1" applyBorder="1"/>
    <xf numFmtId="170" fontId="0" fillId="0" borderId="5" xfId="1" applyNumberFormat="1" applyFont="1" applyFill="1" applyBorder="1"/>
    <xf numFmtId="170" fontId="0" fillId="0" borderId="6" xfId="1" applyNumberFormat="1" applyFont="1" applyFill="1" applyBorder="1"/>
    <xf numFmtId="167" fontId="0" fillId="0" borderId="6" xfId="0" applyNumberFormat="1" applyFill="1" applyBorder="1"/>
    <xf numFmtId="170" fontId="0" fillId="0" borderId="0" xfId="1" applyNumberFormat="1" applyFont="1" applyFill="1" applyBorder="1"/>
    <xf numFmtId="168" fontId="0" fillId="0" borderId="0" xfId="2" applyNumberFormat="1" applyFont="1" applyFill="1" applyBorder="1"/>
    <xf numFmtId="168" fontId="0" fillId="0" borderId="0" xfId="2" applyNumberFormat="1" applyFont="1" applyFill="1"/>
    <xf numFmtId="170" fontId="0" fillId="0" borderId="0" xfId="1" applyNumberFormat="1" applyFont="1" applyFill="1"/>
    <xf numFmtId="170" fontId="0" fillId="0" borderId="0" xfId="0" applyNumberFormat="1" applyFill="1"/>
    <xf numFmtId="170" fontId="0" fillId="0" borderId="0" xfId="0" applyNumberFormat="1" applyFill="1" applyAlignment="1">
      <alignment horizontal="center"/>
    </xf>
    <xf numFmtId="168" fontId="4" fillId="0" borderId="0" xfId="2" applyNumberFormat="1" applyFont="1" applyFill="1" applyAlignment="1">
      <alignment horizontal="right"/>
    </xf>
    <xf numFmtId="43" fontId="4" fillId="0" borderId="0" xfId="2" applyNumberFormat="1" applyFont="1" applyFill="1" applyAlignment="1">
      <alignment horizontal="right"/>
    </xf>
    <xf numFmtId="170" fontId="4" fillId="0" borderId="0" xfId="1" applyNumberFormat="1" applyFont="1" applyFill="1"/>
    <xf numFmtId="168" fontId="4" fillId="0" borderId="0" xfId="2" applyNumberFormat="1" applyFont="1" applyFill="1" applyAlignment="1">
      <alignment horizontal="center"/>
    </xf>
    <xf numFmtId="43" fontId="4" fillId="0" borderId="0" xfId="2" applyNumberFormat="1" applyFont="1" applyFill="1" applyAlignment="1">
      <alignment horizontal="center"/>
    </xf>
    <xf numFmtId="170" fontId="4" fillId="0" borderId="0" xfId="1" applyNumberFormat="1" applyFont="1" applyFill="1" applyAlignment="1">
      <alignment horizontal="right"/>
    </xf>
    <xf numFmtId="39" fontId="4" fillId="0" borderId="0" xfId="0" applyFont="1" applyBorder="1" applyAlignment="1">
      <alignment horizontal="right"/>
    </xf>
    <xf numFmtId="39" fontId="4" fillId="0" borderId="2" xfId="0" applyFont="1" applyBorder="1" applyAlignment="1">
      <alignment horizontal="right"/>
    </xf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37" fontId="0" fillId="0" borderId="0" xfId="0" applyNumberFormat="1" applyAlignment="1">
      <alignment horizontal="left" indent="1"/>
    </xf>
    <xf numFmtId="39" fontId="2" fillId="0" borderId="0" xfId="0" applyFont="1" applyAlignment="1">
      <alignment horizontal="center"/>
    </xf>
    <xf numFmtId="39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0" fillId="0" borderId="5" xfId="0" applyNumberFormat="1" applyBorder="1"/>
    <xf numFmtId="172" fontId="0" fillId="0" borderId="0" xfId="0" applyNumberFormat="1" applyBorder="1"/>
    <xf numFmtId="172" fontId="0" fillId="0" borderId="5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9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0" fontId="0" fillId="0" borderId="0" xfId="1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1" applyNumberFormat="1" applyFont="1" applyBorder="1"/>
    <xf numFmtId="167" fontId="0" fillId="0" borderId="6" xfId="0" applyNumberFormat="1" applyBorder="1"/>
    <xf numFmtId="172" fontId="0" fillId="0" borderId="9" xfId="0" applyNumberFormat="1" applyBorder="1"/>
    <xf numFmtId="172" fontId="0" fillId="0" borderId="1" xfId="0" applyNumberFormat="1" applyBorder="1"/>
    <xf numFmtId="39" fontId="0" fillId="0" borderId="10" xfId="0" applyBorder="1"/>
    <xf numFmtId="39" fontId="0" fillId="0" borderId="0" xfId="0" applyBorder="1" applyAlignment="1">
      <alignment horizontal="center" wrapText="1"/>
    </xf>
    <xf numFmtId="37" fontId="0" fillId="0" borderId="5" xfId="0" applyNumberForma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70" fontId="0" fillId="0" borderId="6" xfId="1" applyNumberFormat="1" applyFont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170" fontId="0" fillId="0" borderId="0" xfId="1" applyNumberFormat="1" applyFont="1" applyFill="1" applyBorder="1" applyAlignment="1">
      <alignment horizontal="center"/>
    </xf>
    <xf numFmtId="170" fontId="0" fillId="0" borderId="6" xfId="1" applyNumberFormat="1" applyFont="1" applyFill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170" fontId="0" fillId="0" borderId="2" xfId="1" applyNumberFormat="1" applyFont="1" applyBorder="1" applyAlignment="1">
      <alignment horizontal="center"/>
    </xf>
    <xf numFmtId="170" fontId="0" fillId="0" borderId="8" xfId="1" applyNumberFormat="1" applyFont="1" applyBorder="1" applyAlignment="1">
      <alignment horizontal="center"/>
    </xf>
    <xf numFmtId="170" fontId="0" fillId="0" borderId="5" xfId="1" applyNumberFormat="1" applyFont="1" applyBorder="1" applyAlignment="1">
      <alignment horizontal="center"/>
    </xf>
    <xf numFmtId="170" fontId="0" fillId="0" borderId="5" xfId="1" applyNumberFormat="1" applyFont="1" applyFill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NumberFormat="1" applyFont="1" applyFill="1" applyBorder="1" applyAlignment="1">
      <alignment horizontal="center"/>
    </xf>
    <xf numFmtId="9" fontId="0" fillId="0" borderId="0" xfId="1" applyNumberFormat="1" applyFont="1"/>
    <xf numFmtId="9" fontId="0" fillId="0" borderId="0" xfId="1" applyNumberFormat="1" applyFont="1" applyBorder="1"/>
    <xf numFmtId="170" fontId="0" fillId="0" borderId="9" xfId="1" applyNumberFormat="1" applyFont="1" applyBorder="1"/>
    <xf numFmtId="170" fontId="0" fillId="0" borderId="1" xfId="1" applyNumberFormat="1" applyFont="1" applyBorder="1"/>
    <xf numFmtId="168" fontId="0" fillId="0" borderId="10" xfId="2" applyNumberFormat="1" applyFont="1" applyBorder="1"/>
    <xf numFmtId="174" fontId="0" fillId="0" borderId="0" xfId="0" applyNumberFormat="1"/>
    <xf numFmtId="170" fontId="0" fillId="3" borderId="0" xfId="0" applyNumberFormat="1" applyFont="1" applyFill="1"/>
    <xf numFmtId="37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 horizontal="left" indent="1"/>
    </xf>
    <xf numFmtId="39" fontId="0" fillId="0" borderId="0" xfId="0" applyFill="1" applyAlignment="1">
      <alignment horizontal="left"/>
    </xf>
    <xf numFmtId="39" fontId="0" fillId="0" borderId="0" xfId="0" quotePrefix="1"/>
    <xf numFmtId="164" fontId="4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0" fontId="4" fillId="0" borderId="0" xfId="1" applyNumberFormat="1" applyFont="1"/>
    <xf numFmtId="39" fontId="4" fillId="0" borderId="0" xfId="0" applyFont="1" applyFill="1" applyBorder="1" applyAlignment="1">
      <alignment horizontal="center"/>
    </xf>
    <xf numFmtId="0" fontId="17" fillId="0" borderId="5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center"/>
    </xf>
    <xf numFmtId="39" fontId="4" fillId="0" borderId="14" xfId="0" applyFont="1" applyBorder="1" applyAlignment="1">
      <alignment horizontal="center"/>
    </xf>
    <xf numFmtId="39" fontId="4" fillId="0" borderId="12" xfId="0" applyFont="1" applyBorder="1" applyAlignment="1">
      <alignment horizontal="center"/>
    </xf>
    <xf numFmtId="39" fontId="0" fillId="0" borderId="9" xfId="0" applyBorder="1"/>
    <xf numFmtId="39" fontId="0" fillId="0" borderId="13" xfId="0" applyBorder="1"/>
    <xf numFmtId="10" fontId="0" fillId="0" borderId="14" xfId="0" applyNumberFormat="1" applyBorder="1"/>
    <xf numFmtId="39" fontId="5" fillId="0" borderId="0" xfId="0" applyFont="1" applyFill="1"/>
    <xf numFmtId="39" fontId="18" fillId="0" borderId="0" xfId="0" applyFont="1"/>
    <xf numFmtId="170" fontId="4" fillId="0" borderId="0" xfId="0" applyNumberFormat="1" applyFont="1"/>
    <xf numFmtId="14" fontId="0" fillId="0" borderId="0" xfId="0" applyNumberFormat="1"/>
    <xf numFmtId="10" fontId="0" fillId="0" borderId="0" xfId="0" applyNumberFormat="1" applyAlignment="1">
      <alignment horizontal="left"/>
    </xf>
    <xf numFmtId="170" fontId="4" fillId="0" borderId="0" xfId="1" applyNumberFormat="1" applyFont="1" applyAlignment="1">
      <alignment horizontal="right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0" fontId="0" fillId="0" borderId="2" xfId="0" applyNumberFormat="1" applyBorder="1" applyAlignment="1">
      <alignment horizontal="center"/>
    </xf>
    <xf numFmtId="39" fontId="0" fillId="0" borderId="2" xfId="0" applyFill="1" applyBorder="1" applyAlignment="1">
      <alignment horizontal="right"/>
    </xf>
    <xf numFmtId="168" fontId="0" fillId="0" borderId="0" xfId="2" applyNumberFormat="1" applyFont="1" applyBorder="1"/>
    <xf numFmtId="164" fontId="0" fillId="0" borderId="0" xfId="0" applyNumberFormat="1" applyBorder="1" applyAlignment="1"/>
    <xf numFmtId="0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4" fontId="0" fillId="0" borderId="5" xfId="0" applyNumberFormat="1" applyBorder="1" applyAlignment="1"/>
    <xf numFmtId="164" fontId="0" fillId="0" borderId="6" xfId="0" applyNumberFormat="1" applyBorder="1" applyAlignment="1"/>
    <xf numFmtId="170" fontId="0" fillId="0" borderId="6" xfId="1" applyNumberFormat="1" applyFont="1" applyBorder="1"/>
    <xf numFmtId="10" fontId="0" fillId="0" borderId="2" xfId="0" applyNumberFormat="1" applyBorder="1" applyAlignment="1">
      <alignment horizontal="center"/>
    </xf>
    <xf numFmtId="10" fontId="4" fillId="0" borderId="0" xfId="0" applyNumberFormat="1" applyFont="1" applyBorder="1" applyAlignment="1"/>
    <xf numFmtId="39" fontId="4" fillId="0" borderId="0" xfId="0" applyFont="1" applyBorder="1" applyAlignment="1"/>
    <xf numFmtId="40" fontId="0" fillId="0" borderId="0" xfId="1" applyNumberFormat="1" applyFont="1"/>
    <xf numFmtId="10" fontId="0" fillId="0" borderId="0" xfId="0" quotePrefix="1" applyNumberFormat="1" applyBorder="1" applyAlignment="1">
      <alignment horizontal="center"/>
    </xf>
    <xf numFmtId="39" fontId="0" fillId="0" borderId="0" xfId="0" applyNumberFormat="1" applyBorder="1"/>
    <xf numFmtId="39" fontId="0" fillId="0" borderId="5" xfId="0" applyBorder="1" applyAlignment="1">
      <alignment horizontal="center" wrapText="1"/>
    </xf>
    <xf numFmtId="39" fontId="0" fillId="0" borderId="6" xfId="0" applyBorder="1" applyAlignment="1">
      <alignment horizontal="center" wrapText="1"/>
    </xf>
    <xf numFmtId="39" fontId="0" fillId="0" borderId="0" xfId="0" applyFill="1" applyBorder="1" applyAlignment="1">
      <alignment horizontal="center" wrapText="1"/>
    </xf>
    <xf numFmtId="170" fontId="0" fillId="0" borderId="7" xfId="1" applyNumberFormat="1" applyFont="1" applyBorder="1" applyAlignment="1">
      <alignment horizontal="center"/>
    </xf>
    <xf numFmtId="39" fontId="0" fillId="0" borderId="7" xfId="0" applyBorder="1" applyAlignment="1">
      <alignment horizontal="center" wrapText="1"/>
    </xf>
    <xf numFmtId="39" fontId="0" fillId="0" borderId="8" xfId="0" applyBorder="1" applyAlignment="1">
      <alignment horizontal="center" wrapText="1"/>
    </xf>
    <xf numFmtId="170" fontId="0" fillId="0" borderId="9" xfId="1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0" xfId="0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39" fontId="19" fillId="0" borderId="0" xfId="0" applyFont="1"/>
    <xf numFmtId="170" fontId="19" fillId="0" borderId="0" xfId="1" applyNumberFormat="1" applyFont="1"/>
    <xf numFmtId="170" fontId="19" fillId="0" borderId="0" xfId="1" applyNumberFormat="1" applyFont="1" applyAlignment="1">
      <alignment horizontal="center"/>
    </xf>
    <xf numFmtId="168" fontId="19" fillId="0" borderId="0" xfId="2" applyNumberFormat="1" applyFont="1"/>
    <xf numFmtId="37" fontId="0" fillId="0" borderId="9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3" fontId="0" fillId="0" borderId="10" xfId="0" applyNumberFormat="1" applyBorder="1" applyAlignment="1">
      <alignment horizontal="right"/>
    </xf>
    <xf numFmtId="9" fontId="0" fillId="0" borderId="1" xfId="0" applyNumberFormat="1" applyBorder="1"/>
    <xf numFmtId="9" fontId="0" fillId="0" borderId="10" xfId="0" applyNumberFormat="1" applyBorder="1"/>
    <xf numFmtId="39" fontId="0" fillId="0" borderId="0" xfId="0" applyBorder="1" applyAlignment="1">
      <alignment horizontal="center"/>
    </xf>
    <xf numFmtId="39" fontId="4" fillId="0" borderId="6" xfId="0" applyFont="1" applyFill="1" applyBorder="1" applyAlignment="1">
      <alignment horizontal="center"/>
    </xf>
    <xf numFmtId="39" fontId="0" fillId="0" borderId="2" xfId="0" applyBorder="1" applyAlignment="1">
      <alignment horizontal="center"/>
    </xf>
    <xf numFmtId="39" fontId="4" fillId="0" borderId="8" xfId="0" applyFont="1" applyFill="1" applyBorder="1" applyAlignment="1">
      <alignment horizontal="center"/>
    </xf>
    <xf numFmtId="164" fontId="0" fillId="0" borderId="9" xfId="0" applyNumberFormat="1" applyBorder="1"/>
    <xf numFmtId="10" fontId="0" fillId="3" borderId="0" xfId="0" applyNumberFormat="1" applyFont="1" applyFill="1" applyAlignment="1">
      <alignment horizontal="right"/>
    </xf>
    <xf numFmtId="10" fontId="0" fillId="0" borderId="0" xfId="1" applyNumberFormat="1" applyFont="1" applyBorder="1"/>
    <xf numFmtId="39" fontId="19" fillId="0" borderId="0" xfId="0" applyFont="1" applyFill="1"/>
    <xf numFmtId="170" fontId="1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right"/>
    </xf>
    <xf numFmtId="39" fontId="20" fillId="0" borderId="0" xfId="0" applyFont="1"/>
    <xf numFmtId="39" fontId="20" fillId="0" borderId="0" xfId="0" applyFont="1" applyAlignment="1">
      <alignment horizontal="center"/>
    </xf>
    <xf numFmtId="39" fontId="19" fillId="0" borderId="0" xfId="0" applyFont="1" applyAlignment="1">
      <alignment horizontal="center"/>
    </xf>
    <xf numFmtId="39" fontId="19" fillId="0" borderId="2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37" fontId="1" fillId="0" borderId="5" xfId="0" applyNumberFormat="1" applyFont="1" applyBorder="1"/>
    <xf numFmtId="37" fontId="1" fillId="0" borderId="7" xfId="0" applyNumberFormat="1" applyFont="1" applyBorder="1"/>
    <xf numFmtId="10" fontId="0" fillId="0" borderId="2" xfId="1" applyNumberFormat="1" applyFont="1" applyBorder="1"/>
    <xf numFmtId="39" fontId="0" fillId="0" borderId="2" xfId="0" applyBorder="1"/>
    <xf numFmtId="39" fontId="0" fillId="0" borderId="0" xfId="0" applyAlignment="1">
      <alignment horizontal="center"/>
    </xf>
    <xf numFmtId="39" fontId="0" fillId="4" borderId="0" xfId="0" applyNumberFormat="1" applyFill="1"/>
    <xf numFmtId="170" fontId="0" fillId="0" borderId="5" xfId="1" applyNumberFormat="1" applyFont="1" applyBorder="1"/>
    <xf numFmtId="10" fontId="7" fillId="0" borderId="9" xfId="0" applyNumberFormat="1" applyFont="1" applyBorder="1"/>
    <xf numFmtId="10" fontId="7" fillId="0" borderId="10" xfId="0" applyNumberFormat="1" applyFont="1" applyFill="1" applyBorder="1"/>
    <xf numFmtId="39" fontId="7" fillId="0" borderId="5" xfId="0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7" fillId="0" borderId="0" xfId="0" applyFont="1" applyBorder="1" applyAlignment="1">
      <alignment horizontal="center"/>
    </xf>
    <xf numFmtId="39" fontId="0" fillId="0" borderId="6" xfId="0" applyFill="1" applyBorder="1" applyAlignment="1">
      <alignment horizontal="center"/>
    </xf>
    <xf numFmtId="39" fontId="0" fillId="0" borderId="6" xfId="0" applyBorder="1" applyAlignment="1">
      <alignment horizontal="center"/>
    </xf>
    <xf numFmtId="39" fontId="4" fillId="0" borderId="5" xfId="0" applyFont="1" applyBorder="1"/>
    <xf numFmtId="37" fontId="0" fillId="0" borderId="6" xfId="0" applyNumberFormat="1" applyBorder="1"/>
    <xf numFmtId="10" fontId="19" fillId="0" borderId="0" xfId="1" applyNumberFormat="1" applyFont="1"/>
    <xf numFmtId="10" fontId="0" fillId="0" borderId="2" xfId="0" applyNumberFormat="1" applyBorder="1"/>
    <xf numFmtId="10" fontId="5" fillId="0" borderId="0" xfId="1" applyNumberFormat="1" applyFont="1"/>
    <xf numFmtId="10" fontId="4" fillId="0" borderId="0" xfId="1" applyNumberFormat="1" applyFont="1" applyBorder="1"/>
    <xf numFmtId="39" fontId="0" fillId="0" borderId="0" xfId="0" applyAlignment="1">
      <alignment horizontal="center"/>
    </xf>
    <xf numFmtId="170" fontId="4" fillId="3" borderId="0" xfId="0" applyNumberFormat="1" applyFont="1" applyFill="1"/>
    <xf numFmtId="10" fontId="4" fillId="2" borderId="0" xfId="1" applyNumberFormat="1" applyFont="1" applyFill="1"/>
    <xf numFmtId="174" fontId="0" fillId="0" borderId="2" xfId="0" applyNumberFormat="1" applyBorder="1"/>
    <xf numFmtId="10" fontId="0" fillId="3" borderId="2" xfId="0" applyNumberFormat="1" applyFont="1" applyFill="1" applyBorder="1" applyAlignment="1">
      <alignment horizontal="right"/>
    </xf>
    <xf numFmtId="39" fontId="0" fillId="0" borderId="0" xfId="0" applyFill="1" applyAlignment="1">
      <alignment horizontal="right"/>
    </xf>
    <xf numFmtId="39" fontId="0" fillId="0" borderId="2" xfId="0" applyFill="1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10" fontId="0" fillId="0" borderId="6" xfId="1" applyNumberFormat="1" applyFont="1" applyBorder="1"/>
    <xf numFmtId="10" fontId="0" fillId="0" borderId="8" xfId="1" applyNumberFormat="1" applyFont="1" applyBorder="1"/>
    <xf numFmtId="37" fontId="0" fillId="0" borderId="9" xfId="0" applyNumberFormat="1" applyBorder="1"/>
    <xf numFmtId="37" fontId="0" fillId="0" borderId="1" xfId="0" applyNumberFormat="1" applyBorder="1"/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173" fontId="0" fillId="0" borderId="0" xfId="1" applyNumberFormat="1" applyFont="1"/>
    <xf numFmtId="4" fontId="0" fillId="0" borderId="0" xfId="1" applyNumberFormat="1" applyFont="1" applyAlignment="1">
      <alignment horizontal="center"/>
    </xf>
    <xf numFmtId="39" fontId="0" fillId="0" borderId="0" xfId="0" applyAlignment="1">
      <alignment horizontal="center"/>
    </xf>
    <xf numFmtId="39" fontId="19" fillId="0" borderId="0" xfId="0" applyFont="1" applyAlignment="1">
      <alignment horizontal="center"/>
    </xf>
    <xf numFmtId="39" fontId="0" fillId="0" borderId="0" xfId="0" applyAlignment="1">
      <alignment horizontal="center"/>
    </xf>
    <xf numFmtId="170" fontId="4" fillId="0" borderId="0" xfId="1" applyNumberFormat="1" applyFont="1" applyBorder="1"/>
    <xf numFmtId="39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2" fillId="0" borderId="0" xfId="0" applyFont="1" applyAlignment="1">
      <alignment horizontal="center"/>
    </xf>
    <xf numFmtId="39" fontId="5" fillId="0" borderId="0" xfId="0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39" fontId="0" fillId="0" borderId="0" xfId="0" applyAlignment="1">
      <alignment horizontal="center"/>
    </xf>
    <xf numFmtId="39" fontId="19" fillId="0" borderId="0" xfId="0" applyFont="1" applyAlignment="1">
      <alignment horizontal="center"/>
    </xf>
    <xf numFmtId="168" fontId="0" fillId="2" borderId="0" xfId="2" applyNumberFormat="1" applyFont="1" applyFill="1"/>
    <xf numFmtId="167" fontId="0" fillId="2" borderId="0" xfId="0" applyNumberFormat="1" applyFill="1"/>
    <xf numFmtId="170" fontId="0" fillId="2" borderId="0" xfId="1" applyNumberFormat="1" applyFont="1" applyFill="1"/>
    <xf numFmtId="39" fontId="0" fillId="5" borderId="0" xfId="0" applyFill="1"/>
    <xf numFmtId="39" fontId="0" fillId="5" borderId="5" xfId="0" applyFill="1" applyBorder="1"/>
    <xf numFmtId="37" fontId="0" fillId="5" borderId="6" xfId="0" applyNumberFormat="1" applyFill="1" applyBorder="1"/>
    <xf numFmtId="39" fontId="7" fillId="5" borderId="5" xfId="0" applyFont="1" applyFill="1" applyBorder="1" applyAlignment="1">
      <alignment horizontal="center"/>
    </xf>
    <xf numFmtId="9" fontId="7" fillId="5" borderId="5" xfId="0" applyNumberFormat="1" applyFont="1" applyFill="1" applyBorder="1" applyAlignment="1">
      <alignment horizontal="center"/>
    </xf>
    <xf numFmtId="9" fontId="7" fillId="5" borderId="0" xfId="0" applyNumberFormat="1" applyFont="1" applyFill="1" applyBorder="1" applyAlignment="1">
      <alignment horizontal="center"/>
    </xf>
    <xf numFmtId="10" fontId="0" fillId="5" borderId="14" xfId="0" applyNumberFormat="1" applyFill="1" applyBorder="1"/>
    <xf numFmtId="168" fontId="0" fillId="5" borderId="5" xfId="2" applyNumberFormat="1" applyFont="1" applyFill="1" applyBorder="1"/>
    <xf numFmtId="168" fontId="0" fillId="5" borderId="0" xfId="2" applyNumberFormat="1" applyFont="1" applyFill="1" applyBorder="1"/>
    <xf numFmtId="170" fontId="0" fillId="5" borderId="6" xfId="1" applyNumberFormat="1" applyFont="1" applyFill="1" applyBorder="1"/>
    <xf numFmtId="168" fontId="0" fillId="5" borderId="6" xfId="2" applyNumberFormat="1" applyFont="1" applyFill="1" applyBorder="1"/>
    <xf numFmtId="167" fontId="0" fillId="5" borderId="6" xfId="0" applyNumberFormat="1" applyFill="1" applyBorder="1"/>
    <xf numFmtId="39" fontId="0" fillId="5" borderId="6" xfId="0" applyFill="1" applyBorder="1"/>
    <xf numFmtId="170" fontId="0" fillId="5" borderId="5" xfId="1" applyNumberFormat="1" applyFont="1" applyFill="1" applyBorder="1"/>
    <xf numFmtId="170" fontId="0" fillId="5" borderId="0" xfId="1" applyNumberFormat="1" applyFont="1" applyFill="1" applyBorder="1"/>
    <xf numFmtId="0" fontId="0" fillId="0" borderId="0" xfId="0" applyNumberFormat="1" applyFill="1" applyBorder="1"/>
    <xf numFmtId="9" fontId="0" fillId="0" borderId="0" xfId="1" applyFont="1" applyBorder="1"/>
    <xf numFmtId="0" fontId="4" fillId="0" borderId="2" xfId="0" applyNumberFormat="1" applyFont="1" applyBorder="1" applyAlignment="1">
      <alignment horizontal="center"/>
    </xf>
    <xf numFmtId="167" fontId="0" fillId="0" borderId="0" xfId="0" applyNumberFormat="1" applyFill="1" applyBorder="1"/>
    <xf numFmtId="39" fontId="4" fillId="0" borderId="8" xfId="0" applyFont="1" applyBorder="1" applyAlignment="1"/>
    <xf numFmtId="39" fontId="4" fillId="0" borderId="2" xfId="0" applyFont="1" applyBorder="1" applyAlignment="1"/>
    <xf numFmtId="10" fontId="0" fillId="0" borderId="5" xfId="1" applyNumberFormat="1" applyFont="1" applyFill="1" applyBorder="1"/>
    <xf numFmtId="10" fontId="0" fillId="0" borderId="6" xfId="1" applyNumberFormat="1" applyFont="1" applyFill="1" applyBorder="1"/>
    <xf numFmtId="10" fontId="0" fillId="0" borderId="0" xfId="1" applyNumberFormat="1" applyFont="1" applyFill="1" applyBorder="1"/>
    <xf numFmtId="10" fontId="7" fillId="0" borderId="1" xfId="0" applyNumberFormat="1" applyFont="1" applyFill="1" applyBorder="1"/>
    <xf numFmtId="169" fontId="0" fillId="2" borderId="0" xfId="2" applyNumberFormat="1" applyFont="1" applyFill="1"/>
    <xf numFmtId="43" fontId="0" fillId="2" borderId="0" xfId="2" applyFont="1" applyFill="1"/>
    <xf numFmtId="43" fontId="0" fillId="0" borderId="0" xfId="2" applyFont="1" applyFill="1" applyBorder="1"/>
    <xf numFmtId="43" fontId="0" fillId="0" borderId="0" xfId="2" applyFont="1" applyFill="1"/>
    <xf numFmtId="170" fontId="0" fillId="2" borderId="0" xfId="1" applyNumberFormat="1" applyFont="1" applyFill="1" applyBorder="1"/>
    <xf numFmtId="9" fontId="0" fillId="5" borderId="0" xfId="0" applyNumberFormat="1" applyFill="1" applyBorder="1" applyAlignment="1">
      <alignment horizontal="center"/>
    </xf>
    <xf numFmtId="10" fontId="0" fillId="5" borderId="0" xfId="1" applyNumberFormat="1" applyFont="1" applyFill="1" applyBorder="1"/>
    <xf numFmtId="0" fontId="4" fillId="0" borderId="0" xfId="0" applyNumberFormat="1" applyFont="1" applyAlignment="1">
      <alignment horizontal="center"/>
    </xf>
    <xf numFmtId="169" fontId="2" fillId="0" borderId="0" xfId="2" applyNumberFormat="1" applyFont="1" applyAlignment="1">
      <alignment horizontal="center"/>
    </xf>
    <xf numFmtId="169" fontId="5" fillId="0" borderId="0" xfId="2" applyNumberFormat="1" applyFont="1" applyAlignment="1">
      <alignment horizontal="center"/>
    </xf>
    <xf numFmtId="169" fontId="5" fillId="0" borderId="0" xfId="2" quotePrefix="1" applyNumberFormat="1" applyFont="1" applyAlignment="1">
      <alignment horizontal="center"/>
    </xf>
    <xf numFmtId="169" fontId="0" fillId="0" borderId="0" xfId="2" applyNumberFormat="1" applyFont="1" applyFill="1"/>
    <xf numFmtId="169" fontId="0" fillId="0" borderId="0" xfId="2" applyNumberFormat="1" applyFont="1" applyAlignment="1">
      <alignment horizontal="right"/>
    </xf>
    <xf numFmtId="169" fontId="0" fillId="0" borderId="0" xfId="2" applyNumberFormat="1" applyFont="1" applyBorder="1"/>
    <xf numFmtId="169" fontId="0" fillId="0" borderId="5" xfId="2" applyNumberFormat="1" applyFont="1" applyBorder="1"/>
    <xf numFmtId="169" fontId="4" fillId="0" borderId="0" xfId="2" applyNumberFormat="1" applyFont="1" applyBorder="1" applyAlignment="1">
      <alignment horizontal="center"/>
    </xf>
    <xf numFmtId="169" fontId="4" fillId="0" borderId="6" xfId="2" applyNumberFormat="1" applyFont="1" applyBorder="1" applyAlignment="1">
      <alignment horizontal="center"/>
    </xf>
    <xf numFmtId="169" fontId="4" fillId="0" borderId="5" xfId="2" applyNumberFormat="1" applyFont="1" applyBorder="1" applyAlignment="1">
      <alignment horizontal="center"/>
    </xf>
    <xf numFmtId="169" fontId="0" fillId="0" borderId="6" xfId="2" applyNumberFormat="1" applyFont="1" applyBorder="1"/>
    <xf numFmtId="169" fontId="0" fillId="5" borderId="5" xfId="2" applyNumberFormat="1" applyFont="1" applyFill="1" applyBorder="1"/>
    <xf numFmtId="169" fontId="0" fillId="2" borderId="0" xfId="2" applyNumberFormat="1" applyFont="1" applyFill="1" applyBorder="1"/>
    <xf numFmtId="169" fontId="0" fillId="2" borderId="6" xfId="2" applyNumberFormat="1" applyFont="1" applyFill="1" applyBorder="1"/>
    <xf numFmtId="169" fontId="0" fillId="2" borderId="5" xfId="2" applyNumberFormat="1" applyFont="1" applyFill="1" applyBorder="1"/>
    <xf numFmtId="169" fontId="0" fillId="0" borderId="7" xfId="2" applyNumberFormat="1" applyFont="1" applyBorder="1"/>
    <xf numFmtId="169" fontId="0" fillId="0" borderId="2" xfId="2" applyNumberFormat="1" applyFont="1" applyBorder="1"/>
    <xf numFmtId="169" fontId="0" fillId="0" borderId="8" xfId="2" applyNumberFormat="1" applyFont="1" applyBorder="1"/>
    <xf numFmtId="169" fontId="4" fillId="0" borderId="0" xfId="2" applyNumberFormat="1" applyFont="1" applyAlignment="1">
      <alignment horizontal="right"/>
    </xf>
    <xf numFmtId="169" fontId="4" fillId="0" borderId="0" xfId="2" applyNumberFormat="1" applyFont="1" applyFill="1" applyAlignment="1">
      <alignment horizontal="right"/>
    </xf>
    <xf numFmtId="169" fontId="5" fillId="0" borderId="0" xfId="2" applyNumberFormat="1" applyFont="1"/>
    <xf numFmtId="0" fontId="4" fillId="0" borderId="5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4" fillId="0" borderId="6" xfId="2" applyNumberFormat="1" applyFont="1" applyBorder="1" applyAlignment="1">
      <alignment horizontal="center"/>
    </xf>
    <xf numFmtId="37" fontId="0" fillId="0" borderId="6" xfId="0" applyNumberFormat="1" applyFill="1" applyBorder="1"/>
    <xf numFmtId="2" fontId="7" fillId="0" borderId="5" xfId="0" quotePrefix="1" applyNumberFormat="1" applyFont="1" applyFill="1" applyBorder="1" applyAlignment="1">
      <alignment horizontal="center"/>
    </xf>
    <xf numFmtId="176" fontId="7" fillId="0" borderId="6" xfId="0" quotePrefix="1" applyNumberFormat="1" applyFont="1" applyFill="1" applyBorder="1" applyAlignment="1">
      <alignment horizontal="center"/>
    </xf>
    <xf numFmtId="167" fontId="0" fillId="6" borderId="0" xfId="0" applyNumberFormat="1" applyFill="1" applyBorder="1"/>
    <xf numFmtId="9" fontId="7" fillId="0" borderId="0" xfId="0" applyNumberFormat="1" applyFont="1" applyFill="1" applyBorder="1" applyAlignment="1">
      <alignment horizontal="center"/>
    </xf>
    <xf numFmtId="37" fontId="0" fillId="6" borderId="0" xfId="0" applyNumberFormat="1" applyFill="1" applyBorder="1" applyAlignment="1">
      <alignment horizontal="center"/>
    </xf>
    <xf numFmtId="39" fontId="4" fillId="0" borderId="2" xfId="0" applyFont="1" applyBorder="1" applyAlignment="1">
      <alignment horizontal="center"/>
    </xf>
    <xf numFmtId="2" fontId="0" fillId="0" borderId="0" xfId="2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39" fontId="4" fillId="2" borderId="0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39" fontId="0" fillId="2" borderId="0" xfId="0" applyFill="1" applyBorder="1"/>
    <xf numFmtId="170" fontId="0" fillId="2" borderId="0" xfId="0" applyNumberFormat="1" applyFill="1"/>
    <xf numFmtId="10" fontId="4" fillId="0" borderId="0" xfId="1" applyNumberFormat="1" applyFont="1" applyFill="1"/>
    <xf numFmtId="10" fontId="4" fillId="0" borderId="0" xfId="1" applyNumberFormat="1" applyFont="1" applyFill="1" applyAlignment="1">
      <alignment horizontal="right"/>
    </xf>
    <xf numFmtId="10" fontId="4" fillId="2" borderId="0" xfId="1" applyNumberFormat="1" applyFont="1" applyFill="1" applyAlignment="1">
      <alignment horizontal="right"/>
    </xf>
    <xf numFmtId="43" fontId="0" fillId="5" borderId="0" xfId="2" applyFont="1" applyFill="1" applyBorder="1"/>
    <xf numFmtId="0" fontId="0" fillId="0" borderId="2" xfId="0" applyNumberFormat="1" applyBorder="1"/>
    <xf numFmtId="39" fontId="7" fillId="0" borderId="5" xfId="0" applyFont="1" applyFill="1" applyBorder="1" applyAlignment="1">
      <alignment horizontal="center"/>
    </xf>
    <xf numFmtId="10" fontId="0" fillId="0" borderId="14" xfId="0" applyNumberFormat="1" applyFill="1" applyBorder="1"/>
    <xf numFmtId="167" fontId="0" fillId="0" borderId="5" xfId="0" applyNumberFormat="1" applyFill="1" applyBorder="1"/>
    <xf numFmtId="167" fontId="0" fillId="6" borderId="5" xfId="0" applyNumberFormat="1" applyFill="1" applyBorder="1"/>
    <xf numFmtId="9" fontId="0" fillId="0" borderId="9" xfId="1" applyFont="1" applyBorder="1"/>
    <xf numFmtId="10" fontId="0" fillId="5" borderId="5" xfId="1" applyNumberFormat="1" applyFont="1" applyFill="1" applyBorder="1"/>
    <xf numFmtId="39" fontId="0" fillId="5" borderId="0" xfId="0" applyFill="1" applyAlignment="1">
      <alignment horizontal="center"/>
    </xf>
    <xf numFmtId="2" fontId="0" fillId="5" borderId="0" xfId="1" applyNumberFormat="1" applyFont="1" applyFill="1" applyAlignment="1">
      <alignment horizontal="center"/>
    </xf>
    <xf numFmtId="39" fontId="19" fillId="5" borderId="0" xfId="0" applyFont="1" applyFill="1"/>
    <xf numFmtId="39" fontId="19" fillId="5" borderId="0" xfId="0" applyFont="1" applyFill="1" applyAlignment="1">
      <alignment horizontal="center"/>
    </xf>
    <xf numFmtId="2" fontId="19" fillId="5" borderId="0" xfId="1" applyNumberFormat="1" applyFont="1" applyFill="1" applyAlignment="1">
      <alignment horizontal="center"/>
    </xf>
    <xf numFmtId="39" fontId="0" fillId="0" borderId="8" xfId="0" applyFill="1" applyBorder="1" applyAlignment="1">
      <alignment horizontal="center" wrapText="1"/>
    </xf>
    <xf numFmtId="37" fontId="4" fillId="0" borderId="5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6" xfId="0" applyNumberFormat="1" applyFont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7" xfId="0" applyNumberFormat="1" applyFont="1" applyBorder="1" applyAlignment="1">
      <alignment horizontal="center"/>
    </xf>
    <xf numFmtId="172" fontId="4" fillId="0" borderId="7" xfId="0" applyNumberFormat="1" applyFont="1" applyBorder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3" fontId="4" fillId="0" borderId="8" xfId="0" applyNumberFormat="1" applyFont="1" applyBorder="1" applyAlignment="1">
      <alignment horizontal="right"/>
    </xf>
    <xf numFmtId="39" fontId="0" fillId="7" borderId="0" xfId="0" applyFill="1"/>
    <xf numFmtId="39" fontId="0" fillId="0" borderId="0" xfId="0" applyAlignment="1">
      <alignment horizontal="center"/>
    </xf>
    <xf numFmtId="39" fontId="0" fillId="0" borderId="0" xfId="0" applyAlignment="1">
      <alignment horizontal="center"/>
    </xf>
    <xf numFmtId="39" fontId="4" fillId="0" borderId="0" xfId="0" applyFont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39" fontId="0" fillId="0" borderId="0" xfId="0" applyAlignment="1">
      <alignment horizontal="center"/>
    </xf>
    <xf numFmtId="9" fontId="4" fillId="0" borderId="0" xfId="1" applyFont="1"/>
    <xf numFmtId="39" fontId="0" fillId="0" borderId="0" xfId="0" applyFont="1"/>
    <xf numFmtId="4" fontId="0" fillId="0" borderId="0" xfId="1" applyNumberFormat="1" applyFont="1"/>
    <xf numFmtId="9" fontId="0" fillId="0" borderId="0" xfId="0" applyNumberFormat="1" applyFill="1"/>
    <xf numFmtId="164" fontId="7" fillId="0" borderId="0" xfId="0" applyNumberFormat="1" applyFont="1" applyFill="1"/>
    <xf numFmtId="39" fontId="19" fillId="0" borderId="9" xfId="0" applyFont="1" applyBorder="1" applyAlignment="1">
      <alignment horizontal="center"/>
    </xf>
    <xf numFmtId="39" fontId="19" fillId="0" borderId="10" xfId="0" applyFont="1" applyBorder="1" applyAlignment="1">
      <alignment horizontal="center"/>
    </xf>
    <xf numFmtId="0" fontId="19" fillId="0" borderId="7" xfId="0" applyNumberFormat="1" applyFont="1" applyBorder="1" applyAlignment="1">
      <alignment horizontal="center"/>
    </xf>
    <xf numFmtId="39" fontId="19" fillId="0" borderId="8" xfId="0" applyFont="1" applyBorder="1" applyAlignment="1">
      <alignment horizontal="center"/>
    </xf>
    <xf numFmtId="39" fontId="0" fillId="0" borderId="5" xfId="0" applyBorder="1" applyAlignment="1">
      <alignment horizontal="center"/>
    </xf>
    <xf numFmtId="39" fontId="0" fillId="5" borderId="5" xfId="0" applyFill="1" applyBorder="1" applyAlignment="1">
      <alignment horizontal="center"/>
    </xf>
    <xf numFmtId="39" fontId="0" fillId="5" borderId="6" xfId="0" applyFill="1" applyBorder="1" applyAlignment="1">
      <alignment horizontal="center"/>
    </xf>
    <xf numFmtId="39" fontId="19" fillId="0" borderId="5" xfId="0" applyFont="1" applyBorder="1" applyAlignment="1">
      <alignment horizontal="center"/>
    </xf>
    <xf numFmtId="39" fontId="19" fillId="0" borderId="6" xfId="0" applyFont="1" applyBorder="1" applyAlignment="1">
      <alignment horizontal="center"/>
    </xf>
    <xf numFmtId="39" fontId="19" fillId="5" borderId="5" xfId="0" applyFont="1" applyFill="1" applyBorder="1" applyAlignment="1">
      <alignment horizontal="center"/>
    </xf>
    <xf numFmtId="39" fontId="19" fillId="5" borderId="6" xfId="0" applyFont="1" applyFill="1" applyBorder="1" applyAlignment="1">
      <alignment horizontal="center"/>
    </xf>
    <xf numFmtId="9" fontId="0" fillId="2" borderId="0" xfId="1" applyFont="1" applyFill="1"/>
    <xf numFmtId="166" fontId="4" fillId="0" borderId="11" xfId="0" applyNumberFormat="1" applyFont="1" applyBorder="1" applyAlignment="1">
      <alignment horizontal="center"/>
    </xf>
    <xf numFmtId="39" fontId="0" fillId="0" borderId="0" xfId="0" applyAlignment="1">
      <alignment horizontal="center"/>
    </xf>
    <xf numFmtId="10" fontId="5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center"/>
    </xf>
    <xf numFmtId="39" fontId="21" fillId="0" borderId="0" xfId="0" applyFont="1" applyAlignment="1">
      <alignment horizontal="right"/>
    </xf>
    <xf numFmtId="10" fontId="21" fillId="0" borderId="0" xfId="1" applyNumberFormat="1" applyFont="1"/>
    <xf numFmtId="37" fontId="0" fillId="0" borderId="0" xfId="0" applyNumberForma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39" fontId="0" fillId="0" borderId="0" xfId="0" applyAlignment="1">
      <alignment horizontal="center"/>
    </xf>
    <xf numFmtId="39" fontId="0" fillId="0" borderId="2" xfId="0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39" fontId="0" fillId="0" borderId="10" xfId="0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39" fontId="0" fillId="0" borderId="0" xfId="0" applyAlignment="1">
      <alignment horizontal="center"/>
    </xf>
    <xf numFmtId="17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/>
    <xf numFmtId="40" fontId="0" fillId="0" borderId="0" xfId="1" applyNumberFormat="1" applyFont="1" applyFill="1" applyBorder="1"/>
    <xf numFmtId="40" fontId="0" fillId="0" borderId="0" xfId="1" applyNumberFormat="1" applyFont="1" applyFill="1"/>
    <xf numFmtId="39" fontId="0" fillId="6" borderId="0" xfId="0" applyNumberFormat="1" applyFill="1"/>
    <xf numFmtId="165" fontId="5" fillId="0" borderId="0" xfId="0" applyNumberFormat="1" applyFont="1" applyFill="1" applyAlignment="1">
      <alignment horizontal="centerContinuous"/>
    </xf>
    <xf numFmtId="39" fontId="0" fillId="0" borderId="0" xfId="0" applyFill="1" applyAlignment="1">
      <alignment horizontal="centerContinuous"/>
    </xf>
    <xf numFmtId="10" fontId="0" fillId="0" borderId="0" xfId="0" applyNumberFormat="1" applyFill="1" applyAlignment="1">
      <alignment horizontal="centerContinuous"/>
    </xf>
    <xf numFmtId="14" fontId="0" fillId="0" borderId="0" xfId="0" applyNumberFormat="1" applyFill="1"/>
    <xf numFmtId="39" fontId="22" fillId="0" borderId="2" xfId="0" applyFont="1" applyBorder="1"/>
    <xf numFmtId="10" fontId="19" fillId="0" borderId="0" xfId="0" applyNumberFormat="1" applyFont="1"/>
    <xf numFmtId="10" fontId="19" fillId="0" borderId="0" xfId="0" applyNumberFormat="1" applyFont="1" applyBorder="1" applyAlignment="1">
      <alignment horizontal="center"/>
    </xf>
    <xf numFmtId="10" fontId="7" fillId="0" borderId="0" xfId="1" applyNumberFormat="1" applyFont="1" applyBorder="1"/>
    <xf numFmtId="39" fontId="0" fillId="0" borderId="2" xfId="0" applyFill="1" applyBorder="1"/>
    <xf numFmtId="14" fontId="0" fillId="0" borderId="0" xfId="0" applyNumberFormat="1" applyFill="1" applyAlignment="1">
      <alignment horizontal="center"/>
    </xf>
    <xf numFmtId="37" fontId="15" fillId="0" borderId="5" xfId="0" applyNumberFormat="1" applyFont="1" applyBorder="1"/>
    <xf numFmtId="39" fontId="4" fillId="0" borderId="0" xfId="0" applyFont="1" applyBorder="1"/>
    <xf numFmtId="10" fontId="4" fillId="0" borderId="6" xfId="1" applyNumberFormat="1" applyFont="1" applyBorder="1"/>
    <xf numFmtId="10" fontId="7" fillId="0" borderId="2" xfId="1" applyNumberFormat="1" applyFont="1" applyBorder="1"/>
    <xf numFmtId="39" fontId="0" fillId="0" borderId="7" xfId="0" applyBorder="1"/>
    <xf numFmtId="39" fontId="0" fillId="0" borderId="0" xfId="0" applyFill="1" applyBorder="1" applyAlignment="1">
      <alignment horizontal="center"/>
    </xf>
    <xf numFmtId="39" fontId="0" fillId="0" borderId="2" xfId="0" applyFont="1" applyBorder="1"/>
    <xf numFmtId="10" fontId="0" fillId="0" borderId="2" xfId="0" applyNumberFormat="1" applyFont="1" applyBorder="1"/>
    <xf numFmtId="10" fontId="7" fillId="0" borderId="0" xfId="1" applyNumberFormat="1" applyFont="1" applyFill="1" applyBorder="1"/>
    <xf numFmtId="39" fontId="0" fillId="0" borderId="2" xfId="0" applyFill="1" applyBorder="1" applyAlignment="1">
      <alignment horizontal="left"/>
    </xf>
    <xf numFmtId="10" fontId="4" fillId="0" borderId="6" xfId="1" applyNumberFormat="1" applyFont="1" applyFill="1" applyBorder="1"/>
    <xf numFmtId="10" fontId="7" fillId="0" borderId="8" xfId="1" applyNumberFormat="1" applyFont="1" applyFill="1" applyBorder="1"/>
    <xf numFmtId="39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39" fontId="4" fillId="0" borderId="2" xfId="0" applyFont="1" applyBorder="1" applyAlignment="1">
      <alignment horizontal="center"/>
    </xf>
    <xf numFmtId="39" fontId="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Fill="1"/>
    <xf numFmtId="37" fontId="1" fillId="0" borderId="5" xfId="0" applyNumberFormat="1" applyFont="1" applyFill="1" applyBorder="1"/>
    <xf numFmtId="37" fontId="15" fillId="0" borderId="5" xfId="0" applyNumberFormat="1" applyFont="1" applyFill="1" applyBorder="1"/>
    <xf numFmtId="39" fontId="4" fillId="0" borderId="0" xfId="0" applyFont="1" applyFill="1" applyBorder="1"/>
    <xf numFmtId="10" fontId="4" fillId="0" borderId="0" xfId="1" applyNumberFormat="1" applyFont="1" applyFill="1" applyBorder="1"/>
    <xf numFmtId="10" fontId="4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7" xfId="0" applyNumberFormat="1" applyFont="1" applyFill="1" applyBorder="1"/>
    <xf numFmtId="10" fontId="0" fillId="0" borderId="2" xfId="1" applyNumberFormat="1" applyFont="1" applyFill="1" applyBorder="1"/>
    <xf numFmtId="10" fontId="7" fillId="0" borderId="2" xfId="1" applyNumberFormat="1" applyFont="1" applyFill="1" applyBorder="1"/>
    <xf numFmtId="10" fontId="0" fillId="0" borderId="2" xfId="0" applyNumberFormat="1" applyFill="1" applyBorder="1"/>
    <xf numFmtId="10" fontId="0" fillId="0" borderId="8" xfId="1" applyNumberFormat="1" applyFont="1" applyFill="1" applyBorder="1"/>
    <xf numFmtId="39" fontId="4" fillId="0" borderId="2" xfId="0" applyFont="1" applyBorder="1"/>
    <xf numFmtId="14" fontId="0" fillId="0" borderId="0" xfId="0" applyNumberFormat="1" applyFont="1"/>
    <xf numFmtId="10" fontId="5" fillId="0" borderId="0" xfId="0" applyNumberFormat="1" applyFont="1" applyAlignment="1">
      <alignment horizontal="center"/>
    </xf>
    <xf numFmtId="9" fontId="7" fillId="0" borderId="0" xfId="0" applyNumberFormat="1" applyFont="1" applyFill="1" applyAlignment="1">
      <alignment horizontal="center"/>
    </xf>
    <xf numFmtId="164" fontId="0" fillId="0" borderId="0" xfId="0" applyNumberFormat="1" applyFill="1"/>
    <xf numFmtId="167" fontId="0" fillId="0" borderId="0" xfId="0" applyNumberFormat="1" applyFill="1"/>
    <xf numFmtId="37" fontId="0" fillId="0" borderId="0" xfId="0" applyNumberFormat="1" applyFill="1"/>
    <xf numFmtId="39" fontId="7" fillId="5" borderId="0" xfId="0" applyFont="1" applyFill="1" applyBorder="1" applyAlignment="1">
      <alignment horizontal="center"/>
    </xf>
    <xf numFmtId="165" fontId="5" fillId="0" borderId="0" xfId="0" quotePrefix="1" applyNumberFormat="1" applyFont="1" applyAlignment="1"/>
    <xf numFmtId="39" fontId="0" fillId="0" borderId="2" xfId="0" applyFill="1" applyBorder="1" applyAlignment="1"/>
    <xf numFmtId="43" fontId="0" fillId="5" borderId="0" xfId="2" applyFont="1" applyFill="1"/>
    <xf numFmtId="39" fontId="4" fillId="0" borderId="2" xfId="0" applyFont="1" applyFill="1" applyBorder="1" applyAlignment="1"/>
    <xf numFmtId="0" fontId="4" fillId="0" borderId="2" xfId="0" applyNumberFormat="1" applyFont="1" applyFill="1" applyBorder="1" applyAlignment="1">
      <alignment horizontal="center"/>
    </xf>
    <xf numFmtId="176" fontId="7" fillId="5" borderId="6" xfId="0" quotePrefix="1" applyNumberFormat="1" applyFont="1" applyFill="1" applyBorder="1" applyAlignment="1">
      <alignment horizontal="center"/>
    </xf>
    <xf numFmtId="168" fontId="4" fillId="0" borderId="0" xfId="2" applyNumberFormat="1" applyFont="1" applyFill="1"/>
    <xf numFmtId="39" fontId="4" fillId="0" borderId="0" xfId="0" applyFont="1" applyFill="1"/>
    <xf numFmtId="176" fontId="4" fillId="0" borderId="0" xfId="0" applyNumberFormat="1" applyFont="1" applyAlignment="1">
      <alignment horizontal="center" vertical="center"/>
    </xf>
    <xf numFmtId="39" fontId="6" fillId="0" borderId="0" xfId="0" quotePrefix="1" applyFont="1" applyFill="1" applyAlignment="1">
      <alignment horizontal="left"/>
    </xf>
    <xf numFmtId="39" fontId="6" fillId="0" borderId="0" xfId="0" applyFont="1" applyFill="1" applyAlignment="1">
      <alignment horizontal="left"/>
    </xf>
    <xf numFmtId="166" fontId="4" fillId="0" borderId="0" xfId="0" quotePrefix="1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10" fontId="5" fillId="0" borderId="0" xfId="0" applyNumberFormat="1" applyFont="1" applyFill="1"/>
    <xf numFmtId="165" fontId="5" fillId="0" borderId="0" xfId="0" applyNumberFormat="1" applyFont="1" applyAlignment="1"/>
    <xf numFmtId="39" fontId="0" fillId="0" borderId="21" xfId="0" applyBorder="1"/>
    <xf numFmtId="39" fontId="0" fillId="0" borderId="22" xfId="0" applyBorder="1"/>
    <xf numFmtId="10" fontId="0" fillId="0" borderId="21" xfId="1" applyNumberFormat="1" applyFont="1" applyBorder="1"/>
    <xf numFmtId="10" fontId="0" fillId="0" borderId="22" xfId="1" applyNumberFormat="1" applyFont="1" applyBorder="1"/>
    <xf numFmtId="10" fontId="5" fillId="0" borderId="0" xfId="1" applyNumberFormat="1" applyFont="1" applyBorder="1"/>
    <xf numFmtId="39" fontId="0" fillId="0" borderId="23" xfId="0" applyBorder="1"/>
    <xf numFmtId="39" fontId="18" fillId="0" borderId="24" xfId="0" applyFont="1" applyBorder="1"/>
    <xf numFmtId="39" fontId="0" fillId="0" borderId="25" xfId="0" applyBorder="1"/>
    <xf numFmtId="10" fontId="0" fillId="0" borderId="23" xfId="1" applyNumberFormat="1" applyFont="1" applyBorder="1"/>
    <xf numFmtId="10" fontId="5" fillId="0" borderId="24" xfId="1" applyNumberFormat="1" applyFont="1" applyBorder="1"/>
    <xf numFmtId="10" fontId="0" fillId="0" borderId="25" xfId="1" applyNumberFormat="1" applyFont="1" applyBorder="1"/>
    <xf numFmtId="1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0" fontId="20" fillId="0" borderId="0" xfId="0" applyNumberFormat="1" applyFont="1"/>
    <xf numFmtId="39" fontId="20" fillId="0" borderId="0" xfId="0" quotePrefix="1" applyFont="1" applyFill="1" applyAlignment="1">
      <alignment horizontal="left"/>
    </xf>
    <xf numFmtId="170" fontId="20" fillId="0" borderId="0" xfId="0" applyNumberFormat="1" applyFont="1" applyAlignment="1">
      <alignment horizontal="center"/>
    </xf>
    <xf numFmtId="39" fontId="20" fillId="0" borderId="0" xfId="0" applyFont="1" applyFill="1"/>
    <xf numFmtId="39" fontId="20" fillId="0" borderId="0" xfId="0" applyFont="1" applyFill="1" applyAlignment="1">
      <alignment horizontal="left"/>
    </xf>
    <xf numFmtId="39" fontId="20" fillId="0" borderId="26" xfId="0" applyFont="1" applyBorder="1" applyAlignment="1">
      <alignment horizontal="center"/>
    </xf>
    <xf numFmtId="39" fontId="20" fillId="0" borderId="27" xfId="0" applyFont="1" applyBorder="1" applyAlignment="1">
      <alignment horizontal="center"/>
    </xf>
    <xf numFmtId="39" fontId="20" fillId="0" borderId="21" xfId="0" applyFont="1" applyBorder="1"/>
    <xf numFmtId="39" fontId="19" fillId="0" borderId="0" xfId="0" applyFont="1" applyBorder="1"/>
    <xf numFmtId="39" fontId="20" fillId="0" borderId="22" xfId="0" applyFont="1" applyBorder="1"/>
    <xf numFmtId="39" fontId="20" fillId="0" borderId="0" xfId="0" applyFont="1" applyBorder="1"/>
    <xf numFmtId="10" fontId="20" fillId="0" borderId="0" xfId="1" applyNumberFormat="1" applyFont="1"/>
    <xf numFmtId="10" fontId="20" fillId="0" borderId="21" xfId="1" applyNumberFormat="1" applyFont="1" applyBorder="1"/>
    <xf numFmtId="10" fontId="19" fillId="0" borderId="0" xfId="1" applyNumberFormat="1" applyFont="1" applyBorder="1"/>
    <xf numFmtId="10" fontId="20" fillId="0" borderId="22" xfId="1" applyNumberFormat="1" applyFont="1" applyBorder="1"/>
    <xf numFmtId="10" fontId="20" fillId="0" borderId="0" xfId="0" applyNumberFormat="1" applyFont="1" applyBorder="1"/>
    <xf numFmtId="10" fontId="20" fillId="0" borderId="22" xfId="0" applyNumberFormat="1" applyFont="1" applyBorder="1"/>
    <xf numFmtId="10" fontId="19" fillId="0" borderId="0" xfId="0" applyNumberFormat="1" applyFont="1" applyBorder="1"/>
    <xf numFmtId="10" fontId="20" fillId="0" borderId="21" xfId="1" applyNumberFormat="1" applyFont="1" applyBorder="1" applyAlignment="1">
      <alignment horizontal="center"/>
    </xf>
    <xf numFmtId="10" fontId="20" fillId="0" borderId="22" xfId="0" applyNumberFormat="1" applyFont="1" applyBorder="1" applyAlignment="1">
      <alignment horizontal="center"/>
    </xf>
    <xf numFmtId="39" fontId="20" fillId="0" borderId="0" xfId="0" applyFont="1" applyAlignment="1">
      <alignment horizontal="right"/>
    </xf>
    <xf numFmtId="177" fontId="20" fillId="0" borderId="0" xfId="1" applyNumberFormat="1" applyFont="1"/>
    <xf numFmtId="14" fontId="20" fillId="0" borderId="0" xfId="1" applyNumberFormat="1" applyFont="1"/>
    <xf numFmtId="178" fontId="20" fillId="0" borderId="0" xfId="0" applyNumberFormat="1" applyFont="1" applyBorder="1"/>
    <xf numFmtId="39" fontId="20" fillId="0" borderId="0" xfId="0" quotePrefix="1" applyFont="1" applyBorder="1" applyAlignment="1">
      <alignment horizontal="left"/>
    </xf>
    <xf numFmtId="10" fontId="20" fillId="0" borderId="0" xfId="1" applyNumberFormat="1" applyFont="1" applyBorder="1"/>
    <xf numFmtId="39" fontId="20" fillId="0" borderId="0" xfId="0" applyFont="1" applyBorder="1" applyAlignment="1">
      <alignment horizontal="left"/>
    </xf>
    <xf numFmtId="10" fontId="20" fillId="0" borderId="0" xfId="0" applyNumberFormat="1" applyFont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39" fontId="20" fillId="0" borderId="0" xfId="0" applyFont="1" applyAlignment="1">
      <alignment horizontal="left"/>
    </xf>
    <xf numFmtId="39" fontId="4" fillId="0" borderId="0" xfId="0" applyFont="1" applyFill="1" applyBorder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39" fontId="0" fillId="0" borderId="0" xfId="0" applyAlignment="1">
      <alignment horizontal="center"/>
    </xf>
    <xf numFmtId="39" fontId="0" fillId="8" borderId="0" xfId="0" applyFill="1"/>
    <xf numFmtId="39" fontId="0" fillId="8" borderId="0" xfId="0" quotePrefix="1" applyFill="1" applyAlignment="1">
      <alignment horizontal="left"/>
    </xf>
    <xf numFmtId="39" fontId="7" fillId="8" borderId="0" xfId="0" applyFont="1" applyFill="1" applyAlignment="1">
      <alignment horizontal="center"/>
    </xf>
    <xf numFmtId="39" fontId="0" fillId="8" borderId="0" xfId="0" applyFill="1" applyAlignment="1">
      <alignment horizontal="center"/>
    </xf>
    <xf numFmtId="9" fontId="7" fillId="8" borderId="0" xfId="0" applyNumberFormat="1" applyFont="1" applyFill="1" applyAlignment="1">
      <alignment horizontal="center"/>
    </xf>
    <xf numFmtId="164" fontId="0" fillId="8" borderId="0" xfId="0" applyNumberFormat="1" applyFill="1"/>
    <xf numFmtId="9" fontId="0" fillId="0" borderId="0" xfId="1" applyFont="1" applyFill="1" applyAlignment="1">
      <alignment horizontal="center"/>
    </xf>
    <xf numFmtId="9" fontId="0" fillId="0" borderId="0" xfId="1" applyNumberFormat="1" applyFont="1" applyFill="1" applyAlignment="1">
      <alignment horizontal="center"/>
    </xf>
    <xf numFmtId="39" fontId="19" fillId="0" borderId="10" xfId="0" quotePrefix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10" fontId="19" fillId="0" borderId="0" xfId="0" applyNumberFormat="1" applyFont="1" applyFill="1" applyBorder="1" applyAlignment="1">
      <alignment horizontal="left"/>
    </xf>
    <xf numFmtId="10" fontId="20" fillId="0" borderId="0" xfId="0" applyNumberFormat="1" applyFont="1" applyFill="1"/>
    <xf numFmtId="39" fontId="20" fillId="0" borderId="21" xfId="0" applyFont="1" applyBorder="1" applyAlignment="1">
      <alignment horizontal="center"/>
    </xf>
    <xf numFmtId="39" fontId="20" fillId="0" borderId="22" xfId="0" applyFont="1" applyBorder="1" applyAlignment="1">
      <alignment horizontal="center"/>
    </xf>
    <xf numFmtId="39" fontId="19" fillId="0" borderId="0" xfId="0" applyFont="1" applyBorder="1" applyAlignment="1">
      <alignment horizontal="center"/>
    </xf>
    <xf numFmtId="39" fontId="0" fillId="0" borderId="0" xfId="0" applyAlignment="1">
      <alignment horizontal="center"/>
    </xf>
    <xf numFmtId="39" fontId="20" fillId="0" borderId="18" xfId="0" applyFont="1" applyBorder="1"/>
    <xf numFmtId="39" fontId="20" fillId="0" borderId="19" xfId="0" applyFont="1" applyBorder="1"/>
    <xf numFmtId="39" fontId="20" fillId="0" borderId="20" xfId="0" applyFont="1" applyBorder="1"/>
    <xf numFmtId="10" fontId="0" fillId="0" borderId="0" xfId="1" applyNumberFormat="1" applyFont="1" applyAlignment="1">
      <alignment horizontal="right"/>
    </xf>
    <xf numFmtId="10" fontId="5" fillId="0" borderId="0" xfId="0" quotePrefix="1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center"/>
    </xf>
    <xf numFmtId="37" fontId="0" fillId="0" borderId="9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0" fillId="0" borderId="0" xfId="1" applyNumberFormat="1" applyFont="1" applyFill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2" fontId="0" fillId="0" borderId="9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0" fontId="0" fillId="0" borderId="9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right"/>
    </xf>
    <xf numFmtId="37" fontId="0" fillId="0" borderId="5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2" fontId="0" fillId="0" borderId="5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0" fontId="0" fillId="0" borderId="5" xfId="0" applyNumberFormat="1" applyFill="1" applyBorder="1" applyAlignment="1">
      <alignment horizontal="center"/>
    </xf>
    <xf numFmtId="173" fontId="0" fillId="0" borderId="6" xfId="0" applyNumberForma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169" fontId="1" fillId="0" borderId="0" xfId="2" applyNumberFormat="1" applyFont="1" applyAlignment="1">
      <alignment horizontal="center"/>
    </xf>
    <xf numFmtId="0" fontId="0" fillId="0" borderId="0" xfId="0" applyNumberFormat="1" applyFont="1"/>
    <xf numFmtId="0" fontId="24" fillId="0" borderId="0" xfId="0" applyNumberFormat="1" applyFont="1"/>
    <xf numFmtId="5" fontId="24" fillId="0" borderId="0" xfId="0" applyNumberFormat="1" applyFont="1" applyFill="1" applyBorder="1" applyAlignment="1">
      <alignment horizontal="center"/>
    </xf>
    <xf numFmtId="0" fontId="25" fillId="0" borderId="18" xfId="0" applyNumberFormat="1" applyFont="1" applyBorder="1" applyAlignment="1">
      <alignment vertical="center"/>
    </xf>
    <xf numFmtId="0" fontId="25" fillId="0" borderId="26" xfId="0" applyNumberFormat="1" applyFont="1" applyBorder="1" applyAlignment="1">
      <alignment vertical="center"/>
    </xf>
    <xf numFmtId="0" fontId="23" fillId="0" borderId="31" xfId="0" applyNumberFormat="1" applyFont="1" applyFill="1" applyBorder="1" applyAlignment="1">
      <alignment vertical="center"/>
    </xf>
    <xf numFmtId="0" fontId="26" fillId="0" borderId="30" xfId="0" applyNumberFormat="1" applyFont="1" applyFill="1" applyBorder="1" applyAlignment="1">
      <alignment vertical="center" wrapText="1"/>
    </xf>
    <xf numFmtId="179" fontId="26" fillId="0" borderId="30" xfId="0" applyNumberFormat="1" applyFont="1" applyFill="1" applyBorder="1" applyAlignment="1">
      <alignment horizontal="right" vertical="center" wrapText="1"/>
    </xf>
    <xf numFmtId="169" fontId="27" fillId="0" borderId="0" xfId="2" applyNumberFormat="1" applyFont="1"/>
    <xf numFmtId="0" fontId="26" fillId="0" borderId="31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 wrapText="1"/>
    </xf>
    <xf numFmtId="164" fontId="25" fillId="0" borderId="30" xfId="0" applyNumberFormat="1" applyFont="1" applyFill="1" applyBorder="1" applyAlignment="1">
      <alignment horizontal="right" vertical="center"/>
    </xf>
    <xf numFmtId="164" fontId="26" fillId="0" borderId="30" xfId="0" applyNumberFormat="1" applyFont="1" applyFill="1" applyBorder="1" applyAlignment="1">
      <alignment horizontal="right" vertical="center"/>
    </xf>
    <xf numFmtId="0" fontId="27" fillId="0" borderId="30" xfId="0" applyNumberFormat="1" applyFont="1" applyBorder="1"/>
    <xf numFmtId="0" fontId="27" fillId="0" borderId="30" xfId="0" applyNumberFormat="1" applyFont="1" applyBorder="1" applyAlignment="1">
      <alignment horizontal="right"/>
    </xf>
    <xf numFmtId="0" fontId="28" fillId="0" borderId="30" xfId="0" applyNumberFormat="1" applyFont="1" applyBorder="1"/>
    <xf numFmtId="0" fontId="27" fillId="0" borderId="0" xfId="0" applyNumberFormat="1" applyFont="1"/>
    <xf numFmtId="180" fontId="27" fillId="0" borderId="0" xfId="0" applyNumberFormat="1" applyFont="1"/>
    <xf numFmtId="0" fontId="30" fillId="0" borderId="0" xfId="0" applyNumberFormat="1" applyFont="1" applyAlignment="1">
      <alignment horizontal="right"/>
    </xf>
    <xf numFmtId="5" fontId="23" fillId="0" borderId="30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right"/>
    </xf>
    <xf numFmtId="5" fontId="23" fillId="0" borderId="34" xfId="0" applyNumberFormat="1" applyFont="1" applyFill="1" applyBorder="1" applyAlignment="1">
      <alignment horizontal="center" vertical="center" wrapText="1"/>
    </xf>
    <xf numFmtId="164" fontId="23" fillId="0" borderId="35" xfId="0" applyNumberFormat="1" applyFont="1" applyFill="1" applyBorder="1" applyAlignment="1">
      <alignment horizontal="center" vertical="center"/>
    </xf>
    <xf numFmtId="180" fontId="23" fillId="0" borderId="35" xfId="3" applyNumberFormat="1" applyFont="1" applyFill="1" applyBorder="1" applyAlignment="1">
      <alignment horizontal="right" vertical="center"/>
    </xf>
    <xf numFmtId="164" fontId="25" fillId="0" borderId="35" xfId="0" applyNumberFormat="1" applyFont="1" applyFill="1" applyBorder="1" applyAlignment="1">
      <alignment horizontal="center" vertical="center"/>
    </xf>
    <xf numFmtId="180" fontId="27" fillId="0" borderId="35" xfId="3" applyNumberFormat="1" applyFont="1" applyFill="1" applyBorder="1"/>
    <xf numFmtId="180" fontId="23" fillId="0" borderId="35" xfId="3" applyNumberFormat="1" applyFont="1" applyFill="1" applyBorder="1" applyAlignment="1">
      <alignment horizontal="center" vertical="center"/>
    </xf>
    <xf numFmtId="0" fontId="27" fillId="0" borderId="31" xfId="0" applyNumberFormat="1" applyFont="1" applyBorder="1"/>
    <xf numFmtId="180" fontId="27" fillId="0" borderId="35" xfId="3" applyNumberFormat="1" applyFont="1" applyBorder="1"/>
    <xf numFmtId="180" fontId="28" fillId="0" borderId="35" xfId="3" applyNumberFormat="1" applyFont="1" applyBorder="1"/>
    <xf numFmtId="180" fontId="29" fillId="0" borderId="35" xfId="3" applyNumberFormat="1" applyFont="1" applyBorder="1"/>
    <xf numFmtId="44" fontId="27" fillId="0" borderId="35" xfId="3" applyFont="1" applyBorder="1"/>
    <xf numFmtId="0" fontId="27" fillId="0" borderId="36" xfId="0" applyNumberFormat="1" applyFont="1" applyBorder="1"/>
    <xf numFmtId="0" fontId="27" fillId="0" borderId="37" xfId="0" applyNumberFormat="1" applyFont="1" applyBorder="1"/>
    <xf numFmtId="0" fontId="27" fillId="0" borderId="37" xfId="0" applyNumberFormat="1" applyFont="1" applyBorder="1" applyAlignment="1">
      <alignment horizontal="right"/>
    </xf>
    <xf numFmtId="44" fontId="27" fillId="0" borderId="38" xfId="3" applyFont="1" applyBorder="1"/>
    <xf numFmtId="0" fontId="1" fillId="0" borderId="0" xfId="4"/>
    <xf numFmtId="0" fontId="31" fillId="0" borderId="0" xfId="0" applyNumberFormat="1" applyFont="1"/>
    <xf numFmtId="0" fontId="1" fillId="0" borderId="0" xfId="4" applyAlignment="1">
      <alignment horizontal="left"/>
    </xf>
    <xf numFmtId="181" fontId="1" fillId="0" borderId="0" xfId="4" applyNumberFormat="1"/>
    <xf numFmtId="179" fontId="1" fillId="0" borderId="0" xfId="4" applyNumberFormat="1"/>
    <xf numFmtId="0" fontId="32" fillId="0" borderId="0" xfId="4" applyFont="1"/>
    <xf numFmtId="0" fontId="0" fillId="0" borderId="0" xfId="4" applyFont="1" applyAlignment="1">
      <alignment horizontal="center"/>
    </xf>
    <xf numFmtId="181" fontId="0" fillId="0" borderId="0" xfId="4" applyNumberFormat="1" applyFont="1" applyAlignment="1">
      <alignment horizontal="center"/>
    </xf>
    <xf numFmtId="179" fontId="0" fillId="0" borderId="0" xfId="4" applyNumberFormat="1" applyFont="1" applyAlignment="1">
      <alignment horizontal="center"/>
    </xf>
    <xf numFmtId="0" fontId="1" fillId="0" borderId="0" xfId="4" applyAlignment="1">
      <alignment horizontal="center" vertical="center" wrapText="1"/>
    </xf>
    <xf numFmtId="0" fontId="15" fillId="9" borderId="2" xfId="5" applyFont="1" applyFill="1" applyBorder="1" applyAlignment="1">
      <alignment horizontal="left" wrapText="1"/>
    </xf>
    <xf numFmtId="181" fontId="15" fillId="9" borderId="2" xfId="5" applyNumberFormat="1" applyFont="1" applyFill="1" applyBorder="1" applyAlignment="1">
      <alignment horizontal="left" wrapText="1"/>
    </xf>
    <xf numFmtId="0" fontId="15" fillId="9" borderId="2" xfId="5" applyFont="1" applyFill="1" applyBorder="1" applyAlignment="1">
      <alignment horizontal="right" wrapText="1"/>
    </xf>
    <xf numFmtId="0" fontId="1" fillId="0" borderId="0" xfId="4" applyAlignment="1">
      <alignment vertical="center"/>
    </xf>
    <xf numFmtId="0" fontId="0" fillId="0" borderId="0" xfId="0" applyNumberFormat="1" applyAlignment="1">
      <alignment horizontal="left" wrapText="1"/>
    </xf>
    <xf numFmtId="181" fontId="0" fillId="0" borderId="0" xfId="0" applyNumberFormat="1" applyAlignment="1">
      <alignment horizontal="left" wrapText="1"/>
    </xf>
    <xf numFmtId="39" fontId="0" fillId="0" borderId="0" xfId="0" applyNumberFormat="1" applyAlignment="1"/>
    <xf numFmtId="0" fontId="1" fillId="0" borderId="0" xfId="4" applyAlignment="1">
      <alignment horizontal="center" vertical="center"/>
    </xf>
    <xf numFmtId="0" fontId="0" fillId="0" borderId="0" xfId="4" applyFont="1"/>
    <xf numFmtId="0" fontId="20" fillId="0" borderId="0" xfId="4" applyFont="1" applyAlignment="1">
      <alignment vertical="center"/>
    </xf>
    <xf numFmtId="179" fontId="20" fillId="0" borderId="0" xfId="4" applyNumberFormat="1" applyFont="1"/>
    <xf numFmtId="39" fontId="20" fillId="0" borderId="0" xfId="0" applyNumberFormat="1" applyFont="1"/>
    <xf numFmtId="0" fontId="20" fillId="0" borderId="0" xfId="0" applyNumberFormat="1" applyFont="1"/>
    <xf numFmtId="39" fontId="19" fillId="0" borderId="0" xfId="0" applyNumberFormat="1" applyFont="1"/>
    <xf numFmtId="0" fontId="23" fillId="0" borderId="0" xfId="0" applyNumberFormat="1" applyFont="1" applyAlignment="1">
      <alignment horizontal="left"/>
    </xf>
    <xf numFmtId="0" fontId="33" fillId="10" borderId="0" xfId="6" applyFont="1" applyAlignment="1">
      <alignment horizontal="left"/>
    </xf>
    <xf numFmtId="0" fontId="33" fillId="10" borderId="0" xfId="6" applyFont="1" applyAlignment="1">
      <alignment horizontal="left" wrapText="1"/>
    </xf>
    <xf numFmtId="0" fontId="33" fillId="10" borderId="0" xfId="6" applyFont="1" applyAlignment="1">
      <alignment horizontal="center" wrapText="1"/>
    </xf>
    <xf numFmtId="0" fontId="0" fillId="0" borderId="0" xfId="0" applyNumberFormat="1" applyAlignment="1">
      <alignment horizontal="left" vertical="top" wrapText="1"/>
    </xf>
    <xf numFmtId="182" fontId="0" fillId="0" borderId="0" xfId="0" applyNumberFormat="1" applyAlignment="1">
      <alignment horizontal="right" vertical="top" wrapText="1"/>
    </xf>
    <xf numFmtId="183" fontId="0" fillId="0" borderId="0" xfId="0" applyNumberFormat="1" applyAlignment="1">
      <alignment horizontal="right" vertical="top" wrapText="1"/>
    </xf>
    <xf numFmtId="183" fontId="0" fillId="2" borderId="0" xfId="0" applyNumberFormat="1" applyFill="1" applyAlignment="1">
      <alignment horizontal="right" vertical="top" wrapText="1"/>
    </xf>
    <xf numFmtId="184" fontId="0" fillId="0" borderId="0" xfId="0" applyNumberFormat="1" applyAlignment="1">
      <alignment horizontal="right" vertical="top" wrapText="1"/>
    </xf>
    <xf numFmtId="43" fontId="34" fillId="2" borderId="0" xfId="2" applyFont="1" applyFill="1"/>
    <xf numFmtId="0" fontId="15" fillId="2" borderId="0" xfId="0" applyNumberFormat="1" applyFont="1" applyFill="1" applyAlignment="1">
      <alignment horizontal="left" vertical="top"/>
    </xf>
    <xf numFmtId="0" fontId="0" fillId="2" borderId="0" xfId="0" applyNumberForma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169" fontId="27" fillId="2" borderId="0" xfId="2" applyNumberFormat="1" applyFont="1" applyFill="1"/>
    <xf numFmtId="39" fontId="19" fillId="8" borderId="0" xfId="0" applyFont="1" applyFill="1"/>
    <xf numFmtId="170" fontId="19" fillId="8" borderId="0" xfId="0" applyNumberFormat="1" applyFont="1" applyFill="1" applyAlignment="1">
      <alignment horizontal="center"/>
    </xf>
    <xf numFmtId="39" fontId="20" fillId="8" borderId="0" xfId="0" applyFont="1" applyFill="1"/>
    <xf numFmtId="170" fontId="20" fillId="8" borderId="0" xfId="0" applyNumberFormat="1" applyFont="1" applyFill="1" applyAlignment="1">
      <alignment horizontal="center"/>
    </xf>
    <xf numFmtId="170" fontId="7" fillId="0" borderId="0" xfId="0" applyNumberFormat="1" applyFont="1" applyFill="1" applyAlignment="1">
      <alignment horizontal="center"/>
    </xf>
    <xf numFmtId="37" fontId="15" fillId="0" borderId="7" xfId="0" applyNumberFormat="1" applyFont="1" applyBorder="1" applyAlignment="1">
      <alignment horizontal="center"/>
    </xf>
    <xf numFmtId="175" fontId="21" fillId="0" borderId="0" xfId="0" applyNumberFormat="1" applyFont="1" applyAlignment="1">
      <alignment horizontal="center"/>
    </xf>
    <xf numFmtId="39" fontId="4" fillId="0" borderId="7" xfId="0" applyFont="1" applyBorder="1" applyAlignment="1">
      <alignment horizontal="center"/>
    </xf>
    <xf numFmtId="39" fontId="4" fillId="0" borderId="5" xfId="0" applyFont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39" fontId="9" fillId="0" borderId="0" xfId="0" applyFont="1" applyFill="1" applyAlignment="1">
      <alignment horizontal="right"/>
    </xf>
    <xf numFmtId="39" fontId="4" fillId="0" borderId="0" xfId="0" applyNumberFormat="1" applyFont="1" applyFill="1"/>
    <xf numFmtId="39" fontId="0" fillId="0" borderId="1" xfId="0" applyNumberFormat="1" applyFill="1" applyBorder="1"/>
    <xf numFmtId="39" fontId="5" fillId="0" borderId="0" xfId="0" applyFont="1" applyFill="1" applyAlignment="1">
      <alignment horizontal="right"/>
    </xf>
    <xf numFmtId="39" fontId="2" fillId="0" borderId="0" xfId="0" applyFont="1" applyFill="1" applyAlignment="1">
      <alignment horizontal="centerContinuous"/>
    </xf>
    <xf numFmtId="39" fontId="0" fillId="0" borderId="0" xfId="0" applyNumberFormat="1" applyFill="1" applyAlignment="1">
      <alignment horizontal="centerContinuous"/>
    </xf>
    <xf numFmtId="39" fontId="5" fillId="0" borderId="0" xfId="0" applyFont="1" applyFill="1" applyAlignment="1">
      <alignment horizontal="centerContinuous"/>
    </xf>
    <xf numFmtId="39" fontId="0" fillId="0" borderId="2" xfId="0" applyNumberFormat="1" applyFill="1" applyBorder="1"/>
    <xf numFmtId="0" fontId="35" fillId="0" borderId="0" xfId="4" applyFont="1"/>
    <xf numFmtId="0" fontId="35" fillId="0" borderId="0" xfId="4" applyFont="1" applyAlignment="1">
      <alignment horizontal="left"/>
    </xf>
    <xf numFmtId="181" fontId="36" fillId="0" borderId="0" xfId="4" applyNumberFormat="1" applyFont="1" applyAlignment="1">
      <alignment horizontal="left"/>
    </xf>
    <xf numFmtId="2" fontId="36" fillId="0" borderId="0" xfId="2" applyNumberFormat="1" applyFont="1"/>
    <xf numFmtId="0" fontId="19" fillId="0" borderId="0" xfId="4" applyFont="1" applyAlignment="1">
      <alignment horizontal="center" vertical="center"/>
    </xf>
    <xf numFmtId="39" fontId="0" fillId="0" borderId="0" xfId="0" applyAlignment="1">
      <alignment vertical="center"/>
    </xf>
    <xf numFmtId="39" fontId="19" fillId="0" borderId="0" xfId="0" applyFont="1" applyAlignment="1">
      <alignment horizontal="center" vertical="center"/>
    </xf>
    <xf numFmtId="39" fontId="20" fillId="0" borderId="0" xfId="0" applyFont="1" applyAlignment="1">
      <alignment vertical="center"/>
    </xf>
    <xf numFmtId="0" fontId="20" fillId="0" borderId="0" xfId="0" applyNumberFormat="1" applyFont="1" applyAlignment="1">
      <alignment horizontal="left" vertical="center" wrapText="1"/>
    </xf>
    <xf numFmtId="39" fontId="19" fillId="0" borderId="0" xfId="0" applyNumberFormat="1" applyFont="1" applyAlignment="1">
      <alignment vertical="center"/>
    </xf>
    <xf numFmtId="39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39" fontId="4" fillId="8" borderId="0" xfId="0" applyFont="1" applyFill="1" applyAlignment="1">
      <alignment horizontal="center"/>
    </xf>
    <xf numFmtId="39" fontId="4" fillId="8" borderId="0" xfId="0" applyFont="1" applyFill="1"/>
    <xf numFmtId="7" fontId="4" fillId="8" borderId="0" xfId="0" applyNumberFormat="1" applyFont="1" applyFill="1"/>
    <xf numFmtId="10" fontId="4" fillId="8" borderId="0" xfId="0" applyNumberFormat="1" applyFont="1" applyFill="1"/>
    <xf numFmtId="10" fontId="4" fillId="8" borderId="0" xfId="0" applyNumberFormat="1" applyFont="1" applyFill="1" applyAlignment="1">
      <alignment horizontal="right"/>
    </xf>
    <xf numFmtId="9" fontId="4" fillId="8" borderId="0" xfId="1" applyFont="1" applyFill="1" applyAlignment="1">
      <alignment horizontal="center"/>
    </xf>
    <xf numFmtId="9" fontId="4" fillId="8" borderId="0" xfId="0" applyNumberFormat="1" applyFont="1" applyFill="1" applyAlignment="1">
      <alignment horizontal="center"/>
    </xf>
    <xf numFmtId="164" fontId="4" fillId="8" borderId="0" xfId="0" applyNumberFormat="1" applyFont="1" applyFill="1"/>
    <xf numFmtId="37" fontId="15" fillId="0" borderId="5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39" fontId="0" fillId="0" borderId="0" xfId="0" applyFont="1" applyBorder="1"/>
    <xf numFmtId="39" fontId="0" fillId="0" borderId="0" xfId="0" applyFont="1" applyBorder="1" applyAlignment="1">
      <alignment horizontal="center"/>
    </xf>
    <xf numFmtId="39" fontId="0" fillId="0" borderId="6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39" fontId="0" fillId="0" borderId="2" xfId="0" applyFont="1" applyBorder="1" applyAlignment="1">
      <alignment horizontal="center"/>
    </xf>
    <xf numFmtId="39" fontId="0" fillId="0" borderId="8" xfId="0" applyFont="1" applyBorder="1" applyAlignment="1">
      <alignment horizontal="center"/>
    </xf>
    <xf numFmtId="39" fontId="22" fillId="0" borderId="2" xfId="0" applyFont="1" applyBorder="1" applyAlignment="1">
      <alignment horizontal="center"/>
    </xf>
    <xf numFmtId="39" fontId="0" fillId="0" borderId="2" xfId="0" applyFont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5" fillId="0" borderId="28" xfId="0" applyNumberFormat="1" applyFont="1" applyBorder="1" applyAlignment="1">
      <alignment horizontal="left" vertical="center"/>
    </xf>
    <xf numFmtId="0" fontId="25" fillId="0" borderId="8" xfId="0" applyNumberFormat="1" applyFont="1" applyBorder="1" applyAlignment="1">
      <alignment horizontal="left" vertical="center"/>
    </xf>
    <xf numFmtId="5" fontId="23" fillId="0" borderId="29" xfId="0" applyNumberFormat="1" applyFont="1" applyFill="1" applyBorder="1" applyAlignment="1">
      <alignment horizontal="center" vertical="center" wrapText="1"/>
    </xf>
    <xf numFmtId="5" fontId="23" fillId="0" borderId="33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/>
    </xf>
    <xf numFmtId="39" fontId="2" fillId="0" borderId="0" xfId="0" applyFont="1" applyAlignment="1">
      <alignment horizontal="center"/>
    </xf>
    <xf numFmtId="39" fontId="5" fillId="0" borderId="0" xfId="0" applyFont="1" applyAlignment="1">
      <alignment horizontal="center"/>
    </xf>
    <xf numFmtId="39" fontId="20" fillId="0" borderId="21" xfId="0" applyFont="1" applyBorder="1" applyAlignment="1">
      <alignment horizontal="center"/>
    </xf>
    <xf numFmtId="39" fontId="20" fillId="0" borderId="0" xfId="0" applyFont="1" applyBorder="1" applyAlignment="1">
      <alignment horizontal="center"/>
    </xf>
    <xf numFmtId="39" fontId="20" fillId="0" borderId="22" xfId="0" applyFont="1" applyBorder="1" applyAlignment="1">
      <alignment horizontal="center"/>
    </xf>
    <xf numFmtId="39" fontId="19" fillId="0" borderId="18" xfId="0" applyFont="1" applyBorder="1" applyAlignment="1">
      <alignment horizontal="center"/>
    </xf>
    <xf numFmtId="39" fontId="19" fillId="0" borderId="19" xfId="0" applyFont="1" applyBorder="1" applyAlignment="1">
      <alignment horizontal="center"/>
    </xf>
    <xf numFmtId="39" fontId="19" fillId="0" borderId="20" xfId="0" applyFont="1" applyBorder="1" applyAlignment="1">
      <alignment horizontal="center"/>
    </xf>
    <xf numFmtId="39" fontId="19" fillId="0" borderId="21" xfId="0" applyFont="1" applyBorder="1" applyAlignment="1">
      <alignment horizontal="center"/>
    </xf>
    <xf numFmtId="39" fontId="19" fillId="0" borderId="0" xfId="0" applyFont="1" applyBorder="1" applyAlignment="1">
      <alignment horizontal="center"/>
    </xf>
    <xf numFmtId="39" fontId="19" fillId="0" borderId="22" xfId="0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2" borderId="0" xfId="0" applyNumberFormat="1" applyFont="1" applyFill="1" applyAlignment="1">
      <alignment horizontal="left" vertical="top" wrapText="1"/>
    </xf>
    <xf numFmtId="39" fontId="11" fillId="0" borderId="0" xfId="0" applyFont="1" applyAlignment="1">
      <alignment horizontal="center"/>
    </xf>
    <xf numFmtId="39" fontId="8" fillId="0" borderId="0" xfId="0" applyFont="1" applyAlignment="1">
      <alignment horizontal="center"/>
    </xf>
    <xf numFmtId="39" fontId="4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0" borderId="15" xfId="0" applyFont="1" applyBorder="1" applyAlignment="1">
      <alignment horizontal="center"/>
    </xf>
    <xf numFmtId="39" fontId="2" fillId="0" borderId="16" xfId="0" applyFont="1" applyBorder="1" applyAlignment="1">
      <alignment horizontal="center"/>
    </xf>
    <xf numFmtId="39" fontId="2" fillId="0" borderId="17" xfId="0" applyFont="1" applyBorder="1" applyAlignment="1">
      <alignment horizontal="center"/>
    </xf>
    <xf numFmtId="39" fontId="2" fillId="0" borderId="3" xfId="0" applyFont="1" applyBorder="1" applyAlignment="1">
      <alignment horizontal="center"/>
    </xf>
    <xf numFmtId="39" fontId="2" fillId="0" borderId="11" xfId="0" applyFont="1" applyBorder="1" applyAlignment="1">
      <alignment horizontal="center"/>
    </xf>
    <xf numFmtId="39" fontId="2" fillId="0" borderId="4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37" fontId="15" fillId="0" borderId="3" xfId="0" applyNumberFormat="1" applyFont="1" applyBorder="1" applyAlignment="1">
      <alignment horizontal="center"/>
    </xf>
    <xf numFmtId="37" fontId="15" fillId="0" borderId="11" xfId="0" applyNumberFormat="1" applyFont="1" applyBorder="1" applyAlignment="1">
      <alignment horizontal="center"/>
    </xf>
    <xf numFmtId="37" fontId="15" fillId="0" borderId="4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7" fontId="15" fillId="0" borderId="7" xfId="0" applyNumberFormat="1" applyFont="1" applyBorder="1" applyAlignment="1">
      <alignment horizontal="center"/>
    </xf>
    <xf numFmtId="37" fontId="15" fillId="0" borderId="2" xfId="0" applyNumberFormat="1" applyFont="1" applyBorder="1" applyAlignment="1">
      <alignment horizontal="center"/>
    </xf>
    <xf numFmtId="175" fontId="21" fillId="0" borderId="0" xfId="0" applyNumberFormat="1" applyFont="1" applyAlignment="1">
      <alignment horizontal="center"/>
    </xf>
    <xf numFmtId="39" fontId="4" fillId="0" borderId="3" xfId="0" applyFont="1" applyBorder="1" applyAlignment="1">
      <alignment horizontal="center"/>
    </xf>
    <xf numFmtId="39" fontId="4" fillId="0" borderId="11" xfId="0" applyFont="1" applyBorder="1" applyAlignment="1">
      <alignment horizontal="center"/>
    </xf>
    <xf numFmtId="39" fontId="4" fillId="0" borderId="4" xfId="0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39" fontId="19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9" fontId="4" fillId="0" borderId="7" xfId="0" applyFont="1" applyBorder="1" applyAlignment="1">
      <alignment horizontal="center"/>
    </xf>
    <xf numFmtId="39" fontId="4" fillId="0" borderId="2" xfId="0" applyFont="1" applyBorder="1" applyAlignment="1">
      <alignment horizontal="center"/>
    </xf>
    <xf numFmtId="169" fontId="4" fillId="0" borderId="9" xfId="2" applyNumberFormat="1" applyFont="1" applyFill="1" applyBorder="1" applyAlignment="1">
      <alignment horizontal="center"/>
    </xf>
    <xf numFmtId="169" fontId="4" fillId="0" borderId="1" xfId="2" applyNumberFormat="1" applyFont="1" applyFill="1" applyBorder="1" applyAlignment="1">
      <alignment horizontal="center"/>
    </xf>
    <xf numFmtId="169" fontId="4" fillId="0" borderId="10" xfId="2" applyNumberFormat="1" applyFont="1" applyFill="1" applyBorder="1" applyAlignment="1">
      <alignment horizontal="center"/>
    </xf>
    <xf numFmtId="169" fontId="4" fillId="0" borderId="9" xfId="2" applyNumberFormat="1" applyFont="1" applyBorder="1" applyAlignment="1">
      <alignment horizontal="center"/>
    </xf>
    <xf numFmtId="169" fontId="4" fillId="0" borderId="1" xfId="2" applyNumberFormat="1" applyFont="1" applyBorder="1" applyAlignment="1">
      <alignment horizontal="center"/>
    </xf>
    <xf numFmtId="169" fontId="4" fillId="0" borderId="10" xfId="2" applyNumberFormat="1" applyFont="1" applyBorder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9" fontId="4" fillId="0" borderId="5" xfId="0" applyFont="1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39" fontId="4" fillId="0" borderId="9" xfId="0" applyFont="1" applyBorder="1" applyAlignment="1">
      <alignment horizontal="center"/>
    </xf>
    <xf numFmtId="39" fontId="4" fillId="0" borderId="10" xfId="0" applyFont="1" applyBorder="1" applyAlignment="1">
      <alignment horizontal="center"/>
    </xf>
    <xf numFmtId="39" fontId="4" fillId="0" borderId="8" xfId="0" applyFont="1" applyBorder="1" applyAlignment="1">
      <alignment horizontal="center"/>
    </xf>
    <xf numFmtId="39" fontId="0" fillId="0" borderId="9" xfId="0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0" xfId="0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9" fontId="4" fillId="0" borderId="5" xfId="0" applyFont="1" applyBorder="1" applyAlignment="1">
      <alignment horizontal="center"/>
    </xf>
    <xf numFmtId="39" fontId="4" fillId="0" borderId="6" xfId="0" applyFont="1" applyBorder="1" applyAlignment="1">
      <alignment horizontal="center"/>
    </xf>
    <xf numFmtId="39" fontId="4" fillId="0" borderId="1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39" fontId="2" fillId="0" borderId="9" xfId="0" applyFont="1" applyBorder="1" applyAlignment="1">
      <alignment horizontal="center"/>
    </xf>
    <xf numFmtId="39" fontId="2" fillId="0" borderId="1" xfId="0" applyFont="1" applyBorder="1" applyAlignment="1">
      <alignment horizontal="center"/>
    </xf>
    <xf numFmtId="39" fontId="2" fillId="0" borderId="10" xfId="0" applyFont="1" applyBorder="1" applyAlignment="1">
      <alignment horizontal="center"/>
    </xf>
    <xf numFmtId="39" fontId="0" fillId="0" borderId="0" xfId="0" applyAlignment="1">
      <alignment horizontal="center"/>
    </xf>
  </cellXfs>
  <cellStyles count="7">
    <cellStyle name="Comma" xfId="2" builtinId="3"/>
    <cellStyle name="Currency" xfId="3" builtinId="4"/>
    <cellStyle name="Normal" xfId="0" builtinId="0"/>
    <cellStyle name="Normal_GasRateCaseHistory" xfId="4"/>
    <cellStyle name="Percent" xfId="1" builtinId="5"/>
    <cellStyle name="Style 25" xfId="5"/>
    <cellStyle name="Style 2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Allowed Returns on Equity</a:t>
            </a:r>
          </a:p>
        </c:rich>
      </c:tx>
    </c:title>
    <c:plotArea>
      <c:layout>
        <c:manualLayout>
          <c:layoutTarget val="inner"/>
          <c:xMode val="edge"/>
          <c:yMode val="edge"/>
          <c:x val="0.13237592460033387"/>
          <c:y val="0.11728068252710395"/>
          <c:w val="0.77401932712956456"/>
          <c:h val="0.80833915032569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'[1]QGC Exh 2.10'!$D$8:$D$171</c:f>
              <c:numCache>
                <c:formatCode>General</c:formatCode>
                <c:ptCount val="164"/>
                <c:pt idx="0">
                  <c:v>39830</c:v>
                </c:pt>
                <c:pt idx="1">
                  <c:v>39826</c:v>
                </c:pt>
                <c:pt idx="2">
                  <c:v>39846</c:v>
                </c:pt>
                <c:pt idx="3">
                  <c:v>39849</c:v>
                </c:pt>
                <c:pt idx="4">
                  <c:v>39870</c:v>
                </c:pt>
                <c:pt idx="5">
                  <c:v>39881</c:v>
                </c:pt>
                <c:pt idx="6">
                  <c:v>39897</c:v>
                </c:pt>
                <c:pt idx="7">
                  <c:v>39905</c:v>
                </c:pt>
                <c:pt idx="8">
                  <c:v>39938</c:v>
                </c:pt>
                <c:pt idx="9">
                  <c:v>39948</c:v>
                </c:pt>
                <c:pt idx="10">
                  <c:v>39960</c:v>
                </c:pt>
                <c:pt idx="11">
                  <c:v>39962</c:v>
                </c:pt>
                <c:pt idx="12">
                  <c:v>39967</c:v>
                </c:pt>
                <c:pt idx="13">
                  <c:v>39986</c:v>
                </c:pt>
                <c:pt idx="14">
                  <c:v>39993</c:v>
                </c:pt>
                <c:pt idx="15">
                  <c:v>39994</c:v>
                </c:pt>
                <c:pt idx="16">
                  <c:v>40011</c:v>
                </c:pt>
                <c:pt idx="17">
                  <c:v>40011</c:v>
                </c:pt>
                <c:pt idx="18">
                  <c:v>40052</c:v>
                </c:pt>
                <c:pt idx="19">
                  <c:v>40052</c:v>
                </c:pt>
                <c:pt idx="20">
                  <c:v>40102</c:v>
                </c:pt>
                <c:pt idx="21">
                  <c:v>40112</c:v>
                </c:pt>
                <c:pt idx="22">
                  <c:v>40112</c:v>
                </c:pt>
                <c:pt idx="23">
                  <c:v>40114</c:v>
                </c:pt>
                <c:pt idx="24">
                  <c:v>40114</c:v>
                </c:pt>
                <c:pt idx="25">
                  <c:v>40137</c:v>
                </c:pt>
                <c:pt idx="26">
                  <c:v>40137</c:v>
                </c:pt>
                <c:pt idx="27">
                  <c:v>40161</c:v>
                </c:pt>
                <c:pt idx="28">
                  <c:v>40163</c:v>
                </c:pt>
                <c:pt idx="29">
                  <c:v>40164</c:v>
                </c:pt>
                <c:pt idx="30">
                  <c:v>40165</c:v>
                </c:pt>
                <c:pt idx="31">
                  <c:v>40165</c:v>
                </c:pt>
                <c:pt idx="32">
                  <c:v>40165</c:v>
                </c:pt>
                <c:pt idx="33">
                  <c:v>40169</c:v>
                </c:pt>
                <c:pt idx="34">
                  <c:v>40169</c:v>
                </c:pt>
                <c:pt idx="35">
                  <c:v>40176</c:v>
                </c:pt>
                <c:pt idx="36">
                  <c:v>40189</c:v>
                </c:pt>
                <c:pt idx="37">
                  <c:v>40198</c:v>
                </c:pt>
                <c:pt idx="38">
                  <c:v>40199</c:v>
                </c:pt>
                <c:pt idx="39">
                  <c:v>40199</c:v>
                </c:pt>
                <c:pt idx="40">
                  <c:v>40204</c:v>
                </c:pt>
                <c:pt idx="41">
                  <c:v>40219</c:v>
                </c:pt>
                <c:pt idx="42">
                  <c:v>40232</c:v>
                </c:pt>
                <c:pt idx="43">
                  <c:v>40246</c:v>
                </c:pt>
                <c:pt idx="44">
                  <c:v>40256</c:v>
                </c:pt>
                <c:pt idx="45">
                  <c:v>40261</c:v>
                </c:pt>
                <c:pt idx="46">
                  <c:v>40268</c:v>
                </c:pt>
                <c:pt idx="47">
                  <c:v>40269</c:v>
                </c:pt>
                <c:pt idx="48">
                  <c:v>40270</c:v>
                </c:pt>
                <c:pt idx="49">
                  <c:v>40276</c:v>
                </c:pt>
                <c:pt idx="50">
                  <c:v>40297</c:v>
                </c:pt>
                <c:pt idx="51">
                  <c:v>40297</c:v>
                </c:pt>
                <c:pt idx="52">
                  <c:v>40297</c:v>
                </c:pt>
                <c:pt idx="53">
                  <c:v>40315</c:v>
                </c:pt>
                <c:pt idx="54">
                  <c:v>40322</c:v>
                </c:pt>
                <c:pt idx="55">
                  <c:v>40326</c:v>
                </c:pt>
                <c:pt idx="56">
                  <c:v>40332</c:v>
                </c:pt>
                <c:pt idx="57">
                  <c:v>40345</c:v>
                </c:pt>
                <c:pt idx="58">
                  <c:v>40347</c:v>
                </c:pt>
                <c:pt idx="59">
                  <c:v>40389</c:v>
                </c:pt>
                <c:pt idx="60">
                  <c:v>40389</c:v>
                </c:pt>
                <c:pt idx="61">
                  <c:v>40407</c:v>
                </c:pt>
                <c:pt idx="62">
                  <c:v>40408</c:v>
                </c:pt>
                <c:pt idx="63">
                  <c:v>40408</c:v>
                </c:pt>
                <c:pt idx="64">
                  <c:v>40408</c:v>
                </c:pt>
                <c:pt idx="65">
                  <c:v>40437</c:v>
                </c:pt>
                <c:pt idx="66">
                  <c:v>40437</c:v>
                </c:pt>
                <c:pt idx="67">
                  <c:v>40437</c:v>
                </c:pt>
                <c:pt idx="68">
                  <c:v>40437</c:v>
                </c:pt>
                <c:pt idx="69">
                  <c:v>40442</c:v>
                </c:pt>
                <c:pt idx="70">
                  <c:v>40472</c:v>
                </c:pt>
                <c:pt idx="71">
                  <c:v>40484</c:v>
                </c:pt>
                <c:pt idx="72">
                  <c:v>40484</c:v>
                </c:pt>
                <c:pt idx="73">
                  <c:v>40485</c:v>
                </c:pt>
                <c:pt idx="74">
                  <c:v>40486</c:v>
                </c:pt>
                <c:pt idx="75">
                  <c:v>40501</c:v>
                </c:pt>
                <c:pt idx="76">
                  <c:v>40523</c:v>
                </c:pt>
                <c:pt idx="77">
                  <c:v>40518</c:v>
                </c:pt>
                <c:pt idx="78">
                  <c:v>40518</c:v>
                </c:pt>
                <c:pt idx="79">
                  <c:v>40521</c:v>
                </c:pt>
                <c:pt idx="80">
                  <c:v>40526</c:v>
                </c:pt>
                <c:pt idx="81">
                  <c:v>40528</c:v>
                </c:pt>
                <c:pt idx="82">
                  <c:v>40529</c:v>
                </c:pt>
                <c:pt idx="83">
                  <c:v>40532</c:v>
                </c:pt>
                <c:pt idx="84">
                  <c:v>40535</c:v>
                </c:pt>
                <c:pt idx="85">
                  <c:v>40549</c:v>
                </c:pt>
                <c:pt idx="86">
                  <c:v>40555</c:v>
                </c:pt>
                <c:pt idx="87">
                  <c:v>40556</c:v>
                </c:pt>
                <c:pt idx="88">
                  <c:v>40197</c:v>
                </c:pt>
                <c:pt idx="89">
                  <c:v>40584</c:v>
                </c:pt>
                <c:pt idx="90">
                  <c:v>40612</c:v>
                </c:pt>
                <c:pt idx="91">
                  <c:v>40612</c:v>
                </c:pt>
                <c:pt idx="92">
                  <c:v>40617</c:v>
                </c:pt>
                <c:pt idx="93">
                  <c:v>40615</c:v>
                </c:pt>
                <c:pt idx="94">
                  <c:v>40651</c:v>
                </c:pt>
                <c:pt idx="95">
                  <c:v>40676</c:v>
                </c:pt>
                <c:pt idx="96">
                  <c:v>40689</c:v>
                </c:pt>
                <c:pt idx="97">
                  <c:v>40703</c:v>
                </c:pt>
                <c:pt idx="98">
                  <c:v>40715</c:v>
                </c:pt>
                <c:pt idx="99">
                  <c:v>40723</c:v>
                </c:pt>
                <c:pt idx="100">
                  <c:v>40756</c:v>
                </c:pt>
                <c:pt idx="101">
                  <c:v>40766</c:v>
                </c:pt>
                <c:pt idx="102">
                  <c:v>40787</c:v>
                </c:pt>
                <c:pt idx="103">
                  <c:v>40816</c:v>
                </c:pt>
                <c:pt idx="104">
                  <c:v>40822</c:v>
                </c:pt>
                <c:pt idx="105">
                  <c:v>40822</c:v>
                </c:pt>
                <c:pt idx="106">
                  <c:v>40829</c:v>
                </c:pt>
                <c:pt idx="107">
                  <c:v>40855</c:v>
                </c:pt>
                <c:pt idx="108">
                  <c:v>40861</c:v>
                </c:pt>
                <c:pt idx="109">
                  <c:v>40875</c:v>
                </c:pt>
                <c:pt idx="110">
                  <c:v>40890</c:v>
                </c:pt>
                <c:pt idx="111">
                  <c:v>40893</c:v>
                </c:pt>
                <c:pt idx="112">
                  <c:v>40897</c:v>
                </c:pt>
                <c:pt idx="113">
                  <c:v>40899</c:v>
                </c:pt>
                <c:pt idx="114">
                  <c:v>40918</c:v>
                </c:pt>
                <c:pt idx="115">
                  <c:v>40918</c:v>
                </c:pt>
                <c:pt idx="116">
                  <c:v>40931</c:v>
                </c:pt>
                <c:pt idx="117">
                  <c:v>40939</c:v>
                </c:pt>
                <c:pt idx="118">
                  <c:v>40957</c:v>
                </c:pt>
                <c:pt idx="119">
                  <c:v>41023</c:v>
                </c:pt>
                <c:pt idx="120">
                  <c:v>41023</c:v>
                </c:pt>
                <c:pt idx="121">
                  <c:v>41036</c:v>
                </c:pt>
                <c:pt idx="122">
                  <c:v>41051</c:v>
                </c:pt>
                <c:pt idx="123">
                  <c:v>41053</c:v>
                </c:pt>
                <c:pt idx="124">
                  <c:v>41067</c:v>
                </c:pt>
                <c:pt idx="125">
                  <c:v>41078</c:v>
                </c:pt>
                <c:pt idx="126">
                  <c:v>41092</c:v>
                </c:pt>
                <c:pt idx="127">
                  <c:v>41109</c:v>
                </c:pt>
                <c:pt idx="128">
                  <c:v>41143</c:v>
                </c:pt>
                <c:pt idx="129">
                  <c:v>41179</c:v>
                </c:pt>
                <c:pt idx="130">
                  <c:v>41184</c:v>
                </c:pt>
                <c:pt idx="131">
                  <c:v>41193</c:v>
                </c:pt>
                <c:pt idx="132">
                  <c:v>41206</c:v>
                </c:pt>
                <c:pt idx="133">
                  <c:v>41208</c:v>
                </c:pt>
                <c:pt idx="134">
                  <c:v>41213</c:v>
                </c:pt>
                <c:pt idx="135">
                  <c:v>41213</c:v>
                </c:pt>
                <c:pt idx="136">
                  <c:v>41213</c:v>
                </c:pt>
                <c:pt idx="137">
                  <c:v>41214</c:v>
                </c:pt>
                <c:pt idx="138">
                  <c:v>41221</c:v>
                </c:pt>
                <c:pt idx="139">
                  <c:v>41222</c:v>
                </c:pt>
                <c:pt idx="140">
                  <c:v>41239</c:v>
                </c:pt>
                <c:pt idx="141">
                  <c:v>41241</c:v>
                </c:pt>
                <c:pt idx="142">
                  <c:v>41241</c:v>
                </c:pt>
                <c:pt idx="143">
                  <c:v>41247</c:v>
                </c:pt>
                <c:pt idx="144">
                  <c:v>41247</c:v>
                </c:pt>
                <c:pt idx="145">
                  <c:v>41248</c:v>
                </c:pt>
                <c:pt idx="146">
                  <c:v>41257</c:v>
                </c:pt>
                <c:pt idx="147">
                  <c:v>41263</c:v>
                </c:pt>
                <c:pt idx="148">
                  <c:v>41263</c:v>
                </c:pt>
                <c:pt idx="149">
                  <c:v>41263</c:v>
                </c:pt>
                <c:pt idx="150">
                  <c:v>41263</c:v>
                </c:pt>
                <c:pt idx="151">
                  <c:v>41263</c:v>
                </c:pt>
                <c:pt idx="152">
                  <c:v>41263</c:v>
                </c:pt>
                <c:pt idx="153">
                  <c:v>41269</c:v>
                </c:pt>
                <c:pt idx="154">
                  <c:v>41327</c:v>
                </c:pt>
                <c:pt idx="155">
                  <c:v>41347</c:v>
                </c:pt>
                <c:pt idx="156">
                  <c:v>41360</c:v>
                </c:pt>
                <c:pt idx="157">
                  <c:v>41387</c:v>
                </c:pt>
                <c:pt idx="158">
                  <c:v>41404</c:v>
                </c:pt>
                <c:pt idx="159">
                  <c:v>41438</c:v>
                </c:pt>
                <c:pt idx="160">
                  <c:v>41443</c:v>
                </c:pt>
                <c:pt idx="161">
                  <c:v>41443</c:v>
                </c:pt>
                <c:pt idx="162">
                  <c:v>41450</c:v>
                </c:pt>
                <c:pt idx="163">
                  <c:v>41540</c:v>
                </c:pt>
              </c:numCache>
            </c:numRef>
          </c:xVal>
          <c:yVal>
            <c:numRef>
              <c:f>'[1]QGC Exh 2.10'!$G$8:$G$171</c:f>
              <c:numCache>
                <c:formatCode>General</c:formatCode>
                <c:ptCount val="164"/>
                <c:pt idx="1">
                  <c:v>10.45</c:v>
                </c:pt>
                <c:pt idx="2">
                  <c:v>10.050000000000001</c:v>
                </c:pt>
                <c:pt idx="5">
                  <c:v>10.3</c:v>
                </c:pt>
                <c:pt idx="6">
                  <c:v>10.17</c:v>
                </c:pt>
                <c:pt idx="7">
                  <c:v>10.75</c:v>
                </c:pt>
                <c:pt idx="8">
                  <c:v>10.75</c:v>
                </c:pt>
                <c:pt idx="9">
                  <c:v>10.199999999999999</c:v>
                </c:pt>
                <c:pt idx="10">
                  <c:v>10.85</c:v>
                </c:pt>
                <c:pt idx="11">
                  <c:v>9.5399999999999991</c:v>
                </c:pt>
                <c:pt idx="12">
                  <c:v>10.1</c:v>
                </c:pt>
                <c:pt idx="13">
                  <c:v>10</c:v>
                </c:pt>
                <c:pt idx="14">
                  <c:v>10.210000000000001</c:v>
                </c:pt>
                <c:pt idx="15">
                  <c:v>9.31</c:v>
                </c:pt>
                <c:pt idx="16">
                  <c:v>9.26</c:v>
                </c:pt>
                <c:pt idx="17">
                  <c:v>10.5</c:v>
                </c:pt>
                <c:pt idx="20">
                  <c:v>10.4</c:v>
                </c:pt>
                <c:pt idx="22">
                  <c:v>10.1</c:v>
                </c:pt>
                <c:pt idx="23">
                  <c:v>10.15</c:v>
                </c:pt>
                <c:pt idx="24">
                  <c:v>10.15</c:v>
                </c:pt>
                <c:pt idx="25">
                  <c:v>9.9499999999999993</c:v>
                </c:pt>
                <c:pt idx="26">
                  <c:v>9.4499999999999993</c:v>
                </c:pt>
                <c:pt idx="27">
                  <c:v>10.5</c:v>
                </c:pt>
                <c:pt idx="28">
                  <c:v>10.75</c:v>
                </c:pt>
                <c:pt idx="29">
                  <c:v>10.3</c:v>
                </c:pt>
                <c:pt idx="30">
                  <c:v>10.4</c:v>
                </c:pt>
                <c:pt idx="31">
                  <c:v>10.5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10.4</c:v>
                </c:pt>
                <c:pt idx="35">
                  <c:v>10.38</c:v>
                </c:pt>
                <c:pt idx="36">
                  <c:v>10.24</c:v>
                </c:pt>
                <c:pt idx="38">
                  <c:v>10.33</c:v>
                </c:pt>
                <c:pt idx="39">
                  <c:v>10.23</c:v>
                </c:pt>
                <c:pt idx="40">
                  <c:v>10.4</c:v>
                </c:pt>
                <c:pt idx="41">
                  <c:v>10</c:v>
                </c:pt>
                <c:pt idx="42">
                  <c:v>10.5</c:v>
                </c:pt>
                <c:pt idx="43">
                  <c:v>9.6</c:v>
                </c:pt>
                <c:pt idx="45">
                  <c:v>10.130000000000001</c:v>
                </c:pt>
                <c:pt idx="46">
                  <c:v>10.7</c:v>
                </c:pt>
                <c:pt idx="47">
                  <c:v>9.5</c:v>
                </c:pt>
                <c:pt idx="48">
                  <c:v>10.1</c:v>
                </c:pt>
                <c:pt idx="49">
                  <c:v>10.35</c:v>
                </c:pt>
                <c:pt idx="50">
                  <c:v>9.4</c:v>
                </c:pt>
                <c:pt idx="51">
                  <c:v>9.19</c:v>
                </c:pt>
                <c:pt idx="52">
                  <c:v>9.4</c:v>
                </c:pt>
                <c:pt idx="53">
                  <c:v>10.55</c:v>
                </c:pt>
                <c:pt idx="54">
                  <c:v>10.050000000000001</c:v>
                </c:pt>
                <c:pt idx="56">
                  <c:v>11</c:v>
                </c:pt>
                <c:pt idx="57">
                  <c:v>10</c:v>
                </c:pt>
                <c:pt idx="58">
                  <c:v>10.3</c:v>
                </c:pt>
                <c:pt idx="61">
                  <c:v>10.1</c:v>
                </c:pt>
                <c:pt idx="65">
                  <c:v>10.3</c:v>
                </c:pt>
                <c:pt idx="66">
                  <c:v>9.6</c:v>
                </c:pt>
                <c:pt idx="67">
                  <c:v>10</c:v>
                </c:pt>
                <c:pt idx="68">
                  <c:v>10</c:v>
                </c:pt>
                <c:pt idx="70">
                  <c:v>10.4</c:v>
                </c:pt>
                <c:pt idx="71">
                  <c:v>9.75</c:v>
                </c:pt>
                <c:pt idx="72">
                  <c:v>9.75</c:v>
                </c:pt>
                <c:pt idx="73">
                  <c:v>10.75</c:v>
                </c:pt>
                <c:pt idx="75">
                  <c:v>10.199999999999999</c:v>
                </c:pt>
                <c:pt idx="76">
                  <c:v>10</c:v>
                </c:pt>
                <c:pt idx="77">
                  <c:v>9.56</c:v>
                </c:pt>
                <c:pt idx="78">
                  <c:v>10.09</c:v>
                </c:pt>
                <c:pt idx="79">
                  <c:v>10.25</c:v>
                </c:pt>
                <c:pt idx="80">
                  <c:v>10.33</c:v>
                </c:pt>
                <c:pt idx="82">
                  <c:v>10.1</c:v>
                </c:pt>
                <c:pt idx="83">
                  <c:v>10.1</c:v>
                </c:pt>
                <c:pt idx="84">
                  <c:v>9.92</c:v>
                </c:pt>
                <c:pt idx="85">
                  <c:v>10.35</c:v>
                </c:pt>
                <c:pt idx="86">
                  <c:v>10.3</c:v>
                </c:pt>
                <c:pt idx="87">
                  <c:v>10.3</c:v>
                </c:pt>
                <c:pt idx="91">
                  <c:v>10.1</c:v>
                </c:pt>
                <c:pt idx="93">
                  <c:v>9.4499999999999993</c:v>
                </c:pt>
                <c:pt idx="94">
                  <c:v>10.050000000000001</c:v>
                </c:pt>
                <c:pt idx="95">
                  <c:v>11.35</c:v>
                </c:pt>
                <c:pt idx="96">
                  <c:v>10.5</c:v>
                </c:pt>
                <c:pt idx="98">
                  <c:v>10</c:v>
                </c:pt>
                <c:pt idx="99">
                  <c:v>8.83</c:v>
                </c:pt>
                <c:pt idx="100">
                  <c:v>9.1999999999999993</c:v>
                </c:pt>
                <c:pt idx="102">
                  <c:v>10.1</c:v>
                </c:pt>
                <c:pt idx="108">
                  <c:v>9.6</c:v>
                </c:pt>
                <c:pt idx="109">
                  <c:v>10.1</c:v>
                </c:pt>
                <c:pt idx="110">
                  <c:v>9.5</c:v>
                </c:pt>
                <c:pt idx="112">
                  <c:v>10</c:v>
                </c:pt>
                <c:pt idx="113">
                  <c:v>10.4</c:v>
                </c:pt>
                <c:pt idx="114">
                  <c:v>9.4499999999999993</c:v>
                </c:pt>
                <c:pt idx="115">
                  <c:v>9.4499999999999993</c:v>
                </c:pt>
                <c:pt idx="116">
                  <c:v>10.199999999999999</c:v>
                </c:pt>
                <c:pt idx="117">
                  <c:v>10</c:v>
                </c:pt>
                <c:pt idx="118">
                  <c:v>9.06</c:v>
                </c:pt>
                <c:pt idx="119">
                  <c:v>9.75</c:v>
                </c:pt>
                <c:pt idx="121">
                  <c:v>9.8000000000000007</c:v>
                </c:pt>
                <c:pt idx="122">
                  <c:v>9.6</c:v>
                </c:pt>
                <c:pt idx="123">
                  <c:v>9.6999999999999993</c:v>
                </c:pt>
                <c:pt idx="125">
                  <c:v>9.6</c:v>
                </c:pt>
                <c:pt idx="126">
                  <c:v>9.75</c:v>
                </c:pt>
                <c:pt idx="132">
                  <c:v>10.3</c:v>
                </c:pt>
                <c:pt idx="133">
                  <c:v>9.5</c:v>
                </c:pt>
                <c:pt idx="134">
                  <c:v>9.85</c:v>
                </c:pt>
                <c:pt idx="135">
                  <c:v>9.1999999999999993</c:v>
                </c:pt>
                <c:pt idx="136">
                  <c:v>9.9</c:v>
                </c:pt>
                <c:pt idx="137">
                  <c:v>9.4499999999999993</c:v>
                </c:pt>
                <c:pt idx="138">
                  <c:v>10.1</c:v>
                </c:pt>
                <c:pt idx="139">
                  <c:v>10.3</c:v>
                </c:pt>
                <c:pt idx="140">
                  <c:v>10</c:v>
                </c:pt>
                <c:pt idx="141">
                  <c:v>10.4</c:v>
                </c:pt>
                <c:pt idx="142">
                  <c:v>10.5</c:v>
                </c:pt>
                <c:pt idx="143">
                  <c:v>10.5</c:v>
                </c:pt>
                <c:pt idx="144">
                  <c:v>10</c:v>
                </c:pt>
                <c:pt idx="146">
                  <c:v>10.4</c:v>
                </c:pt>
                <c:pt idx="147">
                  <c:v>10.4</c:v>
                </c:pt>
                <c:pt idx="148">
                  <c:v>10.3</c:v>
                </c:pt>
                <c:pt idx="149">
                  <c:v>10.1</c:v>
                </c:pt>
                <c:pt idx="150">
                  <c:v>10.25</c:v>
                </c:pt>
                <c:pt idx="151">
                  <c:v>10.5</c:v>
                </c:pt>
                <c:pt idx="152">
                  <c:v>9.5</c:v>
                </c:pt>
                <c:pt idx="153">
                  <c:v>9.8000000000000007</c:v>
                </c:pt>
                <c:pt idx="154">
                  <c:v>9.6</c:v>
                </c:pt>
                <c:pt idx="155">
                  <c:v>9.3000000000000007</c:v>
                </c:pt>
                <c:pt idx="156">
                  <c:v>9.8000000000000007</c:v>
                </c:pt>
                <c:pt idx="157">
                  <c:v>9.8000000000000007</c:v>
                </c:pt>
                <c:pt idx="158">
                  <c:v>9.25</c:v>
                </c:pt>
                <c:pt idx="159">
                  <c:v>9.4</c:v>
                </c:pt>
                <c:pt idx="160">
                  <c:v>9.2799999999999994</c:v>
                </c:pt>
                <c:pt idx="161">
                  <c:v>9.2799999999999994</c:v>
                </c:pt>
                <c:pt idx="162">
                  <c:v>9.8000000000000007</c:v>
                </c:pt>
                <c:pt idx="163">
                  <c:v>9.6</c:v>
                </c:pt>
              </c:numCache>
            </c:numRef>
          </c:yVal>
        </c:ser>
        <c:axId val="174505344"/>
        <c:axId val="174507136"/>
      </c:scatterChart>
      <c:valAx>
        <c:axId val="174505344"/>
        <c:scaling>
          <c:orientation val="minMax"/>
          <c:max val="41274"/>
          <c:min val="39814"/>
        </c:scaling>
        <c:delete val="1"/>
        <c:axPos val="b"/>
        <c:numFmt formatCode="General" sourceLinked="1"/>
        <c:tickLblPos val="none"/>
        <c:crossAx val="174507136"/>
        <c:crosses val="autoZero"/>
        <c:crossBetween val="midCat"/>
        <c:majorUnit val="365"/>
      </c:valAx>
      <c:valAx>
        <c:axId val="174507136"/>
        <c:scaling>
          <c:orientation val="minMax"/>
          <c:max val="12"/>
          <c:min val="8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Return on Equity %</a:t>
                </a:r>
              </a:p>
            </c:rich>
          </c:tx>
        </c:title>
        <c:numFmt formatCode="#,##0.0_);\(#,##0.0\)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505344"/>
        <c:crosses val="autoZero"/>
        <c:crossBetween val="midCat"/>
        <c:majorUnit val="1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Footer>&amp;CPrepared by SNL and AGA</c:oddFooter>
    </c:headerFooter>
    <c:pageMargins b="0.75000000000000122" l="0.2" r="0.30000000000000032" t="0.85000000000000064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Allowed Returns on Rate Base</a:t>
            </a:r>
          </a:p>
        </c:rich>
      </c:tx>
    </c:title>
    <c:plotArea>
      <c:layout>
        <c:manualLayout>
          <c:layoutTarget val="inner"/>
          <c:xMode val="edge"/>
          <c:yMode val="edge"/>
          <c:x val="0.13237592460033387"/>
          <c:y val="0.11728068252710398"/>
          <c:w val="0.77401932712956489"/>
          <c:h val="0.80833915032569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'[1]QGC Exh 2.10'!$D$8:$D$161</c:f>
              <c:numCache>
                <c:formatCode>General</c:formatCode>
                <c:ptCount val="154"/>
                <c:pt idx="0">
                  <c:v>39830</c:v>
                </c:pt>
                <c:pt idx="1">
                  <c:v>39826</c:v>
                </c:pt>
                <c:pt idx="2">
                  <c:v>39846</c:v>
                </c:pt>
                <c:pt idx="3">
                  <c:v>39849</c:v>
                </c:pt>
                <c:pt idx="4">
                  <c:v>39870</c:v>
                </c:pt>
                <c:pt idx="5">
                  <c:v>39881</c:v>
                </c:pt>
                <c:pt idx="6">
                  <c:v>39897</c:v>
                </c:pt>
                <c:pt idx="7">
                  <c:v>39905</c:v>
                </c:pt>
                <c:pt idx="8">
                  <c:v>39938</c:v>
                </c:pt>
                <c:pt idx="9">
                  <c:v>39948</c:v>
                </c:pt>
                <c:pt idx="10">
                  <c:v>39960</c:v>
                </c:pt>
                <c:pt idx="11">
                  <c:v>39962</c:v>
                </c:pt>
                <c:pt idx="12">
                  <c:v>39967</c:v>
                </c:pt>
                <c:pt idx="13">
                  <c:v>39986</c:v>
                </c:pt>
                <c:pt idx="14">
                  <c:v>39993</c:v>
                </c:pt>
                <c:pt idx="15">
                  <c:v>39994</c:v>
                </c:pt>
                <c:pt idx="16">
                  <c:v>40011</c:v>
                </c:pt>
                <c:pt idx="17">
                  <c:v>40011</c:v>
                </c:pt>
                <c:pt idx="18">
                  <c:v>40052</c:v>
                </c:pt>
                <c:pt idx="19">
                  <c:v>40052</c:v>
                </c:pt>
                <c:pt idx="20">
                  <c:v>40102</c:v>
                </c:pt>
                <c:pt idx="21">
                  <c:v>40112</c:v>
                </c:pt>
                <c:pt idx="22">
                  <c:v>40112</c:v>
                </c:pt>
                <c:pt idx="23">
                  <c:v>40114</c:v>
                </c:pt>
                <c:pt idx="24">
                  <c:v>40114</c:v>
                </c:pt>
                <c:pt idx="25">
                  <c:v>40137</c:v>
                </c:pt>
                <c:pt idx="26">
                  <c:v>40137</c:v>
                </c:pt>
                <c:pt idx="27">
                  <c:v>40161</c:v>
                </c:pt>
                <c:pt idx="28">
                  <c:v>40163</c:v>
                </c:pt>
                <c:pt idx="29">
                  <c:v>40164</c:v>
                </c:pt>
                <c:pt idx="30">
                  <c:v>40165</c:v>
                </c:pt>
                <c:pt idx="31">
                  <c:v>40165</c:v>
                </c:pt>
                <c:pt idx="32">
                  <c:v>40165</c:v>
                </c:pt>
                <c:pt idx="33">
                  <c:v>40169</c:v>
                </c:pt>
                <c:pt idx="34">
                  <c:v>40169</c:v>
                </c:pt>
                <c:pt idx="35">
                  <c:v>40176</c:v>
                </c:pt>
                <c:pt idx="36">
                  <c:v>40189</c:v>
                </c:pt>
                <c:pt idx="37">
                  <c:v>40198</c:v>
                </c:pt>
                <c:pt idx="38">
                  <c:v>40199</c:v>
                </c:pt>
                <c:pt idx="39">
                  <c:v>40199</c:v>
                </c:pt>
                <c:pt idx="40">
                  <c:v>40204</c:v>
                </c:pt>
                <c:pt idx="41">
                  <c:v>40219</c:v>
                </c:pt>
                <c:pt idx="42">
                  <c:v>40232</c:v>
                </c:pt>
                <c:pt idx="43">
                  <c:v>40246</c:v>
                </c:pt>
                <c:pt idx="44">
                  <c:v>40256</c:v>
                </c:pt>
                <c:pt idx="45">
                  <c:v>40261</c:v>
                </c:pt>
                <c:pt idx="46">
                  <c:v>40268</c:v>
                </c:pt>
                <c:pt idx="47">
                  <c:v>40269</c:v>
                </c:pt>
                <c:pt idx="48">
                  <c:v>40270</c:v>
                </c:pt>
                <c:pt idx="49">
                  <c:v>40276</c:v>
                </c:pt>
                <c:pt idx="50">
                  <c:v>40297</c:v>
                </c:pt>
                <c:pt idx="51">
                  <c:v>40297</c:v>
                </c:pt>
                <c:pt idx="52">
                  <c:v>40297</c:v>
                </c:pt>
                <c:pt idx="53">
                  <c:v>40315</c:v>
                </c:pt>
                <c:pt idx="54">
                  <c:v>40322</c:v>
                </c:pt>
                <c:pt idx="55">
                  <c:v>40326</c:v>
                </c:pt>
                <c:pt idx="56">
                  <c:v>40332</c:v>
                </c:pt>
                <c:pt idx="57">
                  <c:v>40345</c:v>
                </c:pt>
                <c:pt idx="58">
                  <c:v>40347</c:v>
                </c:pt>
                <c:pt idx="59">
                  <c:v>40389</c:v>
                </c:pt>
                <c:pt idx="60">
                  <c:v>40389</c:v>
                </c:pt>
                <c:pt idx="61">
                  <c:v>40407</c:v>
                </c:pt>
                <c:pt idx="62">
                  <c:v>40408</c:v>
                </c:pt>
                <c:pt idx="63">
                  <c:v>40408</c:v>
                </c:pt>
                <c:pt idx="64">
                  <c:v>40408</c:v>
                </c:pt>
                <c:pt idx="65">
                  <c:v>40437</c:v>
                </c:pt>
                <c:pt idx="66">
                  <c:v>40437</c:v>
                </c:pt>
                <c:pt idx="67">
                  <c:v>40437</c:v>
                </c:pt>
                <c:pt idx="68">
                  <c:v>40437</c:v>
                </c:pt>
                <c:pt idx="69">
                  <c:v>40442</c:v>
                </c:pt>
                <c:pt idx="70">
                  <c:v>40472</c:v>
                </c:pt>
                <c:pt idx="71">
                  <c:v>40484</c:v>
                </c:pt>
                <c:pt idx="72">
                  <c:v>40484</c:v>
                </c:pt>
                <c:pt idx="73">
                  <c:v>40485</c:v>
                </c:pt>
                <c:pt idx="74">
                  <c:v>40486</c:v>
                </c:pt>
                <c:pt idx="75">
                  <c:v>40501</c:v>
                </c:pt>
                <c:pt idx="76">
                  <c:v>40523</c:v>
                </c:pt>
                <c:pt idx="77">
                  <c:v>40518</c:v>
                </c:pt>
                <c:pt idx="78">
                  <c:v>40518</c:v>
                </c:pt>
                <c:pt idx="79">
                  <c:v>40521</c:v>
                </c:pt>
                <c:pt idx="80">
                  <c:v>40526</c:v>
                </c:pt>
                <c:pt idx="81">
                  <c:v>40528</c:v>
                </c:pt>
                <c:pt idx="82">
                  <c:v>40529</c:v>
                </c:pt>
                <c:pt idx="83">
                  <c:v>40532</c:v>
                </c:pt>
                <c:pt idx="84">
                  <c:v>40535</c:v>
                </c:pt>
                <c:pt idx="85">
                  <c:v>40549</c:v>
                </c:pt>
                <c:pt idx="86">
                  <c:v>40555</c:v>
                </c:pt>
                <c:pt idx="87">
                  <c:v>40556</c:v>
                </c:pt>
                <c:pt idx="88">
                  <c:v>40197</c:v>
                </c:pt>
                <c:pt idx="89">
                  <c:v>40584</c:v>
                </c:pt>
                <c:pt idx="90">
                  <c:v>40612</c:v>
                </c:pt>
                <c:pt idx="91">
                  <c:v>40612</c:v>
                </c:pt>
                <c:pt idx="92">
                  <c:v>40617</c:v>
                </c:pt>
                <c:pt idx="93">
                  <c:v>40615</c:v>
                </c:pt>
                <c:pt idx="94">
                  <c:v>40651</c:v>
                </c:pt>
                <c:pt idx="95">
                  <c:v>40676</c:v>
                </c:pt>
                <c:pt idx="96">
                  <c:v>40689</c:v>
                </c:pt>
                <c:pt idx="97">
                  <c:v>40703</c:v>
                </c:pt>
                <c:pt idx="98">
                  <c:v>40715</c:v>
                </c:pt>
                <c:pt idx="99">
                  <c:v>40723</c:v>
                </c:pt>
                <c:pt idx="100">
                  <c:v>40756</c:v>
                </c:pt>
                <c:pt idx="101">
                  <c:v>40766</c:v>
                </c:pt>
                <c:pt idx="102">
                  <c:v>40787</c:v>
                </c:pt>
                <c:pt idx="103">
                  <c:v>40816</c:v>
                </c:pt>
                <c:pt idx="104">
                  <c:v>40822</c:v>
                </c:pt>
                <c:pt idx="105">
                  <c:v>40822</c:v>
                </c:pt>
                <c:pt idx="106">
                  <c:v>40829</c:v>
                </c:pt>
                <c:pt idx="107">
                  <c:v>40855</c:v>
                </c:pt>
                <c:pt idx="108">
                  <c:v>40861</c:v>
                </c:pt>
                <c:pt idx="109">
                  <c:v>40875</c:v>
                </c:pt>
                <c:pt idx="110">
                  <c:v>40890</c:v>
                </c:pt>
                <c:pt idx="111">
                  <c:v>40893</c:v>
                </c:pt>
                <c:pt idx="112">
                  <c:v>40897</c:v>
                </c:pt>
                <c:pt idx="113">
                  <c:v>40899</c:v>
                </c:pt>
                <c:pt idx="114">
                  <c:v>40918</c:v>
                </c:pt>
                <c:pt idx="115">
                  <c:v>40918</c:v>
                </c:pt>
                <c:pt idx="116">
                  <c:v>40931</c:v>
                </c:pt>
                <c:pt idx="117">
                  <c:v>40939</c:v>
                </c:pt>
                <c:pt idx="118">
                  <c:v>40957</c:v>
                </c:pt>
                <c:pt idx="119">
                  <c:v>41023</c:v>
                </c:pt>
                <c:pt idx="120">
                  <c:v>41023</c:v>
                </c:pt>
                <c:pt idx="121">
                  <c:v>41036</c:v>
                </c:pt>
                <c:pt idx="122">
                  <c:v>41051</c:v>
                </c:pt>
                <c:pt idx="123">
                  <c:v>41053</c:v>
                </c:pt>
                <c:pt idx="124">
                  <c:v>41067</c:v>
                </c:pt>
                <c:pt idx="125">
                  <c:v>41078</c:v>
                </c:pt>
                <c:pt idx="126">
                  <c:v>41092</c:v>
                </c:pt>
                <c:pt idx="127">
                  <c:v>41109</c:v>
                </c:pt>
                <c:pt idx="128">
                  <c:v>41143</c:v>
                </c:pt>
                <c:pt idx="129">
                  <c:v>41179</c:v>
                </c:pt>
                <c:pt idx="130">
                  <c:v>41184</c:v>
                </c:pt>
                <c:pt idx="131">
                  <c:v>41193</c:v>
                </c:pt>
                <c:pt idx="132">
                  <c:v>41206</c:v>
                </c:pt>
                <c:pt idx="133">
                  <c:v>41208</c:v>
                </c:pt>
                <c:pt idx="134">
                  <c:v>41213</c:v>
                </c:pt>
                <c:pt idx="135">
                  <c:v>41213</c:v>
                </c:pt>
                <c:pt idx="136">
                  <c:v>41213</c:v>
                </c:pt>
                <c:pt idx="137">
                  <c:v>41214</c:v>
                </c:pt>
                <c:pt idx="138">
                  <c:v>41221</c:v>
                </c:pt>
                <c:pt idx="139">
                  <c:v>41222</c:v>
                </c:pt>
                <c:pt idx="140">
                  <c:v>41239</c:v>
                </c:pt>
                <c:pt idx="141">
                  <c:v>41241</c:v>
                </c:pt>
                <c:pt idx="142">
                  <c:v>41241</c:v>
                </c:pt>
                <c:pt idx="143">
                  <c:v>41247</c:v>
                </c:pt>
                <c:pt idx="144">
                  <c:v>41247</c:v>
                </c:pt>
                <c:pt idx="145">
                  <c:v>41248</c:v>
                </c:pt>
                <c:pt idx="146">
                  <c:v>41257</c:v>
                </c:pt>
                <c:pt idx="147">
                  <c:v>41263</c:v>
                </c:pt>
                <c:pt idx="148">
                  <c:v>41263</c:v>
                </c:pt>
                <c:pt idx="149">
                  <c:v>41263</c:v>
                </c:pt>
                <c:pt idx="150">
                  <c:v>41263</c:v>
                </c:pt>
                <c:pt idx="151">
                  <c:v>41263</c:v>
                </c:pt>
                <c:pt idx="152">
                  <c:v>41263</c:v>
                </c:pt>
                <c:pt idx="153">
                  <c:v>41269</c:v>
                </c:pt>
              </c:numCache>
            </c:numRef>
          </c:xVal>
          <c:yVal>
            <c:numRef>
              <c:f>'[1]QGC Exh 2.10'!$F$8:$F$161</c:f>
              <c:numCache>
                <c:formatCode>General</c:formatCode>
                <c:ptCount val="154"/>
                <c:pt idx="0">
                  <c:v>8.89</c:v>
                </c:pt>
                <c:pt idx="1">
                  <c:v>7.6</c:v>
                </c:pt>
                <c:pt idx="2">
                  <c:v>7.74</c:v>
                </c:pt>
                <c:pt idx="5">
                  <c:v>8.24</c:v>
                </c:pt>
                <c:pt idx="6">
                  <c:v>8.09</c:v>
                </c:pt>
                <c:pt idx="7">
                  <c:v>0</c:v>
                </c:pt>
                <c:pt idx="8">
                  <c:v>8.5</c:v>
                </c:pt>
                <c:pt idx="9">
                  <c:v>7.7</c:v>
                </c:pt>
                <c:pt idx="10">
                  <c:v>8.17</c:v>
                </c:pt>
                <c:pt idx="11">
                  <c:v>8.2799999999999994</c:v>
                </c:pt>
                <c:pt idx="12">
                  <c:v>8.7100000000000009</c:v>
                </c:pt>
                <c:pt idx="13">
                  <c:v>7.28</c:v>
                </c:pt>
                <c:pt idx="14">
                  <c:v>7.98</c:v>
                </c:pt>
                <c:pt idx="15">
                  <c:v>7.92</c:v>
                </c:pt>
                <c:pt idx="16">
                  <c:v>8.0500000000000007</c:v>
                </c:pt>
                <c:pt idx="17">
                  <c:v>8.5500000000000007</c:v>
                </c:pt>
                <c:pt idx="20">
                  <c:v>8.49</c:v>
                </c:pt>
                <c:pt idx="22">
                  <c:v>8.19</c:v>
                </c:pt>
                <c:pt idx="23">
                  <c:v>7.4</c:v>
                </c:pt>
                <c:pt idx="24">
                  <c:v>8.3000000000000007</c:v>
                </c:pt>
                <c:pt idx="25">
                  <c:v>8.18</c:v>
                </c:pt>
                <c:pt idx="26">
                  <c:v>6.86</c:v>
                </c:pt>
                <c:pt idx="27">
                  <c:v>8.5299999999999994</c:v>
                </c:pt>
                <c:pt idx="28">
                  <c:v>7.16</c:v>
                </c:pt>
                <c:pt idx="29">
                  <c:v>7.64</c:v>
                </c:pt>
                <c:pt idx="30">
                  <c:v>8.85</c:v>
                </c:pt>
                <c:pt idx="31">
                  <c:v>9.09</c:v>
                </c:pt>
                <c:pt idx="32">
                  <c:v>8.84</c:v>
                </c:pt>
                <c:pt idx="33">
                  <c:v>8.25</c:v>
                </c:pt>
                <c:pt idx="34">
                  <c:v>8.86</c:v>
                </c:pt>
                <c:pt idx="36">
                  <c:v>8.09</c:v>
                </c:pt>
                <c:pt idx="38">
                  <c:v>8.19</c:v>
                </c:pt>
                <c:pt idx="39">
                  <c:v>8.0500000000000007</c:v>
                </c:pt>
                <c:pt idx="40">
                  <c:v>8.6</c:v>
                </c:pt>
                <c:pt idx="41">
                  <c:v>7.72</c:v>
                </c:pt>
                <c:pt idx="42">
                  <c:v>8.65</c:v>
                </c:pt>
                <c:pt idx="43">
                  <c:v>7.8</c:v>
                </c:pt>
                <c:pt idx="44">
                  <c:v>8.7200000000000006</c:v>
                </c:pt>
                <c:pt idx="45">
                  <c:v>7.6</c:v>
                </c:pt>
                <c:pt idx="46">
                  <c:v>8.61</c:v>
                </c:pt>
                <c:pt idx="47">
                  <c:v>8</c:v>
                </c:pt>
                <c:pt idx="48">
                  <c:v>8.1</c:v>
                </c:pt>
                <c:pt idx="49">
                  <c:v>8.42</c:v>
                </c:pt>
                <c:pt idx="50">
                  <c:v>7.83</c:v>
                </c:pt>
                <c:pt idx="51">
                  <c:v>7.59</c:v>
                </c:pt>
                <c:pt idx="52">
                  <c:v>8.59</c:v>
                </c:pt>
                <c:pt idx="53">
                  <c:v>7.02</c:v>
                </c:pt>
                <c:pt idx="54">
                  <c:v>7.41</c:v>
                </c:pt>
                <c:pt idx="56">
                  <c:v>7.19</c:v>
                </c:pt>
                <c:pt idx="57">
                  <c:v>7.43</c:v>
                </c:pt>
                <c:pt idx="58">
                  <c:v>8.2100000000000009</c:v>
                </c:pt>
                <c:pt idx="61">
                  <c:v>9.11</c:v>
                </c:pt>
                <c:pt idx="65">
                  <c:v>8.2100000000000009</c:v>
                </c:pt>
                <c:pt idx="66">
                  <c:v>7.46</c:v>
                </c:pt>
                <c:pt idx="67">
                  <c:v>7.48</c:v>
                </c:pt>
                <c:pt idx="68">
                  <c:v>8.4700000000000006</c:v>
                </c:pt>
                <c:pt idx="70">
                  <c:v>7.97</c:v>
                </c:pt>
                <c:pt idx="71">
                  <c:v>7.91</c:v>
                </c:pt>
                <c:pt idx="72">
                  <c:v>8.16</c:v>
                </c:pt>
                <c:pt idx="73">
                  <c:v>8.1</c:v>
                </c:pt>
                <c:pt idx="75">
                  <c:v>7.91</c:v>
                </c:pt>
                <c:pt idx="76">
                  <c:v>8.02</c:v>
                </c:pt>
                <c:pt idx="77">
                  <c:v>7.9</c:v>
                </c:pt>
                <c:pt idx="78">
                  <c:v>8.2799999999999994</c:v>
                </c:pt>
                <c:pt idx="79">
                  <c:v>7.92</c:v>
                </c:pt>
                <c:pt idx="80">
                  <c:v>8.65</c:v>
                </c:pt>
                <c:pt idx="82">
                  <c:v>7.92</c:v>
                </c:pt>
                <c:pt idx="83">
                  <c:v>5.18</c:v>
                </c:pt>
                <c:pt idx="84">
                  <c:v>7.98</c:v>
                </c:pt>
                <c:pt idx="85">
                  <c:v>7.19</c:v>
                </c:pt>
                <c:pt idx="86">
                  <c:v>8.8000000000000007</c:v>
                </c:pt>
                <c:pt idx="87">
                  <c:v>7.72</c:v>
                </c:pt>
                <c:pt idx="90">
                  <c:v>8.33</c:v>
                </c:pt>
                <c:pt idx="91">
                  <c:v>8</c:v>
                </c:pt>
                <c:pt idx="93">
                  <c:v>8.39</c:v>
                </c:pt>
                <c:pt idx="94">
                  <c:v>8.75</c:v>
                </c:pt>
                <c:pt idx="95">
                  <c:v>8.7899999999999991</c:v>
                </c:pt>
                <c:pt idx="98">
                  <c:v>7.56</c:v>
                </c:pt>
                <c:pt idx="99">
                  <c:v>7.48</c:v>
                </c:pt>
                <c:pt idx="100">
                  <c:v>7.93</c:v>
                </c:pt>
                <c:pt idx="102">
                  <c:v>8.24</c:v>
                </c:pt>
                <c:pt idx="107">
                  <c:v>7.4</c:v>
                </c:pt>
                <c:pt idx="108">
                  <c:v>8.1</c:v>
                </c:pt>
                <c:pt idx="109">
                  <c:v>7.9</c:v>
                </c:pt>
                <c:pt idx="110">
                  <c:v>9</c:v>
                </c:pt>
                <c:pt idx="112">
                  <c:v>7.4</c:v>
                </c:pt>
                <c:pt idx="113">
                  <c:v>8.5</c:v>
                </c:pt>
                <c:pt idx="114">
                  <c:v>7.43</c:v>
                </c:pt>
                <c:pt idx="115">
                  <c:v>6.94</c:v>
                </c:pt>
                <c:pt idx="116">
                  <c:v>7.98</c:v>
                </c:pt>
                <c:pt idx="117">
                  <c:v>7.48</c:v>
                </c:pt>
                <c:pt idx="118">
                  <c:v>8.33</c:v>
                </c:pt>
                <c:pt idx="119">
                  <c:v>8.27</c:v>
                </c:pt>
                <c:pt idx="121">
                  <c:v>7.8</c:v>
                </c:pt>
                <c:pt idx="122">
                  <c:v>7.67</c:v>
                </c:pt>
                <c:pt idx="125">
                  <c:v>7.99</c:v>
                </c:pt>
                <c:pt idx="126">
                  <c:v>8.26</c:v>
                </c:pt>
                <c:pt idx="131">
                  <c:v>8.34</c:v>
                </c:pt>
                <c:pt idx="133">
                  <c:v>7.78</c:v>
                </c:pt>
                <c:pt idx="134">
                  <c:v>6.49</c:v>
                </c:pt>
                <c:pt idx="135">
                  <c:v>8.01</c:v>
                </c:pt>
                <c:pt idx="136">
                  <c:v>8.94</c:v>
                </c:pt>
                <c:pt idx="137">
                  <c:v>7.84</c:v>
                </c:pt>
                <c:pt idx="138">
                  <c:v>8.2799999999999994</c:v>
                </c:pt>
                <c:pt idx="139">
                  <c:v>8.44</c:v>
                </c:pt>
                <c:pt idx="140">
                  <c:v>7.76</c:v>
                </c:pt>
                <c:pt idx="141">
                  <c:v>9.15</c:v>
                </c:pt>
                <c:pt idx="142">
                  <c:v>8.9600000000000009</c:v>
                </c:pt>
                <c:pt idx="143">
                  <c:v>8.57</c:v>
                </c:pt>
                <c:pt idx="144">
                  <c:v>8.51</c:v>
                </c:pt>
                <c:pt idx="147">
                  <c:v>8.06</c:v>
                </c:pt>
                <c:pt idx="148">
                  <c:v>7.79</c:v>
                </c:pt>
                <c:pt idx="149">
                  <c:v>8.02</c:v>
                </c:pt>
                <c:pt idx="152">
                  <c:v>7.65</c:v>
                </c:pt>
                <c:pt idx="153">
                  <c:v>7.64</c:v>
                </c:pt>
              </c:numCache>
            </c:numRef>
          </c:yVal>
        </c:ser>
        <c:axId val="174552576"/>
        <c:axId val="174554112"/>
      </c:scatterChart>
      <c:valAx>
        <c:axId val="174552576"/>
        <c:scaling>
          <c:orientation val="minMax"/>
          <c:max val="41274"/>
          <c:min val="3987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554112"/>
        <c:crosses val="autoZero"/>
        <c:crossBetween val="midCat"/>
        <c:majorUnit val="365"/>
      </c:valAx>
      <c:valAx>
        <c:axId val="174554112"/>
        <c:scaling>
          <c:orientation val="minMax"/>
          <c:max val="10"/>
          <c:min val="5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Return on Rate Base %</a:t>
                </a:r>
              </a:p>
            </c:rich>
          </c:tx>
        </c:title>
        <c:numFmt formatCode="#,##0.0_);\(#,##0.0\)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55257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Footer>&amp;CPrepared by SNL and AGA</c:oddFooter>
    </c:headerFooter>
    <c:pageMargins b="0.75000000000000144" l="0.2" r="0.30000000000000032" t="0.85000000000000064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Allowed Return on Equity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Jan 2010 - Sept 2013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'[1]QGC Exh 2.10'!$D$44:$D$171</c:f>
              <c:numCache>
                <c:formatCode>General</c:formatCode>
                <c:ptCount val="128"/>
                <c:pt idx="0">
                  <c:v>40189</c:v>
                </c:pt>
                <c:pt idx="1">
                  <c:v>40198</c:v>
                </c:pt>
                <c:pt idx="2">
                  <c:v>40199</c:v>
                </c:pt>
                <c:pt idx="3">
                  <c:v>40199</c:v>
                </c:pt>
                <c:pt idx="4">
                  <c:v>40204</c:v>
                </c:pt>
                <c:pt idx="5">
                  <c:v>40219</c:v>
                </c:pt>
                <c:pt idx="6">
                  <c:v>40232</c:v>
                </c:pt>
                <c:pt idx="7">
                  <c:v>40246</c:v>
                </c:pt>
                <c:pt idx="8">
                  <c:v>40256</c:v>
                </c:pt>
                <c:pt idx="9">
                  <c:v>40261</c:v>
                </c:pt>
                <c:pt idx="10">
                  <c:v>40268</c:v>
                </c:pt>
                <c:pt idx="11">
                  <c:v>40269</c:v>
                </c:pt>
                <c:pt idx="12">
                  <c:v>40270</c:v>
                </c:pt>
                <c:pt idx="13">
                  <c:v>40276</c:v>
                </c:pt>
                <c:pt idx="14">
                  <c:v>40297</c:v>
                </c:pt>
                <c:pt idx="15">
                  <c:v>40297</c:v>
                </c:pt>
                <c:pt idx="16">
                  <c:v>40297</c:v>
                </c:pt>
                <c:pt idx="17">
                  <c:v>40315</c:v>
                </c:pt>
                <c:pt idx="18">
                  <c:v>40322</c:v>
                </c:pt>
                <c:pt idx="19">
                  <c:v>40326</c:v>
                </c:pt>
                <c:pt idx="20">
                  <c:v>40332</c:v>
                </c:pt>
                <c:pt idx="21">
                  <c:v>40345</c:v>
                </c:pt>
                <c:pt idx="22">
                  <c:v>40347</c:v>
                </c:pt>
                <c:pt idx="23">
                  <c:v>40389</c:v>
                </c:pt>
                <c:pt idx="24">
                  <c:v>40389</c:v>
                </c:pt>
                <c:pt idx="25">
                  <c:v>40407</c:v>
                </c:pt>
                <c:pt idx="26">
                  <c:v>40408</c:v>
                </c:pt>
                <c:pt idx="27">
                  <c:v>40408</c:v>
                </c:pt>
                <c:pt idx="28">
                  <c:v>40408</c:v>
                </c:pt>
                <c:pt idx="29">
                  <c:v>40437</c:v>
                </c:pt>
                <c:pt idx="30">
                  <c:v>40437</c:v>
                </c:pt>
                <c:pt idx="31">
                  <c:v>40437</c:v>
                </c:pt>
                <c:pt idx="32">
                  <c:v>40437</c:v>
                </c:pt>
                <c:pt idx="33">
                  <c:v>40442</c:v>
                </c:pt>
                <c:pt idx="34">
                  <c:v>40472</c:v>
                </c:pt>
                <c:pt idx="35">
                  <c:v>40484</c:v>
                </c:pt>
                <c:pt idx="36">
                  <c:v>40484</c:v>
                </c:pt>
                <c:pt idx="37">
                  <c:v>40485</c:v>
                </c:pt>
                <c:pt idx="38">
                  <c:v>40486</c:v>
                </c:pt>
                <c:pt idx="39">
                  <c:v>40501</c:v>
                </c:pt>
                <c:pt idx="40">
                  <c:v>40523</c:v>
                </c:pt>
                <c:pt idx="41">
                  <c:v>40518</c:v>
                </c:pt>
                <c:pt idx="42">
                  <c:v>40518</c:v>
                </c:pt>
                <c:pt idx="43">
                  <c:v>40521</c:v>
                </c:pt>
                <c:pt idx="44">
                  <c:v>40526</c:v>
                </c:pt>
                <c:pt idx="45">
                  <c:v>40528</c:v>
                </c:pt>
                <c:pt idx="46">
                  <c:v>40529</c:v>
                </c:pt>
                <c:pt idx="47">
                  <c:v>40532</c:v>
                </c:pt>
                <c:pt idx="48">
                  <c:v>40535</c:v>
                </c:pt>
                <c:pt idx="49">
                  <c:v>40549</c:v>
                </c:pt>
                <c:pt idx="50">
                  <c:v>40555</c:v>
                </c:pt>
                <c:pt idx="51">
                  <c:v>40556</c:v>
                </c:pt>
                <c:pt idx="52">
                  <c:v>40197</c:v>
                </c:pt>
                <c:pt idx="53">
                  <c:v>40584</c:v>
                </c:pt>
                <c:pt idx="54">
                  <c:v>40612</c:v>
                </c:pt>
                <c:pt idx="55">
                  <c:v>40612</c:v>
                </c:pt>
                <c:pt idx="56">
                  <c:v>40617</c:v>
                </c:pt>
                <c:pt idx="57">
                  <c:v>40615</c:v>
                </c:pt>
                <c:pt idx="58">
                  <c:v>40651</c:v>
                </c:pt>
                <c:pt idx="59">
                  <c:v>40676</c:v>
                </c:pt>
                <c:pt idx="60">
                  <c:v>40689</c:v>
                </c:pt>
                <c:pt idx="61">
                  <c:v>40703</c:v>
                </c:pt>
                <c:pt idx="62">
                  <c:v>40715</c:v>
                </c:pt>
                <c:pt idx="63">
                  <c:v>40723</c:v>
                </c:pt>
                <c:pt idx="64">
                  <c:v>40756</c:v>
                </c:pt>
                <c:pt idx="65">
                  <c:v>40766</c:v>
                </c:pt>
                <c:pt idx="66">
                  <c:v>40787</c:v>
                </c:pt>
                <c:pt idx="67">
                  <c:v>40816</c:v>
                </c:pt>
                <c:pt idx="68">
                  <c:v>40822</c:v>
                </c:pt>
                <c:pt idx="69">
                  <c:v>40822</c:v>
                </c:pt>
                <c:pt idx="70">
                  <c:v>40829</c:v>
                </c:pt>
                <c:pt idx="71">
                  <c:v>40855</c:v>
                </c:pt>
                <c:pt idx="72">
                  <c:v>40861</c:v>
                </c:pt>
                <c:pt idx="73">
                  <c:v>40875</c:v>
                </c:pt>
                <c:pt idx="74">
                  <c:v>40890</c:v>
                </c:pt>
                <c:pt idx="75">
                  <c:v>40893</c:v>
                </c:pt>
                <c:pt idx="76">
                  <c:v>40897</c:v>
                </c:pt>
                <c:pt idx="77">
                  <c:v>40899</c:v>
                </c:pt>
                <c:pt idx="78">
                  <c:v>40918</c:v>
                </c:pt>
                <c:pt idx="79">
                  <c:v>40918</c:v>
                </c:pt>
                <c:pt idx="80">
                  <c:v>40931</c:v>
                </c:pt>
                <c:pt idx="81">
                  <c:v>40939</c:v>
                </c:pt>
                <c:pt idx="82">
                  <c:v>40957</c:v>
                </c:pt>
                <c:pt idx="83">
                  <c:v>41023</c:v>
                </c:pt>
                <c:pt idx="84">
                  <c:v>41023</c:v>
                </c:pt>
                <c:pt idx="85">
                  <c:v>41036</c:v>
                </c:pt>
                <c:pt idx="86">
                  <c:v>41051</c:v>
                </c:pt>
                <c:pt idx="87">
                  <c:v>41053</c:v>
                </c:pt>
                <c:pt idx="88">
                  <c:v>41067</c:v>
                </c:pt>
                <c:pt idx="89">
                  <c:v>41078</c:v>
                </c:pt>
                <c:pt idx="90">
                  <c:v>41092</c:v>
                </c:pt>
                <c:pt idx="91">
                  <c:v>41109</c:v>
                </c:pt>
                <c:pt idx="92">
                  <c:v>41143</c:v>
                </c:pt>
                <c:pt idx="93">
                  <c:v>41179</c:v>
                </c:pt>
                <c:pt idx="94">
                  <c:v>41184</c:v>
                </c:pt>
                <c:pt idx="95">
                  <c:v>41193</c:v>
                </c:pt>
                <c:pt idx="96">
                  <c:v>41206</c:v>
                </c:pt>
                <c:pt idx="97">
                  <c:v>41208</c:v>
                </c:pt>
                <c:pt idx="98">
                  <c:v>41213</c:v>
                </c:pt>
                <c:pt idx="99">
                  <c:v>41213</c:v>
                </c:pt>
                <c:pt idx="100">
                  <c:v>41213</c:v>
                </c:pt>
                <c:pt idx="101">
                  <c:v>41214</c:v>
                </c:pt>
                <c:pt idx="102">
                  <c:v>41221</c:v>
                </c:pt>
                <c:pt idx="103">
                  <c:v>41222</c:v>
                </c:pt>
                <c:pt idx="104">
                  <c:v>41239</c:v>
                </c:pt>
                <c:pt idx="105">
                  <c:v>41241</c:v>
                </c:pt>
                <c:pt idx="106">
                  <c:v>41241</c:v>
                </c:pt>
                <c:pt idx="107">
                  <c:v>41247</c:v>
                </c:pt>
                <c:pt idx="108">
                  <c:v>41247</c:v>
                </c:pt>
                <c:pt idx="109">
                  <c:v>41248</c:v>
                </c:pt>
                <c:pt idx="110">
                  <c:v>41257</c:v>
                </c:pt>
                <c:pt idx="111">
                  <c:v>41263</c:v>
                </c:pt>
                <c:pt idx="112">
                  <c:v>41263</c:v>
                </c:pt>
                <c:pt idx="113">
                  <c:v>41263</c:v>
                </c:pt>
                <c:pt idx="114">
                  <c:v>41263</c:v>
                </c:pt>
                <c:pt idx="115">
                  <c:v>41263</c:v>
                </c:pt>
                <c:pt idx="116">
                  <c:v>41263</c:v>
                </c:pt>
                <c:pt idx="117">
                  <c:v>41269</c:v>
                </c:pt>
                <c:pt idx="118">
                  <c:v>41327</c:v>
                </c:pt>
                <c:pt idx="119">
                  <c:v>41347</c:v>
                </c:pt>
                <c:pt idx="120">
                  <c:v>41360</c:v>
                </c:pt>
                <c:pt idx="121">
                  <c:v>41387</c:v>
                </c:pt>
                <c:pt idx="122">
                  <c:v>41404</c:v>
                </c:pt>
                <c:pt idx="123">
                  <c:v>41438</c:v>
                </c:pt>
                <c:pt idx="124">
                  <c:v>41443</c:v>
                </c:pt>
                <c:pt idx="125">
                  <c:v>41443</c:v>
                </c:pt>
                <c:pt idx="126">
                  <c:v>41450</c:v>
                </c:pt>
                <c:pt idx="127">
                  <c:v>41540</c:v>
                </c:pt>
              </c:numCache>
            </c:numRef>
          </c:xVal>
          <c:yVal>
            <c:numRef>
              <c:f>'[1]QGC Exh 2.10'!$G$44:$G$171</c:f>
              <c:numCache>
                <c:formatCode>General</c:formatCode>
                <c:ptCount val="128"/>
                <c:pt idx="0">
                  <c:v>10.24</c:v>
                </c:pt>
                <c:pt idx="2">
                  <c:v>10.33</c:v>
                </c:pt>
                <c:pt idx="3">
                  <c:v>10.23</c:v>
                </c:pt>
                <c:pt idx="4">
                  <c:v>10.4</c:v>
                </c:pt>
                <c:pt idx="5">
                  <c:v>10</c:v>
                </c:pt>
                <c:pt idx="6">
                  <c:v>10.5</c:v>
                </c:pt>
                <c:pt idx="7">
                  <c:v>9.6</c:v>
                </c:pt>
                <c:pt idx="9">
                  <c:v>10.130000000000001</c:v>
                </c:pt>
                <c:pt idx="10">
                  <c:v>10.7</c:v>
                </c:pt>
                <c:pt idx="11">
                  <c:v>9.5</c:v>
                </c:pt>
                <c:pt idx="12">
                  <c:v>10.1</c:v>
                </c:pt>
                <c:pt idx="13">
                  <c:v>10.35</c:v>
                </c:pt>
                <c:pt idx="14">
                  <c:v>9.4</c:v>
                </c:pt>
                <c:pt idx="15">
                  <c:v>9.19</c:v>
                </c:pt>
                <c:pt idx="16">
                  <c:v>9.4</c:v>
                </c:pt>
                <c:pt idx="17">
                  <c:v>10.55</c:v>
                </c:pt>
                <c:pt idx="18">
                  <c:v>10.050000000000001</c:v>
                </c:pt>
                <c:pt idx="20">
                  <c:v>11</c:v>
                </c:pt>
                <c:pt idx="21">
                  <c:v>10</c:v>
                </c:pt>
                <c:pt idx="22">
                  <c:v>10.3</c:v>
                </c:pt>
                <c:pt idx="25">
                  <c:v>10.1</c:v>
                </c:pt>
                <c:pt idx="29">
                  <c:v>10.3</c:v>
                </c:pt>
                <c:pt idx="30">
                  <c:v>9.6</c:v>
                </c:pt>
                <c:pt idx="31">
                  <c:v>10</c:v>
                </c:pt>
                <c:pt idx="32">
                  <c:v>10</c:v>
                </c:pt>
                <c:pt idx="34">
                  <c:v>10.4</c:v>
                </c:pt>
                <c:pt idx="35">
                  <c:v>9.75</c:v>
                </c:pt>
                <c:pt idx="36">
                  <c:v>9.75</c:v>
                </c:pt>
                <c:pt idx="37">
                  <c:v>10.75</c:v>
                </c:pt>
                <c:pt idx="39">
                  <c:v>10.199999999999999</c:v>
                </c:pt>
                <c:pt idx="40">
                  <c:v>10</c:v>
                </c:pt>
                <c:pt idx="41">
                  <c:v>9.56</c:v>
                </c:pt>
                <c:pt idx="42">
                  <c:v>10.09</c:v>
                </c:pt>
                <c:pt idx="43">
                  <c:v>10.25</c:v>
                </c:pt>
                <c:pt idx="44">
                  <c:v>10.33</c:v>
                </c:pt>
                <c:pt idx="46">
                  <c:v>10.1</c:v>
                </c:pt>
                <c:pt idx="47">
                  <c:v>10.1</c:v>
                </c:pt>
                <c:pt idx="48">
                  <c:v>9.92</c:v>
                </c:pt>
                <c:pt idx="49">
                  <c:v>10.35</c:v>
                </c:pt>
                <c:pt idx="50">
                  <c:v>10.3</c:v>
                </c:pt>
                <c:pt idx="51">
                  <c:v>10.3</c:v>
                </c:pt>
                <c:pt idx="55">
                  <c:v>10.1</c:v>
                </c:pt>
                <c:pt idx="57">
                  <c:v>9.4499999999999993</c:v>
                </c:pt>
                <c:pt idx="58">
                  <c:v>10.050000000000001</c:v>
                </c:pt>
                <c:pt idx="59">
                  <c:v>11.35</c:v>
                </c:pt>
                <c:pt idx="60">
                  <c:v>10.5</c:v>
                </c:pt>
                <c:pt idx="62">
                  <c:v>10</c:v>
                </c:pt>
                <c:pt idx="63">
                  <c:v>8.83</c:v>
                </c:pt>
                <c:pt idx="64">
                  <c:v>9.1999999999999993</c:v>
                </c:pt>
                <c:pt idx="66">
                  <c:v>10.1</c:v>
                </c:pt>
                <c:pt idx="72">
                  <c:v>9.6</c:v>
                </c:pt>
                <c:pt idx="73">
                  <c:v>10.1</c:v>
                </c:pt>
                <c:pt idx="74">
                  <c:v>9.5</c:v>
                </c:pt>
                <c:pt idx="76">
                  <c:v>10</c:v>
                </c:pt>
                <c:pt idx="77">
                  <c:v>10.4</c:v>
                </c:pt>
                <c:pt idx="78">
                  <c:v>9.4499999999999993</c:v>
                </c:pt>
                <c:pt idx="79">
                  <c:v>9.4499999999999993</c:v>
                </c:pt>
                <c:pt idx="80">
                  <c:v>10.199999999999999</c:v>
                </c:pt>
                <c:pt idx="81">
                  <c:v>10</c:v>
                </c:pt>
                <c:pt idx="82">
                  <c:v>9.06</c:v>
                </c:pt>
                <c:pt idx="83">
                  <c:v>9.75</c:v>
                </c:pt>
                <c:pt idx="85">
                  <c:v>9.8000000000000007</c:v>
                </c:pt>
                <c:pt idx="86">
                  <c:v>9.6</c:v>
                </c:pt>
                <c:pt idx="87">
                  <c:v>9.6999999999999993</c:v>
                </c:pt>
                <c:pt idx="89">
                  <c:v>9.6</c:v>
                </c:pt>
                <c:pt idx="90">
                  <c:v>9.75</c:v>
                </c:pt>
                <c:pt idx="96">
                  <c:v>10.3</c:v>
                </c:pt>
                <c:pt idx="97">
                  <c:v>9.5</c:v>
                </c:pt>
                <c:pt idx="98">
                  <c:v>9.85</c:v>
                </c:pt>
                <c:pt idx="99">
                  <c:v>9.1999999999999993</c:v>
                </c:pt>
                <c:pt idx="100">
                  <c:v>9.9</c:v>
                </c:pt>
                <c:pt idx="101">
                  <c:v>9.4499999999999993</c:v>
                </c:pt>
                <c:pt idx="102">
                  <c:v>10.1</c:v>
                </c:pt>
                <c:pt idx="103">
                  <c:v>10.3</c:v>
                </c:pt>
                <c:pt idx="104">
                  <c:v>10</c:v>
                </c:pt>
                <c:pt idx="105">
                  <c:v>10.4</c:v>
                </c:pt>
                <c:pt idx="106">
                  <c:v>10.5</c:v>
                </c:pt>
                <c:pt idx="107">
                  <c:v>10.5</c:v>
                </c:pt>
                <c:pt idx="108">
                  <c:v>10</c:v>
                </c:pt>
                <c:pt idx="110">
                  <c:v>10.4</c:v>
                </c:pt>
                <c:pt idx="111">
                  <c:v>10.4</c:v>
                </c:pt>
                <c:pt idx="112">
                  <c:v>10.3</c:v>
                </c:pt>
                <c:pt idx="113">
                  <c:v>10.1</c:v>
                </c:pt>
                <c:pt idx="114">
                  <c:v>10.25</c:v>
                </c:pt>
                <c:pt idx="115">
                  <c:v>10.5</c:v>
                </c:pt>
                <c:pt idx="116">
                  <c:v>9.5</c:v>
                </c:pt>
                <c:pt idx="117">
                  <c:v>9.8000000000000007</c:v>
                </c:pt>
                <c:pt idx="118">
                  <c:v>9.6</c:v>
                </c:pt>
                <c:pt idx="119">
                  <c:v>9.3000000000000007</c:v>
                </c:pt>
                <c:pt idx="120">
                  <c:v>9.8000000000000007</c:v>
                </c:pt>
                <c:pt idx="121">
                  <c:v>9.8000000000000007</c:v>
                </c:pt>
                <c:pt idx="122">
                  <c:v>9.25</c:v>
                </c:pt>
                <c:pt idx="123">
                  <c:v>9.4</c:v>
                </c:pt>
                <c:pt idx="124">
                  <c:v>9.2799999999999994</c:v>
                </c:pt>
                <c:pt idx="125">
                  <c:v>9.2799999999999994</c:v>
                </c:pt>
                <c:pt idx="126">
                  <c:v>9.8000000000000007</c:v>
                </c:pt>
                <c:pt idx="127">
                  <c:v>9.6</c:v>
                </c:pt>
              </c:numCache>
            </c:numRef>
          </c:yVal>
        </c:ser>
        <c:axId val="174570880"/>
        <c:axId val="174195840"/>
      </c:scatterChart>
      <c:valAx>
        <c:axId val="174570880"/>
        <c:scaling>
          <c:orientation val="minMax"/>
          <c:max val="41570"/>
          <c:min val="40179"/>
        </c:scaling>
        <c:axPos val="b"/>
        <c:majorGridlines/>
        <c:numFmt formatCode="[$-409]mmm\-yy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195840"/>
        <c:crosses val="autoZero"/>
        <c:crossBetween val="midCat"/>
      </c:valAx>
      <c:valAx>
        <c:axId val="174195840"/>
        <c:scaling>
          <c:orientation val="minMax"/>
          <c:max val="11.5"/>
          <c:min val="8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Return on Equity %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4570880"/>
        <c:crosses val="autoZero"/>
        <c:crossBetween val="midCat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 on Equity Comparison</a:t>
            </a:r>
          </a:p>
        </c:rich>
      </c:tx>
      <c:layout>
        <c:manualLayout>
          <c:xMode val="edge"/>
          <c:yMode val="edge"/>
          <c:x val="0.17906684914950019"/>
          <c:y val="4.6296296296296439E-2"/>
        </c:manualLayout>
      </c:layout>
    </c:title>
    <c:plotArea>
      <c:layout>
        <c:manualLayout>
          <c:layoutTarget val="inner"/>
          <c:xMode val="edge"/>
          <c:yMode val="edge"/>
          <c:x val="0.13759466296961187"/>
          <c:y val="0.19480351414406533"/>
          <c:w val="0.82929773733136669"/>
          <c:h val="0.57772163896179862"/>
        </c:manualLayout>
      </c:layout>
      <c:lineChart>
        <c:grouping val="standard"/>
        <c:ser>
          <c:idx val="0"/>
          <c:order val="0"/>
          <c:tx>
            <c:strRef>
              <c:f>'1.11 ROE Compare'!$A$18</c:f>
              <c:strCache>
                <c:ptCount val="1"/>
                <c:pt idx="0">
                  <c:v>AVERAGE </c:v>
                </c:pt>
              </c:strCache>
            </c:strRef>
          </c:tx>
          <c:marker>
            <c:symbol val="square"/>
            <c:size val="5"/>
          </c:marker>
          <c:dLbls>
            <c:dLbl>
              <c:idx val="1"/>
              <c:layout>
                <c:manualLayout>
                  <c:x val="-5.9902241339471578E-2"/>
                  <c:y val="7.822907553222510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2272326004396193E-2"/>
                  <c:y val="5.97105570137068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5501975909896138E-2"/>
                  <c:y val="6.896981627296587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'1.11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'1.11 ROE Compare'!$G$18:$O$18</c:f>
              <c:numCache>
                <c:formatCode>#,##0.00_);\(#,##0.00\)</c:formatCode>
                <c:ptCount val="9"/>
                <c:pt idx="0">
                  <c:v>11.1</c:v>
                </c:pt>
                <c:pt idx="1">
                  <c:v>10.757142857142856</c:v>
                </c:pt>
                <c:pt idx="2">
                  <c:v>12.071428571428569</c:v>
                </c:pt>
                <c:pt idx="3">
                  <c:v>11.571428571428571</c:v>
                </c:pt>
                <c:pt idx="4">
                  <c:v>11.442857142857141</c:v>
                </c:pt>
                <c:pt idx="5">
                  <c:v>10.936139513864918</c:v>
                </c:pt>
                <c:pt idx="6">
                  <c:v>11.148028211505533</c:v>
                </c:pt>
                <c:pt idx="7">
                  <c:v>9.8933215260630458</c:v>
                </c:pt>
                <c:pt idx="8">
                  <c:v>9.9860157727679315</c:v>
                </c:pt>
              </c:numCache>
            </c:numRef>
          </c:val>
        </c:ser>
        <c:ser>
          <c:idx val="1"/>
          <c:order val="1"/>
          <c:tx>
            <c:strRef>
              <c:f>'1.11 ROE Compare'!$A$20</c:f>
              <c:strCache>
                <c:ptCount val="1"/>
                <c:pt idx="0">
                  <c:v>Questar Gas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1"/>
              <c:layout>
                <c:manualLayout>
                  <c:x val="-6.1407132234881492E-2"/>
                  <c:y val="-5.73957421988918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6.1407132234881492E-2"/>
                  <c:y val="-6.202537182852163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872060574821093E-2"/>
                  <c:y val="-5.739574219889181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b"/>
            <c:showVal val="1"/>
          </c:dLbls>
          <c:cat>
            <c:numRef>
              <c:f>'1.11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'1.11 ROE Compare'!$G$20:$O$20</c:f>
              <c:numCache>
                <c:formatCode>#,##0.00_);\(#,##0.00\)</c:formatCode>
                <c:ptCount val="9"/>
                <c:pt idx="0">
                  <c:v>10.08</c:v>
                </c:pt>
                <c:pt idx="1">
                  <c:v>11.36</c:v>
                </c:pt>
                <c:pt idx="2">
                  <c:v>11.42</c:v>
                </c:pt>
                <c:pt idx="3">
                  <c:v>11.16</c:v>
                </c:pt>
                <c:pt idx="4">
                  <c:v>11.09</c:v>
                </c:pt>
                <c:pt idx="5" formatCode="0.00">
                  <c:v>10.617660000000001</c:v>
                </c:pt>
                <c:pt idx="6" formatCode="0.00">
                  <c:v>10.77961</c:v>
                </c:pt>
                <c:pt idx="7" formatCode="0.00">
                  <c:v>10.623340000000001</c:v>
                </c:pt>
                <c:pt idx="8" formatCode="0.00">
                  <c:v>10.239100000000001</c:v>
                </c:pt>
              </c:numCache>
            </c:numRef>
          </c:val>
        </c:ser>
        <c:marker val="1"/>
        <c:axId val="173884160"/>
        <c:axId val="173885696"/>
      </c:lineChart>
      <c:catAx>
        <c:axId val="173884160"/>
        <c:scaling>
          <c:orientation val="minMax"/>
        </c:scaling>
        <c:axPos val="b"/>
        <c:numFmt formatCode="General" sourceLinked="1"/>
        <c:majorTickMark val="none"/>
        <c:tickLblPos val="nextTo"/>
        <c:crossAx val="173885696"/>
        <c:crosses val="autoZero"/>
        <c:auto val="1"/>
        <c:lblAlgn val="ctr"/>
        <c:lblOffset val="100"/>
      </c:catAx>
      <c:valAx>
        <c:axId val="173885696"/>
        <c:scaling>
          <c:orientation val="minMax"/>
          <c:max val="15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048908954100828E-2"/>
              <c:y val="0.39579396325459443"/>
            </c:manualLayout>
          </c:layout>
        </c:title>
        <c:numFmt formatCode="#,##0.0" sourceLinked="0"/>
        <c:majorTickMark val="none"/>
        <c:tickLblPos val="nextTo"/>
        <c:spPr>
          <a:ln w="9525">
            <a:noFill/>
          </a:ln>
        </c:spPr>
        <c:crossAx val="17388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50425000055029"/>
          <c:y val="0.89027151837472163"/>
          <c:w val="0.69741536867700049"/>
          <c:h val="8.2390805356462649E-2"/>
        </c:manualLayout>
      </c:layout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 on Equity - QGC, NWN, PNY</a:t>
            </a:r>
          </a:p>
        </c:rich>
      </c:tx>
      <c:layout>
        <c:manualLayout>
          <c:xMode val="edge"/>
          <c:yMode val="edge"/>
          <c:x val="0.14801506223444971"/>
          <c:y val="2.7777877433932199E-2"/>
        </c:manualLayout>
      </c:layout>
    </c:title>
    <c:plotArea>
      <c:layout>
        <c:manualLayout>
          <c:layoutTarget val="inner"/>
          <c:xMode val="edge"/>
          <c:yMode val="edge"/>
          <c:x val="0.13190033790593131"/>
          <c:y val="0.2599472189116448"/>
          <c:w val="0.83396947730489412"/>
          <c:h val="0.50441349204014407"/>
        </c:manualLayout>
      </c:layout>
      <c:lineChart>
        <c:grouping val="standard"/>
        <c:ser>
          <c:idx val="2"/>
          <c:order val="0"/>
          <c:tx>
            <c:strRef>
              <c:f>'1.11 ROE Compare'!$A$14</c:f>
              <c:strCache>
                <c:ptCount val="1"/>
                <c:pt idx="0">
                  <c:v>Piedmont Natural Gas</c:v>
                </c:pt>
              </c:strCache>
            </c:strRef>
          </c:tx>
          <c:marker>
            <c:symbol val="circle"/>
            <c:size val="5"/>
          </c:marker>
          <c:dLbls>
            <c:dLbl>
              <c:idx val="2"/>
              <c:layout>
                <c:manualLayout>
                  <c:x val="-5.2611560885723913E-2"/>
                  <c:y val="9.8031496062992596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611560885723933E-2"/>
                  <c:y val="2.83216681248177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'1.11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'1.11 ROE Compare'!$G$14:$O$14</c:f>
              <c:numCache>
                <c:formatCode>#,##0.00_);\(#,##0.00\)</c:formatCode>
                <c:ptCount val="9"/>
                <c:pt idx="0">
                  <c:v>12.8</c:v>
                </c:pt>
                <c:pt idx="1">
                  <c:v>11.6</c:v>
                </c:pt>
                <c:pt idx="2">
                  <c:v>11</c:v>
                </c:pt>
                <c:pt idx="3">
                  <c:v>11.9</c:v>
                </c:pt>
                <c:pt idx="4">
                  <c:v>12.5</c:v>
                </c:pt>
                <c:pt idx="5">
                  <c:v>13.236086504847256</c:v>
                </c:pt>
                <c:pt idx="6">
                  <c:v>14.7111585060641</c:v>
                </c:pt>
                <c:pt idx="7">
                  <c:v>11.391852730852833</c:v>
                </c:pt>
                <c:pt idx="8">
                  <c:v>11.669574802045563</c:v>
                </c:pt>
              </c:numCache>
            </c:numRef>
          </c:val>
        </c:ser>
        <c:ser>
          <c:idx val="0"/>
          <c:order val="1"/>
          <c:tx>
            <c:strRef>
              <c:f>'1.11 ROE Compare'!$A$13</c:f>
              <c:strCache>
                <c:ptCount val="1"/>
                <c:pt idx="0">
                  <c:v>Northwest Nat. Gas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dLbls>
            <c:dLbl>
              <c:idx val="3"/>
              <c:layout>
                <c:manualLayout>
                  <c:x val="-5.2611795231485584E-2"/>
                  <c:y val="-4.68401866433362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2611560885723913E-2"/>
                  <c:y val="-4.221055701370678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611560885723913E-2"/>
                  <c:y val="-4.68401866433362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6577391867592674E-2"/>
                  <c:y val="3.649314668999720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b"/>
            <c:showVal val="1"/>
          </c:dLbls>
          <c:cat>
            <c:numRef>
              <c:f>'1.11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'1.11 ROE Compare'!$G$13:$O$13</c:f>
              <c:numCache>
                <c:formatCode>#,##0.00_);\(#,##0.00\)</c:formatCode>
                <c:ptCount val="9"/>
                <c:pt idx="0">
                  <c:v>9.4</c:v>
                </c:pt>
                <c:pt idx="1">
                  <c:v>10.1</c:v>
                </c:pt>
                <c:pt idx="2">
                  <c:v>10.7</c:v>
                </c:pt>
                <c:pt idx="3">
                  <c:v>12.5</c:v>
                </c:pt>
                <c:pt idx="4">
                  <c:v>11.4</c:v>
                </c:pt>
                <c:pt idx="5" formatCode="0.00">
                  <c:v>11.380310708144915</c:v>
                </c:pt>
                <c:pt idx="6" formatCode="0.00">
                  <c:v>10.484330566540807</c:v>
                </c:pt>
                <c:pt idx="7" formatCode="0.00">
                  <c:v>8.9431872893596527</c:v>
                </c:pt>
                <c:pt idx="8" formatCode="0.00">
                  <c:v>8.1653895527213631</c:v>
                </c:pt>
              </c:numCache>
            </c:numRef>
          </c:val>
        </c:ser>
        <c:ser>
          <c:idx val="1"/>
          <c:order val="2"/>
          <c:tx>
            <c:strRef>
              <c:f>'1.11 ROE Compare'!$A$20</c:f>
              <c:strCache>
                <c:ptCount val="1"/>
                <c:pt idx="0">
                  <c:v>Questar Gas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1"/>
              <c:layout>
                <c:manualLayout>
                  <c:x val="-5.1123465298899766E-2"/>
                  <c:y val="5.3784631087780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099656472547983E-2"/>
                  <c:y val="7.230314960629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09965647254792E-2"/>
                  <c:y val="5.841426071741043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409965647254792E-2"/>
                  <c:y val="5.841426071741040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Val val="1"/>
          </c:dLbls>
          <c:cat>
            <c:numRef>
              <c:f>'1.11 ROE Compare'!$G$9:$O$9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'1.11 ROE Compare'!$G$20:$O$20</c:f>
              <c:numCache>
                <c:formatCode>#,##0.00_);\(#,##0.00\)</c:formatCode>
                <c:ptCount val="9"/>
                <c:pt idx="0">
                  <c:v>10.08</c:v>
                </c:pt>
                <c:pt idx="1">
                  <c:v>11.36</c:v>
                </c:pt>
                <c:pt idx="2">
                  <c:v>11.42</c:v>
                </c:pt>
                <c:pt idx="3">
                  <c:v>11.16</c:v>
                </c:pt>
                <c:pt idx="4">
                  <c:v>11.09</c:v>
                </c:pt>
                <c:pt idx="5" formatCode="0.00">
                  <c:v>10.617660000000001</c:v>
                </c:pt>
                <c:pt idx="6" formatCode="0.00">
                  <c:v>10.77961</c:v>
                </c:pt>
                <c:pt idx="7" formatCode="0.00">
                  <c:v>10.623340000000001</c:v>
                </c:pt>
                <c:pt idx="8" formatCode="0.00">
                  <c:v>10.239100000000001</c:v>
                </c:pt>
              </c:numCache>
            </c:numRef>
          </c:val>
        </c:ser>
        <c:marker val="1"/>
        <c:axId val="175154304"/>
        <c:axId val="175155840"/>
      </c:lineChart>
      <c:catAx>
        <c:axId val="175154304"/>
        <c:scaling>
          <c:orientation val="minMax"/>
        </c:scaling>
        <c:axPos val="b"/>
        <c:numFmt formatCode="General" sourceLinked="1"/>
        <c:majorTickMark val="none"/>
        <c:tickLblPos val="nextTo"/>
        <c:crossAx val="175155840"/>
        <c:crossesAt val="7"/>
        <c:auto val="1"/>
        <c:lblAlgn val="ctr"/>
        <c:lblOffset val="100"/>
      </c:catAx>
      <c:valAx>
        <c:axId val="175155840"/>
        <c:scaling>
          <c:orientation val="minMax"/>
          <c:max val="15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#,##0.0" sourceLinked="0"/>
        <c:majorTickMark val="none"/>
        <c:tickLblPos val="nextTo"/>
        <c:spPr>
          <a:ln w="9525">
            <a:noFill/>
          </a:ln>
        </c:spPr>
        <c:crossAx val="175154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9903123534900138E-2"/>
          <c:y val="0.85572164648868887"/>
          <c:w val="0.9339880204761567"/>
          <c:h val="0.11694067724249667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6</xdr:row>
      <xdr:rowOff>66675</xdr:rowOff>
    </xdr:from>
    <xdr:to>
      <xdr:col>34</xdr:col>
      <xdr:colOff>504825</xdr:colOff>
      <xdr:row>32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333375</xdr:colOff>
      <xdr:row>34</xdr:row>
      <xdr:rowOff>76200</xdr:rowOff>
    </xdr:from>
    <xdr:to>
      <xdr:col>34</xdr:col>
      <xdr:colOff>428625</xdr:colOff>
      <xdr:row>63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138642</xdr:colOff>
      <xdr:row>6</xdr:row>
      <xdr:rowOff>225425</xdr:rowOff>
    </xdr:from>
    <xdr:to>
      <xdr:col>17</xdr:col>
      <xdr:colOff>465667</xdr:colOff>
      <xdr:row>31</xdr:row>
      <xdr:rowOff>73025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14</xdr:col>
      <xdr:colOff>296332</xdr:colOff>
      <xdr:row>4</xdr:row>
      <xdr:rowOff>74085</xdr:rowOff>
    </xdr:from>
    <xdr:ext cx="1661583" cy="433915"/>
    <xdr:sp macro="" textlink="">
      <xdr:nvSpPr>
        <xdr:cNvPr id="5" name="TextBox 4"/>
        <xdr:cNvSpPr txBox="1"/>
      </xdr:nvSpPr>
      <xdr:spPr>
        <a:xfrm>
          <a:off x="10509249" y="783168"/>
          <a:ext cx="1661583" cy="433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DOCKET No.</a:t>
          </a:r>
          <a:r>
            <a:rPr lang="en-US" sz="1100" baseline="0"/>
            <a:t> 13-057-05  D</a:t>
          </a:r>
          <a:r>
            <a:rPr lang="en-US" sz="1100"/>
            <a:t>PU Exhibit 1.4b DIR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0.90533</cdr:x>
      <cdr:y>0.63598</cdr:y>
    </cdr:from>
    <cdr:to>
      <cdr:x>1</cdr:x>
      <cdr:y>0.95433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23892" y="2780598"/>
          <a:ext cx="588064" cy="1391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none" rtlCol="0" anchor="t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Questar Gas Company</a:t>
          </a:r>
        </a:p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Docket No.13-057-05</a:t>
          </a:r>
        </a:p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QGC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Exhibit 2.10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0.90533</cdr:x>
      <cdr:y>0.63598</cdr:y>
    </cdr:from>
    <cdr:to>
      <cdr:x>1</cdr:x>
      <cdr:y>0.95433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23892" y="2780598"/>
          <a:ext cx="588064" cy="1391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none" rtlCol="0" anchor="t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Questar Gas Company</a:t>
          </a:r>
        </a:p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Docket No.13-057-05</a:t>
          </a:r>
        </a:p>
        <a:p xmlns:a="http://schemas.openxmlformats.org/drawingml/2006/main"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QGC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Exhibit 2.10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95250</xdr:rowOff>
    </xdr:from>
    <xdr:to>
      <xdr:col>9</xdr:col>
      <xdr:colOff>457200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561977</xdr:colOff>
      <xdr:row>23</xdr:row>
      <xdr:rowOff>85725</xdr:rowOff>
    </xdr:from>
    <xdr:to>
      <xdr:col>16</xdr:col>
      <xdr:colOff>533401</xdr:colOff>
      <xdr:row>40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Wheelwr\My%20Documents\Questar\Rate%20Case\DMC\QGC%20ROE%202013%20Utah%20ca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GC Exh 2.2"/>
      <sheetName val="QGC Exh 2.3 p1"/>
      <sheetName val="QGC Exh 2.3 p2"/>
      <sheetName val="QGC Exh 2.4"/>
      <sheetName val="QGC Exh 2.5"/>
      <sheetName val="QGC Exh 2.6 graphs"/>
      <sheetName val="QGC Exh 2.7"/>
      <sheetName val="QGC Exh 2.8"/>
      <sheetName val="QGC Exh 2.9"/>
      <sheetName val="QGC Exh 2.10"/>
      <sheetName val="QGC Exhibit 2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39830</v>
          </cell>
          <cell r="F8">
            <v>8.89</v>
          </cell>
        </row>
        <row r="9">
          <cell r="D9">
            <v>39826</v>
          </cell>
          <cell r="F9">
            <v>7.6</v>
          </cell>
          <cell r="G9">
            <v>10.45</v>
          </cell>
        </row>
        <row r="10">
          <cell r="D10">
            <v>39846</v>
          </cell>
          <cell r="F10">
            <v>7.74</v>
          </cell>
          <cell r="G10">
            <v>10.050000000000001</v>
          </cell>
        </row>
        <row r="11">
          <cell r="D11">
            <v>39849</v>
          </cell>
        </row>
        <row r="12">
          <cell r="D12">
            <v>39870</v>
          </cell>
        </row>
        <row r="13">
          <cell r="D13">
            <v>39881</v>
          </cell>
          <cell r="F13">
            <v>8.24</v>
          </cell>
          <cell r="G13">
            <v>10.3</v>
          </cell>
        </row>
        <row r="14">
          <cell r="D14">
            <v>39897</v>
          </cell>
          <cell r="F14">
            <v>8.09</v>
          </cell>
          <cell r="G14">
            <v>10.17</v>
          </cell>
        </row>
        <row r="15">
          <cell r="D15">
            <v>39905</v>
          </cell>
          <cell r="F15" t="str">
            <v>NA</v>
          </cell>
          <cell r="G15">
            <v>10.75</v>
          </cell>
        </row>
        <row r="16">
          <cell r="D16">
            <v>39938</v>
          </cell>
          <cell r="F16">
            <v>8.5</v>
          </cell>
          <cell r="G16">
            <v>10.75</v>
          </cell>
        </row>
        <row r="17">
          <cell r="D17">
            <v>39948</v>
          </cell>
          <cell r="F17">
            <v>7.7</v>
          </cell>
          <cell r="G17">
            <v>10.199999999999999</v>
          </cell>
        </row>
        <row r="18">
          <cell r="D18">
            <v>39960</v>
          </cell>
          <cell r="F18">
            <v>8.17</v>
          </cell>
          <cell r="G18">
            <v>10.85</v>
          </cell>
        </row>
        <row r="19">
          <cell r="D19">
            <v>39962</v>
          </cell>
          <cell r="F19">
            <v>8.2799999999999994</v>
          </cell>
          <cell r="G19">
            <v>9.5399999999999991</v>
          </cell>
        </row>
        <row r="20">
          <cell r="D20">
            <v>39967</v>
          </cell>
          <cell r="F20">
            <v>8.7100000000000009</v>
          </cell>
          <cell r="G20">
            <v>10.1</v>
          </cell>
        </row>
        <row r="21">
          <cell r="D21">
            <v>39986</v>
          </cell>
          <cell r="F21">
            <v>7.28</v>
          </cell>
          <cell r="G21">
            <v>10</v>
          </cell>
        </row>
        <row r="22">
          <cell r="D22">
            <v>39993</v>
          </cell>
          <cell r="F22">
            <v>7.98</v>
          </cell>
          <cell r="G22">
            <v>10.210000000000001</v>
          </cell>
        </row>
        <row r="23">
          <cell r="D23">
            <v>39994</v>
          </cell>
          <cell r="F23">
            <v>7.92</v>
          </cell>
          <cell r="G23">
            <v>9.31</v>
          </cell>
        </row>
        <row r="24">
          <cell r="D24">
            <v>40011</v>
          </cell>
          <cell r="F24">
            <v>8.0500000000000007</v>
          </cell>
          <cell r="G24">
            <v>9.26</v>
          </cell>
        </row>
        <row r="25">
          <cell r="D25">
            <v>40011</v>
          </cell>
          <cell r="F25">
            <v>8.5500000000000007</v>
          </cell>
          <cell r="G25">
            <v>10.5</v>
          </cell>
        </row>
        <row r="26">
          <cell r="D26">
            <v>40052</v>
          </cell>
        </row>
        <row r="27">
          <cell r="D27">
            <v>40052</v>
          </cell>
        </row>
        <row r="28">
          <cell r="D28">
            <v>40102</v>
          </cell>
          <cell r="F28">
            <v>8.49</v>
          </cell>
          <cell r="G28">
            <v>10.4</v>
          </cell>
        </row>
        <row r="29">
          <cell r="D29">
            <v>40112</v>
          </cell>
        </row>
        <row r="30">
          <cell r="D30">
            <v>40112</v>
          </cell>
          <cell r="F30">
            <v>8.19</v>
          </cell>
          <cell r="G30">
            <v>10.1</v>
          </cell>
        </row>
        <row r="31">
          <cell r="D31">
            <v>40114</v>
          </cell>
          <cell r="F31">
            <v>7.4</v>
          </cell>
          <cell r="G31">
            <v>10.15</v>
          </cell>
        </row>
        <row r="32">
          <cell r="D32">
            <v>40114</v>
          </cell>
          <cell r="F32">
            <v>8.3000000000000007</v>
          </cell>
          <cell r="G32">
            <v>10.15</v>
          </cell>
        </row>
        <row r="33">
          <cell r="D33">
            <v>40137</v>
          </cell>
          <cell r="F33">
            <v>8.18</v>
          </cell>
          <cell r="G33">
            <v>9.9499999999999993</v>
          </cell>
        </row>
        <row r="34">
          <cell r="D34">
            <v>40137</v>
          </cell>
          <cell r="F34">
            <v>6.86</v>
          </cell>
          <cell r="G34">
            <v>9.4499999999999993</v>
          </cell>
        </row>
        <row r="35">
          <cell r="D35">
            <v>40161</v>
          </cell>
          <cell r="F35">
            <v>8.5299999999999994</v>
          </cell>
          <cell r="G35">
            <v>10.5</v>
          </cell>
        </row>
        <row r="36">
          <cell r="D36">
            <v>40163</v>
          </cell>
          <cell r="F36">
            <v>7.16</v>
          </cell>
          <cell r="G36">
            <v>10.75</v>
          </cell>
        </row>
        <row r="37">
          <cell r="D37">
            <v>40164</v>
          </cell>
          <cell r="F37">
            <v>7.64</v>
          </cell>
          <cell r="G37">
            <v>10.3</v>
          </cell>
        </row>
        <row r="38">
          <cell r="D38">
            <v>40165</v>
          </cell>
          <cell r="F38">
            <v>8.85</v>
          </cell>
          <cell r="G38">
            <v>10.4</v>
          </cell>
        </row>
        <row r="39">
          <cell r="D39">
            <v>40165</v>
          </cell>
          <cell r="F39">
            <v>9.09</v>
          </cell>
          <cell r="G39">
            <v>10.5</v>
          </cell>
        </row>
        <row r="40">
          <cell r="D40">
            <v>40165</v>
          </cell>
          <cell r="F40">
            <v>8.84</v>
          </cell>
          <cell r="G40">
            <v>10.4</v>
          </cell>
        </row>
        <row r="41">
          <cell r="D41">
            <v>40169</v>
          </cell>
          <cell r="F41">
            <v>8.25</v>
          </cell>
          <cell r="G41">
            <v>10.199999999999999</v>
          </cell>
        </row>
        <row r="42">
          <cell r="D42">
            <v>40169</v>
          </cell>
          <cell r="F42">
            <v>8.86</v>
          </cell>
          <cell r="G42">
            <v>10.4</v>
          </cell>
        </row>
        <row r="43">
          <cell r="D43">
            <v>40176</v>
          </cell>
          <cell r="G43">
            <v>10.38</v>
          </cell>
        </row>
        <row r="44">
          <cell r="D44">
            <v>40189</v>
          </cell>
          <cell r="F44">
            <v>8.09</v>
          </cell>
          <cell r="G44">
            <v>10.24</v>
          </cell>
        </row>
        <row r="45">
          <cell r="D45">
            <v>40198</v>
          </cell>
        </row>
        <row r="46">
          <cell r="D46">
            <v>40199</v>
          </cell>
          <cell r="F46">
            <v>8.19</v>
          </cell>
          <cell r="G46">
            <v>10.33</v>
          </cell>
        </row>
        <row r="47">
          <cell r="D47">
            <v>40199</v>
          </cell>
          <cell r="F47">
            <v>8.0500000000000007</v>
          </cell>
          <cell r="G47">
            <v>10.23</v>
          </cell>
        </row>
        <row r="48">
          <cell r="D48">
            <v>40204</v>
          </cell>
          <cell r="F48">
            <v>8.6</v>
          </cell>
          <cell r="G48">
            <v>10.4</v>
          </cell>
        </row>
        <row r="49">
          <cell r="D49">
            <v>40219</v>
          </cell>
          <cell r="F49">
            <v>7.72</v>
          </cell>
          <cell r="G49">
            <v>10</v>
          </cell>
        </row>
        <row r="50">
          <cell r="D50">
            <v>40232</v>
          </cell>
          <cell r="F50">
            <v>8.65</v>
          </cell>
          <cell r="G50">
            <v>10.5</v>
          </cell>
        </row>
        <row r="51">
          <cell r="D51">
            <v>40246</v>
          </cell>
          <cell r="F51">
            <v>7.8</v>
          </cell>
          <cell r="G51">
            <v>9.6</v>
          </cell>
        </row>
        <row r="52">
          <cell r="D52">
            <v>40256</v>
          </cell>
          <cell r="F52">
            <v>8.7200000000000006</v>
          </cell>
        </row>
        <row r="53">
          <cell r="D53">
            <v>40261</v>
          </cell>
          <cell r="F53">
            <v>7.6</v>
          </cell>
          <cell r="G53">
            <v>10.130000000000001</v>
          </cell>
        </row>
        <row r="54">
          <cell r="D54">
            <v>40268</v>
          </cell>
          <cell r="F54">
            <v>8.61</v>
          </cell>
          <cell r="G54">
            <v>10.7</v>
          </cell>
        </row>
        <row r="55">
          <cell r="D55">
            <v>40269</v>
          </cell>
          <cell r="F55">
            <v>8</v>
          </cell>
          <cell r="G55">
            <v>9.5</v>
          </cell>
        </row>
        <row r="56">
          <cell r="D56">
            <v>40270</v>
          </cell>
          <cell r="F56">
            <v>8.1</v>
          </cell>
          <cell r="G56">
            <v>10.1</v>
          </cell>
        </row>
        <row r="57">
          <cell r="D57">
            <v>40276</v>
          </cell>
          <cell r="F57">
            <v>8.42</v>
          </cell>
          <cell r="G57">
            <v>10.35</v>
          </cell>
        </row>
        <row r="58">
          <cell r="D58">
            <v>40297</v>
          </cell>
          <cell r="F58">
            <v>7.83</v>
          </cell>
          <cell r="G58">
            <v>9.4</v>
          </cell>
        </row>
        <row r="59">
          <cell r="D59">
            <v>40297</v>
          </cell>
          <cell r="F59">
            <v>7.59</v>
          </cell>
          <cell r="G59">
            <v>9.19</v>
          </cell>
        </row>
        <row r="60">
          <cell r="D60">
            <v>40297</v>
          </cell>
          <cell r="F60">
            <v>8.59</v>
          </cell>
          <cell r="G60">
            <v>9.4</v>
          </cell>
        </row>
        <row r="61">
          <cell r="D61">
            <v>40315</v>
          </cell>
          <cell r="F61">
            <v>7.02</v>
          </cell>
          <cell r="G61">
            <v>10.55</v>
          </cell>
        </row>
        <row r="62">
          <cell r="D62">
            <v>40322</v>
          </cell>
          <cell r="F62">
            <v>7.41</v>
          </cell>
          <cell r="G62">
            <v>10.050000000000001</v>
          </cell>
        </row>
        <row r="63">
          <cell r="D63">
            <v>40326</v>
          </cell>
        </row>
        <row r="64">
          <cell r="D64">
            <v>40332</v>
          </cell>
          <cell r="F64">
            <v>7.19</v>
          </cell>
          <cell r="G64">
            <v>11</v>
          </cell>
        </row>
        <row r="65">
          <cell r="D65">
            <v>40345</v>
          </cell>
          <cell r="F65">
            <v>7.43</v>
          </cell>
          <cell r="G65">
            <v>10</v>
          </cell>
        </row>
        <row r="66">
          <cell r="D66">
            <v>40347</v>
          </cell>
          <cell r="F66">
            <v>8.2100000000000009</v>
          </cell>
          <cell r="G66">
            <v>10.3</v>
          </cell>
        </row>
        <row r="67">
          <cell r="D67">
            <v>40389</v>
          </cell>
        </row>
        <row r="68">
          <cell r="D68">
            <v>40389</v>
          </cell>
        </row>
        <row r="69">
          <cell r="D69">
            <v>40407</v>
          </cell>
          <cell r="F69">
            <v>9.11</v>
          </cell>
          <cell r="G69">
            <v>10.1</v>
          </cell>
        </row>
        <row r="70">
          <cell r="D70">
            <v>40408</v>
          </cell>
        </row>
        <row r="71">
          <cell r="D71">
            <v>40408</v>
          </cell>
        </row>
        <row r="72">
          <cell r="D72">
            <v>40408</v>
          </cell>
        </row>
        <row r="73">
          <cell r="D73">
            <v>40437</v>
          </cell>
          <cell r="F73">
            <v>8.2100000000000009</v>
          </cell>
          <cell r="G73">
            <v>10.3</v>
          </cell>
        </row>
        <row r="74">
          <cell r="D74">
            <v>40437</v>
          </cell>
          <cell r="F74">
            <v>7.46</v>
          </cell>
          <cell r="G74">
            <v>9.6</v>
          </cell>
        </row>
        <row r="75">
          <cell r="D75">
            <v>40437</v>
          </cell>
          <cell r="F75">
            <v>7.48</v>
          </cell>
          <cell r="G75">
            <v>10</v>
          </cell>
        </row>
        <row r="76">
          <cell r="D76">
            <v>40437</v>
          </cell>
          <cell r="F76">
            <v>8.4700000000000006</v>
          </cell>
          <cell r="G76">
            <v>10</v>
          </cell>
        </row>
        <row r="77">
          <cell r="D77">
            <v>40442</v>
          </cell>
        </row>
        <row r="78">
          <cell r="D78">
            <v>40472</v>
          </cell>
          <cell r="F78">
            <v>7.97</v>
          </cell>
          <cell r="G78">
            <v>10.4</v>
          </cell>
        </row>
        <row r="79">
          <cell r="D79">
            <v>40484</v>
          </cell>
          <cell r="F79">
            <v>7.91</v>
          </cell>
          <cell r="G79">
            <v>9.75</v>
          </cell>
        </row>
        <row r="80">
          <cell r="D80">
            <v>40484</v>
          </cell>
          <cell r="F80">
            <v>8.16</v>
          </cell>
          <cell r="G80">
            <v>9.75</v>
          </cell>
        </row>
        <row r="81">
          <cell r="D81">
            <v>40485</v>
          </cell>
          <cell r="F81">
            <v>8.1</v>
          </cell>
          <cell r="G81">
            <v>10.75</v>
          </cell>
        </row>
        <row r="82">
          <cell r="D82">
            <v>40486</v>
          </cell>
        </row>
        <row r="83">
          <cell r="D83">
            <v>40501</v>
          </cell>
          <cell r="F83">
            <v>7.91</v>
          </cell>
          <cell r="G83">
            <v>10.199999999999999</v>
          </cell>
        </row>
        <row r="84">
          <cell r="D84">
            <v>40523</v>
          </cell>
          <cell r="F84">
            <v>8.02</v>
          </cell>
          <cell r="G84">
            <v>10</v>
          </cell>
        </row>
        <row r="85">
          <cell r="D85">
            <v>40518</v>
          </cell>
          <cell r="F85">
            <v>7.9</v>
          </cell>
          <cell r="G85">
            <v>9.56</v>
          </cell>
        </row>
        <row r="86">
          <cell r="D86">
            <v>40518</v>
          </cell>
          <cell r="F86">
            <v>8.2799999999999994</v>
          </cell>
          <cell r="G86">
            <v>10.09</v>
          </cell>
        </row>
        <row r="87">
          <cell r="D87">
            <v>40521</v>
          </cell>
          <cell r="F87">
            <v>7.92</v>
          </cell>
          <cell r="G87">
            <v>10.25</v>
          </cell>
        </row>
        <row r="88">
          <cell r="D88">
            <v>40526</v>
          </cell>
          <cell r="F88">
            <v>8.65</v>
          </cell>
          <cell r="G88">
            <v>10.33</v>
          </cell>
        </row>
        <row r="89">
          <cell r="D89">
            <v>40528</v>
          </cell>
        </row>
        <row r="90">
          <cell r="D90">
            <v>40529</v>
          </cell>
          <cell r="F90">
            <v>7.92</v>
          </cell>
          <cell r="G90">
            <v>10.1</v>
          </cell>
        </row>
        <row r="91">
          <cell r="D91">
            <v>40532</v>
          </cell>
          <cell r="F91">
            <v>5.18</v>
          </cell>
          <cell r="G91">
            <v>10.1</v>
          </cell>
        </row>
        <row r="92">
          <cell r="D92">
            <v>40535</v>
          </cell>
          <cell r="F92">
            <v>7.98</v>
          </cell>
          <cell r="G92">
            <v>9.92</v>
          </cell>
        </row>
        <row r="93">
          <cell r="D93">
            <v>40549</v>
          </cell>
          <cell r="F93">
            <v>7.19</v>
          </cell>
          <cell r="G93">
            <v>10.35</v>
          </cell>
        </row>
        <row r="94">
          <cell r="D94">
            <v>40555</v>
          </cell>
          <cell r="F94">
            <v>8.8000000000000007</v>
          </cell>
          <cell r="G94">
            <v>10.3</v>
          </cell>
        </row>
        <row r="95">
          <cell r="D95">
            <v>40556</v>
          </cell>
          <cell r="F95">
            <v>7.72</v>
          </cell>
          <cell r="G95">
            <v>10.3</v>
          </cell>
        </row>
        <row r="96">
          <cell r="D96">
            <v>40197</v>
          </cell>
        </row>
        <row r="97">
          <cell r="D97">
            <v>40584</v>
          </cell>
        </row>
        <row r="98">
          <cell r="D98">
            <v>40612</v>
          </cell>
          <cell r="F98">
            <v>8.33</v>
          </cell>
        </row>
        <row r="99">
          <cell r="D99">
            <v>40612</v>
          </cell>
          <cell r="F99">
            <v>8</v>
          </cell>
          <cell r="G99">
            <v>10.1</v>
          </cell>
        </row>
        <row r="100">
          <cell r="D100">
            <v>40617</v>
          </cell>
        </row>
        <row r="101">
          <cell r="D101">
            <v>40615</v>
          </cell>
          <cell r="F101">
            <v>8.39</v>
          </cell>
          <cell r="G101">
            <v>9.4499999999999993</v>
          </cell>
        </row>
        <row r="102">
          <cell r="D102">
            <v>40651</v>
          </cell>
          <cell r="F102">
            <v>8.75</v>
          </cell>
          <cell r="G102">
            <v>10.050000000000001</v>
          </cell>
        </row>
        <row r="103">
          <cell r="D103">
            <v>40676</v>
          </cell>
          <cell r="F103">
            <v>8.7899999999999991</v>
          </cell>
          <cell r="G103">
            <v>11.35</v>
          </cell>
        </row>
        <row r="104">
          <cell r="D104">
            <v>40689</v>
          </cell>
          <cell r="G104">
            <v>10.5</v>
          </cell>
        </row>
        <row r="105">
          <cell r="D105">
            <v>40703</v>
          </cell>
        </row>
        <row r="106">
          <cell r="D106">
            <v>40715</v>
          </cell>
          <cell r="F106">
            <v>7.56</v>
          </cell>
          <cell r="G106">
            <v>10</v>
          </cell>
        </row>
        <row r="107">
          <cell r="D107">
            <v>40723</v>
          </cell>
          <cell r="F107">
            <v>7.48</v>
          </cell>
          <cell r="G107">
            <v>8.83</v>
          </cell>
        </row>
        <row r="108">
          <cell r="D108">
            <v>40756</v>
          </cell>
          <cell r="F108">
            <v>7.93</v>
          </cell>
          <cell r="G108">
            <v>9.1999999999999993</v>
          </cell>
        </row>
        <row r="109">
          <cell r="D109">
            <v>40766</v>
          </cell>
        </row>
        <row r="110">
          <cell r="D110">
            <v>40787</v>
          </cell>
          <cell r="F110">
            <v>8.24</v>
          </cell>
          <cell r="G110">
            <v>10.1</v>
          </cell>
        </row>
        <row r="111">
          <cell r="D111">
            <v>40816</v>
          </cell>
        </row>
        <row r="112">
          <cell r="D112">
            <v>40822</v>
          </cell>
        </row>
        <row r="113">
          <cell r="D113">
            <v>40822</v>
          </cell>
        </row>
        <row r="114">
          <cell r="D114">
            <v>40829</v>
          </cell>
        </row>
        <row r="115">
          <cell r="D115">
            <v>40855</v>
          </cell>
          <cell r="F115">
            <v>7.4</v>
          </cell>
        </row>
        <row r="116">
          <cell r="D116">
            <v>40861</v>
          </cell>
          <cell r="F116">
            <v>8.1</v>
          </cell>
          <cell r="G116">
            <v>9.6</v>
          </cell>
        </row>
        <row r="117">
          <cell r="D117">
            <v>40875</v>
          </cell>
          <cell r="F117">
            <v>7.9</v>
          </cell>
          <cell r="G117">
            <v>10.1</v>
          </cell>
        </row>
        <row r="118">
          <cell r="D118">
            <v>40890</v>
          </cell>
          <cell r="F118">
            <v>9</v>
          </cell>
          <cell r="G118">
            <v>9.5</v>
          </cell>
        </row>
        <row r="119">
          <cell r="D119">
            <v>40893</v>
          </cell>
        </row>
        <row r="120">
          <cell r="D120">
            <v>40897</v>
          </cell>
          <cell r="F120">
            <v>7.4</v>
          </cell>
          <cell r="G120">
            <v>10</v>
          </cell>
        </row>
        <row r="121">
          <cell r="D121">
            <v>40899</v>
          </cell>
          <cell r="F121">
            <v>8.5</v>
          </cell>
          <cell r="G121">
            <v>10.4</v>
          </cell>
        </row>
        <row r="122">
          <cell r="D122">
            <v>40918</v>
          </cell>
          <cell r="F122">
            <v>7.43</v>
          </cell>
          <cell r="G122">
            <v>9.4499999999999993</v>
          </cell>
        </row>
        <row r="123">
          <cell r="D123">
            <v>40918</v>
          </cell>
          <cell r="F123">
            <v>6.94</v>
          </cell>
          <cell r="G123">
            <v>9.4499999999999993</v>
          </cell>
        </row>
        <row r="124">
          <cell r="D124">
            <v>40931</v>
          </cell>
          <cell r="F124">
            <v>7.98</v>
          </cell>
          <cell r="G124">
            <v>10.199999999999999</v>
          </cell>
        </row>
        <row r="125">
          <cell r="D125">
            <v>40939</v>
          </cell>
          <cell r="F125">
            <v>7.48</v>
          </cell>
          <cell r="G125">
            <v>10</v>
          </cell>
        </row>
        <row r="126">
          <cell r="D126">
            <v>40957</v>
          </cell>
          <cell r="F126">
            <v>8.33</v>
          </cell>
          <cell r="G126">
            <v>9.06</v>
          </cell>
        </row>
        <row r="127">
          <cell r="D127">
            <v>41023</v>
          </cell>
          <cell r="F127">
            <v>8.27</v>
          </cell>
          <cell r="G127">
            <v>9.75</v>
          </cell>
        </row>
        <row r="128">
          <cell r="D128">
            <v>41023</v>
          </cell>
        </row>
        <row r="129">
          <cell r="D129">
            <v>41036</v>
          </cell>
          <cell r="F129">
            <v>7.8</v>
          </cell>
          <cell r="G129">
            <v>9.8000000000000007</v>
          </cell>
        </row>
        <row r="130">
          <cell r="D130">
            <v>41051</v>
          </cell>
          <cell r="F130">
            <v>7.67</v>
          </cell>
          <cell r="G130">
            <v>9.6</v>
          </cell>
        </row>
        <row r="131">
          <cell r="D131">
            <v>41053</v>
          </cell>
          <cell r="G131">
            <v>9.6999999999999993</v>
          </cell>
        </row>
        <row r="132">
          <cell r="D132">
            <v>41067</v>
          </cell>
        </row>
        <row r="133">
          <cell r="D133">
            <v>41078</v>
          </cell>
          <cell r="F133">
            <v>7.99</v>
          </cell>
          <cell r="G133">
            <v>9.6</v>
          </cell>
        </row>
        <row r="134">
          <cell r="D134">
            <v>41092</v>
          </cell>
          <cell r="F134">
            <v>8.26</v>
          </cell>
          <cell r="G134">
            <v>9.75</v>
          </cell>
        </row>
        <row r="135">
          <cell r="D135">
            <v>41109</v>
          </cell>
        </row>
        <row r="136">
          <cell r="D136">
            <v>41143</v>
          </cell>
        </row>
        <row r="137">
          <cell r="D137">
            <v>41179</v>
          </cell>
        </row>
        <row r="138">
          <cell r="D138">
            <v>41184</v>
          </cell>
        </row>
        <row r="139">
          <cell r="D139">
            <v>41193</v>
          </cell>
          <cell r="F139">
            <v>8.34</v>
          </cell>
        </row>
        <row r="140">
          <cell r="D140">
            <v>41206</v>
          </cell>
          <cell r="G140">
            <v>10.3</v>
          </cell>
        </row>
        <row r="141">
          <cell r="D141">
            <v>41208</v>
          </cell>
          <cell r="F141">
            <v>7.78</v>
          </cell>
          <cell r="G141">
            <v>9.5</v>
          </cell>
        </row>
        <row r="142">
          <cell r="D142">
            <v>41213</v>
          </cell>
          <cell r="F142">
            <v>6.49</v>
          </cell>
          <cell r="G142">
            <v>9.85</v>
          </cell>
        </row>
        <row r="143">
          <cell r="D143">
            <v>41213</v>
          </cell>
          <cell r="F143">
            <v>8.01</v>
          </cell>
          <cell r="G143">
            <v>9.1999999999999993</v>
          </cell>
        </row>
        <row r="144">
          <cell r="D144">
            <v>41213</v>
          </cell>
          <cell r="F144">
            <v>8.94</v>
          </cell>
          <cell r="G144">
            <v>9.9</v>
          </cell>
        </row>
        <row r="145">
          <cell r="D145">
            <v>41214</v>
          </cell>
          <cell r="F145">
            <v>7.84</v>
          </cell>
          <cell r="G145">
            <v>9.4499999999999993</v>
          </cell>
        </row>
        <row r="146">
          <cell r="D146">
            <v>41221</v>
          </cell>
          <cell r="F146">
            <v>8.2799999999999994</v>
          </cell>
          <cell r="G146">
            <v>10.1</v>
          </cell>
        </row>
        <row r="147">
          <cell r="D147">
            <v>41222</v>
          </cell>
          <cell r="F147">
            <v>8.44</v>
          </cell>
          <cell r="G147">
            <v>10.3</v>
          </cell>
        </row>
        <row r="148">
          <cell r="D148">
            <v>41239</v>
          </cell>
          <cell r="F148">
            <v>7.76</v>
          </cell>
          <cell r="G148">
            <v>10</v>
          </cell>
        </row>
        <row r="149">
          <cell r="D149">
            <v>41241</v>
          </cell>
          <cell r="F149">
            <v>9.15</v>
          </cell>
          <cell r="G149">
            <v>10.4</v>
          </cell>
        </row>
        <row r="150">
          <cell r="D150">
            <v>41241</v>
          </cell>
          <cell r="F150">
            <v>8.9600000000000009</v>
          </cell>
          <cell r="G150">
            <v>10.5</v>
          </cell>
        </row>
        <row r="151">
          <cell r="D151">
            <v>41247</v>
          </cell>
          <cell r="F151">
            <v>8.57</v>
          </cell>
          <cell r="G151">
            <v>10.5</v>
          </cell>
        </row>
        <row r="152">
          <cell r="D152">
            <v>41247</v>
          </cell>
          <cell r="F152">
            <v>8.51</v>
          </cell>
          <cell r="G152">
            <v>10</v>
          </cell>
        </row>
        <row r="153">
          <cell r="D153">
            <v>41248</v>
          </cell>
        </row>
        <row r="154">
          <cell r="D154">
            <v>41257</v>
          </cell>
          <cell r="G154">
            <v>10.4</v>
          </cell>
        </row>
        <row r="155">
          <cell r="D155">
            <v>41263</v>
          </cell>
          <cell r="F155">
            <v>8.06</v>
          </cell>
          <cell r="G155">
            <v>10.4</v>
          </cell>
        </row>
        <row r="156">
          <cell r="D156">
            <v>41263</v>
          </cell>
          <cell r="F156">
            <v>7.79</v>
          </cell>
          <cell r="G156">
            <v>10.3</v>
          </cell>
        </row>
        <row r="157">
          <cell r="D157">
            <v>41263</v>
          </cell>
          <cell r="F157">
            <v>8.02</v>
          </cell>
          <cell r="G157">
            <v>10.1</v>
          </cell>
        </row>
        <row r="158">
          <cell r="D158">
            <v>41263</v>
          </cell>
          <cell r="G158">
            <v>10.25</v>
          </cell>
        </row>
        <row r="159">
          <cell r="D159">
            <v>41263</v>
          </cell>
          <cell r="G159">
            <v>10.5</v>
          </cell>
        </row>
        <row r="160">
          <cell r="D160">
            <v>41263</v>
          </cell>
          <cell r="F160">
            <v>7.65</v>
          </cell>
          <cell r="G160">
            <v>9.5</v>
          </cell>
        </row>
        <row r="161">
          <cell r="D161">
            <v>41269</v>
          </cell>
          <cell r="F161">
            <v>7.64</v>
          </cell>
          <cell r="G161">
            <v>9.8000000000000007</v>
          </cell>
        </row>
        <row r="162">
          <cell r="D162">
            <v>41327</v>
          </cell>
          <cell r="G162">
            <v>9.6</v>
          </cell>
        </row>
        <row r="163">
          <cell r="D163">
            <v>41347</v>
          </cell>
          <cell r="G163">
            <v>9.3000000000000007</v>
          </cell>
        </row>
        <row r="164">
          <cell r="D164">
            <v>41360</v>
          </cell>
          <cell r="G164">
            <v>9.8000000000000007</v>
          </cell>
        </row>
        <row r="165">
          <cell r="D165">
            <v>41387</v>
          </cell>
          <cell r="G165">
            <v>9.8000000000000007</v>
          </cell>
        </row>
        <row r="166">
          <cell r="D166">
            <v>41404</v>
          </cell>
          <cell r="G166">
            <v>9.25</v>
          </cell>
        </row>
        <row r="167">
          <cell r="D167">
            <v>41438</v>
          </cell>
          <cell r="G167">
            <v>9.4</v>
          </cell>
        </row>
        <row r="168">
          <cell r="D168">
            <v>41443</v>
          </cell>
          <cell r="G168">
            <v>9.2799999999999994</v>
          </cell>
        </row>
        <row r="169">
          <cell r="D169">
            <v>41443</v>
          </cell>
          <cell r="G169">
            <v>9.2799999999999994</v>
          </cell>
        </row>
        <row r="170">
          <cell r="D170">
            <v>41450</v>
          </cell>
          <cell r="G170">
            <v>9.8000000000000007</v>
          </cell>
        </row>
        <row r="171">
          <cell r="D171">
            <v>41540</v>
          </cell>
          <cell r="G171">
            <v>9.6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topLeftCell="A24" zoomScale="120" zoomScaleNormal="100" zoomScaleSheetLayoutView="120" workbookViewId="0">
      <selection activeCell="B30" sqref="B30"/>
    </sheetView>
  </sheetViews>
  <sheetFormatPr defaultRowHeight="12.75"/>
  <cols>
    <col min="1" max="1" width="5.6640625" customWidth="1"/>
    <col min="2" max="2" width="60.6640625" customWidth="1"/>
    <col min="3" max="3" width="17.6640625" customWidth="1"/>
    <col min="4" max="4" width="19" customWidth="1"/>
    <col min="5" max="5" width="18" style="119" hidden="1" customWidth="1"/>
  </cols>
  <sheetData>
    <row r="1" spans="1:5" ht="15" customHeight="1">
      <c r="A1" s="683"/>
      <c r="B1" s="684"/>
      <c r="C1" s="685"/>
      <c r="D1" s="705" t="s">
        <v>346</v>
      </c>
      <c r="E1" s="686"/>
    </row>
    <row r="2" spans="1:5" ht="15" customHeight="1">
      <c r="A2" s="687"/>
      <c r="B2" s="684"/>
      <c r="C2" s="685"/>
      <c r="D2" s="705" t="s">
        <v>449</v>
      </c>
      <c r="E2" s="686"/>
    </row>
    <row r="3" spans="1:5" ht="15" customHeight="1">
      <c r="A3" s="687"/>
      <c r="B3" s="684"/>
      <c r="C3" s="685"/>
      <c r="D3" s="705"/>
      <c r="E3" s="686"/>
    </row>
    <row r="4" spans="1:5" ht="15" customHeight="1">
      <c r="A4" s="815" t="s">
        <v>450</v>
      </c>
      <c r="B4" s="815"/>
      <c r="C4" s="815"/>
      <c r="D4" s="815"/>
      <c r="E4" s="686"/>
    </row>
    <row r="5" spans="1:5" ht="15" customHeight="1" thickBot="1">
      <c r="A5" s="688"/>
      <c r="B5" s="689"/>
      <c r="C5" s="689"/>
      <c r="D5" s="689"/>
    </row>
    <row r="6" spans="1:5" ht="15" customHeight="1">
      <c r="A6" s="690"/>
      <c r="B6" s="816" t="s">
        <v>426</v>
      </c>
      <c r="C6" s="818" t="s">
        <v>393</v>
      </c>
      <c r="D6" s="819"/>
      <c r="E6" s="119" t="s">
        <v>427</v>
      </c>
    </row>
    <row r="7" spans="1:5" ht="15" customHeight="1">
      <c r="A7" s="691"/>
      <c r="B7" s="817"/>
      <c r="C7" s="706" t="s">
        <v>428</v>
      </c>
      <c r="D7" s="708" t="s">
        <v>429</v>
      </c>
      <c r="E7" s="119" t="s">
        <v>429</v>
      </c>
    </row>
    <row r="8" spans="1:5" ht="15" customHeight="1">
      <c r="A8" s="692" t="s">
        <v>430</v>
      </c>
      <c r="B8" s="693"/>
      <c r="C8" s="694"/>
      <c r="D8" s="709"/>
      <c r="E8" s="695"/>
    </row>
    <row r="9" spans="1:5" ht="15" customHeight="1">
      <c r="A9" s="696">
        <v>1</v>
      </c>
      <c r="B9" s="693" t="s">
        <v>431</v>
      </c>
      <c r="C9" s="694"/>
      <c r="D9" s="710">
        <v>18962150</v>
      </c>
      <c r="E9" s="695"/>
    </row>
    <row r="10" spans="1:5" ht="15" customHeight="1">
      <c r="A10" s="696"/>
      <c r="B10" s="693" t="s">
        <v>432</v>
      </c>
      <c r="C10" s="694"/>
      <c r="D10" s="710">
        <v>19254007</v>
      </c>
      <c r="E10" s="695"/>
    </row>
    <row r="11" spans="1:5" ht="15" customHeight="1">
      <c r="A11" s="696"/>
      <c r="B11" s="697"/>
      <c r="C11" s="698"/>
      <c r="D11" s="711"/>
      <c r="E11" s="695"/>
    </row>
    <row r="12" spans="1:5" ht="15" customHeight="1">
      <c r="A12" s="692" t="s">
        <v>433</v>
      </c>
      <c r="B12" s="697"/>
      <c r="C12" s="699" t="s">
        <v>434</v>
      </c>
      <c r="D12" s="712">
        <f>+E12-D$10</f>
        <v>-7646530</v>
      </c>
      <c r="E12" s="695">
        <v>11607477</v>
      </c>
    </row>
    <row r="13" spans="1:5" ht="15" customHeight="1">
      <c r="A13" s="692"/>
      <c r="B13" s="693"/>
      <c r="C13" s="694"/>
      <c r="D13" s="713"/>
      <c r="E13" s="695"/>
    </row>
    <row r="14" spans="1:5" ht="15" customHeight="1">
      <c r="A14" s="692" t="s">
        <v>435</v>
      </c>
      <c r="B14" s="697"/>
      <c r="C14" s="694"/>
      <c r="D14" s="713"/>
      <c r="E14" s="695"/>
    </row>
    <row r="15" spans="1:5" ht="15" customHeight="1">
      <c r="A15" s="696">
        <v>1</v>
      </c>
      <c r="B15" s="693" t="s">
        <v>832</v>
      </c>
      <c r="C15" s="694" t="s">
        <v>436</v>
      </c>
      <c r="D15" s="712">
        <f>+E15-D$10</f>
        <v>-467417</v>
      </c>
      <c r="E15" s="695">
        <v>18786590</v>
      </c>
    </row>
    <row r="16" spans="1:5" ht="15" customHeight="1">
      <c r="A16" s="714">
        <f>+A15+1</f>
        <v>2</v>
      </c>
      <c r="B16" s="700" t="s">
        <v>836</v>
      </c>
      <c r="C16" s="694" t="str">
        <f>+C15</f>
        <v>Croft</v>
      </c>
      <c r="D16" s="712">
        <f>+E16-D$10</f>
        <v>-2747940</v>
      </c>
      <c r="E16" s="695">
        <v>16506067</v>
      </c>
    </row>
    <row r="17" spans="1:5" ht="15" customHeight="1">
      <c r="A17" s="714"/>
      <c r="B17" s="700"/>
      <c r="C17" s="707"/>
      <c r="D17" s="712"/>
      <c r="E17" s="695"/>
    </row>
    <row r="18" spans="1:5" ht="15" customHeight="1">
      <c r="A18" s="692" t="s">
        <v>437</v>
      </c>
      <c r="B18" s="693"/>
      <c r="C18" s="694"/>
      <c r="D18" s="713"/>
      <c r="E18" s="695"/>
    </row>
    <row r="19" spans="1:5" ht="15" customHeight="1">
      <c r="A19" s="714">
        <v>1</v>
      </c>
      <c r="B19" s="700" t="s">
        <v>438</v>
      </c>
      <c r="C19" s="707" t="s">
        <v>838</v>
      </c>
      <c r="D19" s="712">
        <f t="shared" ref="D19:D24" si="0">+E19-D$10</f>
        <v>-3805816</v>
      </c>
      <c r="E19" s="695">
        <v>15448191</v>
      </c>
    </row>
    <row r="20" spans="1:5" ht="15" customHeight="1">
      <c r="A20" s="714">
        <f>+A19+1</f>
        <v>2</v>
      </c>
      <c r="B20" s="700" t="s">
        <v>440</v>
      </c>
      <c r="C20" s="707" t="str">
        <f>+C19</f>
        <v>Thomson</v>
      </c>
      <c r="D20" s="712">
        <f t="shared" si="0"/>
        <v>-4437</v>
      </c>
      <c r="E20" s="695">
        <v>19249570</v>
      </c>
    </row>
    <row r="21" spans="1:5" ht="15" customHeight="1">
      <c r="A21" s="714">
        <f>+A20+1</f>
        <v>3</v>
      </c>
      <c r="B21" s="700" t="s">
        <v>439</v>
      </c>
      <c r="C21" s="707" t="str">
        <f>+C22</f>
        <v>Oman</v>
      </c>
      <c r="D21" s="712">
        <f t="shared" si="0"/>
        <v>-260242</v>
      </c>
      <c r="E21" s="695">
        <v>18993765</v>
      </c>
    </row>
    <row r="22" spans="1:5" ht="15" customHeight="1">
      <c r="A22" s="714">
        <f>+A21+1</f>
        <v>4</v>
      </c>
      <c r="B22" s="700" t="s">
        <v>441</v>
      </c>
      <c r="C22" s="707" t="s">
        <v>442</v>
      </c>
      <c r="D22" s="712">
        <f t="shared" si="0"/>
        <v>-191688</v>
      </c>
      <c r="E22" s="695">
        <v>19062319</v>
      </c>
    </row>
    <row r="23" spans="1:5" ht="15" customHeight="1">
      <c r="A23" s="714">
        <f t="shared" ref="A23" si="1">+A22+1</f>
        <v>5</v>
      </c>
      <c r="B23" s="700" t="s">
        <v>443</v>
      </c>
      <c r="C23" s="707" t="str">
        <f>+C22</f>
        <v>Oman</v>
      </c>
      <c r="D23" s="712">
        <f t="shared" si="0"/>
        <v>-75772</v>
      </c>
      <c r="E23" s="695">
        <v>19178235</v>
      </c>
    </row>
    <row r="24" spans="1:5" ht="15" customHeight="1">
      <c r="A24" s="714">
        <v>7</v>
      </c>
      <c r="B24" s="700" t="s">
        <v>831</v>
      </c>
      <c r="C24" s="707" t="s">
        <v>442</v>
      </c>
      <c r="D24" s="712">
        <f t="shared" si="0"/>
        <v>-246808</v>
      </c>
      <c r="E24" s="695">
        <v>19007199</v>
      </c>
    </row>
    <row r="25" spans="1:5" ht="15" customHeight="1">
      <c r="A25" s="714"/>
      <c r="B25" s="700"/>
      <c r="C25" s="707"/>
      <c r="D25" s="712"/>
      <c r="E25" s="695"/>
    </row>
    <row r="26" spans="1:5" ht="15" customHeight="1">
      <c r="A26" s="714"/>
      <c r="B26" s="700" t="s">
        <v>444</v>
      </c>
      <c r="C26" s="707"/>
      <c r="D26" s="712">
        <v>190979</v>
      </c>
      <c r="E26" s="695"/>
    </row>
    <row r="27" spans="1:5" ht="15" customHeight="1">
      <c r="A27" s="714"/>
      <c r="B27" s="700"/>
      <c r="C27" s="701"/>
      <c r="D27" s="715"/>
      <c r="E27" s="695"/>
    </row>
    <row r="28" spans="1:5" ht="15" customHeight="1">
      <c r="A28" s="714"/>
      <c r="B28" s="702" t="s">
        <v>445</v>
      </c>
      <c r="C28" s="701"/>
      <c r="D28" s="716">
        <f>SUM(D12:D27)</f>
        <v>-15255671</v>
      </c>
      <c r="E28" s="695"/>
    </row>
    <row r="29" spans="1:5" ht="15" customHeight="1">
      <c r="A29" s="714"/>
      <c r="B29" s="702"/>
      <c r="C29" s="701"/>
      <c r="D29" s="717"/>
      <c r="E29" s="695"/>
    </row>
    <row r="30" spans="1:5" ht="15" customHeight="1">
      <c r="A30" s="714"/>
      <c r="B30" s="702" t="s">
        <v>446</v>
      </c>
      <c r="C30" s="701"/>
      <c r="D30" s="716">
        <f>+D10+D28</f>
        <v>3998336</v>
      </c>
      <c r="E30" s="695"/>
    </row>
    <row r="31" spans="1:5" ht="15" customHeight="1">
      <c r="A31" s="714"/>
      <c r="B31" s="700"/>
      <c r="C31" s="701"/>
      <c r="D31" s="718"/>
      <c r="E31" s="695"/>
    </row>
    <row r="32" spans="1:5" ht="15" customHeight="1" thickBot="1">
      <c r="A32" s="719"/>
      <c r="B32" s="720"/>
      <c r="C32" s="721"/>
      <c r="D32" s="722"/>
      <c r="E32" s="695"/>
    </row>
    <row r="33" spans="1:5" ht="15" hidden="1" customHeight="1">
      <c r="A33" s="703"/>
      <c r="B33" s="703"/>
      <c r="C33" s="703"/>
      <c r="D33" s="704">
        <f>+D34-D30</f>
        <v>0</v>
      </c>
      <c r="E33" s="695"/>
    </row>
    <row r="34" spans="1:5" ht="15" hidden="1" customHeight="1">
      <c r="A34" s="703"/>
      <c r="B34" s="703" t="s">
        <v>447</v>
      </c>
      <c r="C34" s="703"/>
      <c r="D34" s="760">
        <v>3998336</v>
      </c>
      <c r="E34" s="695" t="s">
        <v>448</v>
      </c>
    </row>
    <row r="35" spans="1:5" ht="15" customHeight="1">
      <c r="A35" s="703"/>
      <c r="B35" s="703"/>
      <c r="C35" s="703"/>
      <c r="D35" s="703"/>
      <c r="E35" s="695"/>
    </row>
    <row r="36" spans="1:5" ht="12.75" customHeight="1"/>
  </sheetData>
  <mergeCells count="3">
    <mergeCell ref="A4:D4"/>
    <mergeCell ref="B6:B7"/>
    <mergeCell ref="C6:D6"/>
  </mergeCells>
  <pageMargins left="0.7" right="0.7" top="0.75" bottom="0.75" header="0.3" footer="0.3"/>
  <pageSetup scale="98" orientation="portrait" r:id="rId1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6"/>
  <sheetViews>
    <sheetView view="pageBreakPreview" topLeftCell="A32" zoomScale="110" zoomScaleNormal="120" zoomScaleSheetLayoutView="110" workbookViewId="0">
      <selection activeCell="E89" sqref="E89"/>
    </sheetView>
  </sheetViews>
  <sheetFormatPr defaultRowHeight="12.75"/>
  <cols>
    <col min="2" max="2" width="23.5" customWidth="1"/>
    <col min="3" max="3" width="11.6640625" customWidth="1"/>
    <col min="4" max="4" width="14.6640625" customWidth="1"/>
    <col min="5" max="8" width="11.33203125" customWidth="1"/>
    <col min="9" max="10" width="9.33203125" customWidth="1"/>
    <col min="11" max="11" width="11.33203125" customWidth="1"/>
    <col min="12" max="12" width="5" customWidth="1"/>
    <col min="13" max="13" width="9.33203125" customWidth="1"/>
    <col min="14" max="14" width="23.5" customWidth="1"/>
    <col min="15" max="15" width="11.6640625" customWidth="1"/>
    <col min="16" max="16" width="14.6640625" customWidth="1"/>
    <col min="17" max="20" width="11.33203125" customWidth="1"/>
    <col min="21" max="22" width="9.33203125" customWidth="1"/>
    <col min="23" max="23" width="11.33203125" customWidth="1"/>
    <col min="24" max="26" width="5" customWidth="1"/>
    <col min="27" max="29" width="0" hidden="1" customWidth="1"/>
    <col min="30" max="30" width="10" hidden="1" customWidth="1"/>
    <col min="31" max="35" width="0" hidden="1" customWidth="1"/>
  </cols>
  <sheetData>
    <row r="1" spans="2:30" ht="15.75">
      <c r="L1" s="8" t="s">
        <v>346</v>
      </c>
      <c r="X1" s="8" t="s">
        <v>346</v>
      </c>
    </row>
    <row r="2" spans="2:30" ht="15.75">
      <c r="B2" s="94"/>
      <c r="H2" s="107"/>
      <c r="I2" s="107"/>
      <c r="J2" s="107"/>
      <c r="L2" s="8" t="s">
        <v>424</v>
      </c>
      <c r="N2" s="94"/>
      <c r="T2" s="107"/>
      <c r="U2" s="107"/>
      <c r="V2" s="107"/>
      <c r="X2" s="8" t="s">
        <v>421</v>
      </c>
    </row>
    <row r="3" spans="2:30" s="27" customFormat="1" ht="15.95" customHeight="1">
      <c r="B3" s="821" t="str">
        <f>'1.6 Comps'!B3</f>
        <v>Questar Gas Company</v>
      </c>
      <c r="C3" s="821"/>
      <c r="D3" s="821"/>
      <c r="E3" s="821"/>
      <c r="F3" s="821"/>
      <c r="G3" s="821"/>
      <c r="H3" s="821"/>
      <c r="I3" s="821"/>
      <c r="J3" s="821"/>
      <c r="K3" s="821"/>
      <c r="N3" s="821" t="str">
        <f>+B3</f>
        <v>Questar Gas Company</v>
      </c>
      <c r="O3" s="821"/>
      <c r="P3" s="821"/>
      <c r="Q3" s="821"/>
      <c r="R3" s="821"/>
      <c r="S3" s="821"/>
      <c r="T3" s="821"/>
      <c r="U3" s="821"/>
      <c r="V3" s="821"/>
      <c r="W3" s="821"/>
    </row>
    <row r="4" spans="2:30" s="27" customFormat="1" ht="15.95" customHeight="1">
      <c r="B4" s="822" t="s">
        <v>66</v>
      </c>
      <c r="C4" s="822"/>
      <c r="D4" s="822"/>
      <c r="E4" s="822"/>
      <c r="F4" s="822"/>
      <c r="G4" s="822"/>
      <c r="H4" s="822"/>
      <c r="I4" s="822"/>
      <c r="J4" s="822"/>
      <c r="K4" s="822"/>
      <c r="N4" s="822" t="s">
        <v>66</v>
      </c>
      <c r="O4" s="822"/>
      <c r="P4" s="822"/>
      <c r="Q4" s="822"/>
      <c r="R4" s="822"/>
      <c r="S4" s="822"/>
      <c r="T4" s="822"/>
      <c r="U4" s="822"/>
      <c r="V4" s="822"/>
      <c r="W4" s="822"/>
    </row>
    <row r="5" spans="2:30" s="27" customFormat="1" ht="15.95" customHeight="1">
      <c r="B5" s="848" t="s">
        <v>115</v>
      </c>
      <c r="C5" s="848"/>
      <c r="D5" s="848"/>
      <c r="E5" s="848"/>
      <c r="F5" s="848"/>
      <c r="G5" s="848"/>
      <c r="H5" s="848"/>
      <c r="I5" s="848"/>
      <c r="J5" s="848"/>
      <c r="K5" s="848"/>
      <c r="N5" s="848" t="s">
        <v>115</v>
      </c>
      <c r="O5" s="848"/>
      <c r="P5" s="848"/>
      <c r="Q5" s="848"/>
      <c r="R5" s="848"/>
      <c r="S5" s="848"/>
      <c r="T5" s="848"/>
      <c r="U5" s="848"/>
      <c r="V5" s="848"/>
      <c r="W5" s="848"/>
    </row>
    <row r="6" spans="2:30" s="27" customFormat="1" ht="15.95" customHeight="1">
      <c r="B6" s="849">
        <f>'1.6 Comps'!B5</f>
        <v>41547</v>
      </c>
      <c r="C6" s="849"/>
      <c r="D6" s="849"/>
      <c r="E6" s="849"/>
      <c r="F6" s="849"/>
      <c r="G6" s="849"/>
      <c r="H6" s="849"/>
      <c r="I6" s="849"/>
      <c r="J6" s="849"/>
      <c r="K6" s="849"/>
      <c r="N6" s="849">
        <f>+B6</f>
        <v>41547</v>
      </c>
      <c r="O6" s="849"/>
      <c r="P6" s="849"/>
      <c r="Q6" s="849"/>
      <c r="R6" s="849"/>
      <c r="S6" s="849"/>
      <c r="T6" s="849"/>
      <c r="U6" s="849"/>
      <c r="V6" s="849"/>
      <c r="W6" s="849"/>
    </row>
    <row r="7" spans="2:30" ht="12.75" customHeight="1">
      <c r="B7" s="1"/>
      <c r="C7" s="521"/>
      <c r="D7" s="521"/>
      <c r="E7" s="531"/>
      <c r="N7" s="1"/>
      <c r="O7" s="640"/>
      <c r="P7" s="640"/>
      <c r="Q7" s="531"/>
    </row>
    <row r="8" spans="2:30" ht="15.75">
      <c r="B8" s="4" t="s">
        <v>411</v>
      </c>
      <c r="G8" s="335" t="s">
        <v>271</v>
      </c>
      <c r="H8" s="335" t="s">
        <v>307</v>
      </c>
      <c r="I8" s="335"/>
      <c r="J8" s="335"/>
      <c r="N8" s="4" t="s">
        <v>411</v>
      </c>
      <c r="S8" s="644" t="s">
        <v>271</v>
      </c>
      <c r="T8" s="644" t="s">
        <v>307</v>
      </c>
      <c r="U8" s="644"/>
      <c r="V8" s="644"/>
    </row>
    <row r="9" spans="2:30">
      <c r="F9" s="524" t="s">
        <v>188</v>
      </c>
      <c r="G9" s="335" t="s">
        <v>307</v>
      </c>
      <c r="H9" s="335" t="s">
        <v>116</v>
      </c>
      <c r="I9" s="335"/>
      <c r="J9" s="335"/>
      <c r="R9" s="644" t="s">
        <v>188</v>
      </c>
      <c r="S9" s="644" t="s">
        <v>307</v>
      </c>
      <c r="T9" s="644" t="s">
        <v>116</v>
      </c>
      <c r="U9" s="644"/>
      <c r="V9" s="644"/>
    </row>
    <row r="10" spans="2:30">
      <c r="D10" s="539">
        <f>+AC109</f>
        <v>41547</v>
      </c>
      <c r="E10" s="335" t="s">
        <v>306</v>
      </c>
      <c r="F10" s="335" t="s">
        <v>272</v>
      </c>
      <c r="G10" s="335" t="s">
        <v>308</v>
      </c>
      <c r="H10" s="335" t="s">
        <v>272</v>
      </c>
      <c r="I10" s="335" t="s">
        <v>188</v>
      </c>
      <c r="J10" s="335" t="s">
        <v>311</v>
      </c>
      <c r="K10" s="335" t="s">
        <v>312</v>
      </c>
      <c r="L10" s="519"/>
      <c r="O10" s="644" t="s">
        <v>287</v>
      </c>
      <c r="P10" s="539">
        <f>+D10</f>
        <v>41547</v>
      </c>
      <c r="Q10" s="644" t="s">
        <v>306</v>
      </c>
      <c r="R10" s="644" t="s">
        <v>272</v>
      </c>
      <c r="S10" s="644" t="s">
        <v>308</v>
      </c>
      <c r="T10" s="644" t="s">
        <v>272</v>
      </c>
      <c r="U10" s="644" t="s">
        <v>188</v>
      </c>
      <c r="V10" s="644" t="s">
        <v>311</v>
      </c>
      <c r="W10" s="644" t="s">
        <v>312</v>
      </c>
      <c r="X10" s="644"/>
      <c r="Y10" s="644"/>
      <c r="Z10" s="644"/>
    </row>
    <row r="11" spans="2:30">
      <c r="C11" s="318" t="s">
        <v>274</v>
      </c>
      <c r="D11" s="538" t="s">
        <v>377</v>
      </c>
      <c r="E11" s="318" t="s">
        <v>305</v>
      </c>
      <c r="F11" s="318" t="s">
        <v>273</v>
      </c>
      <c r="G11" s="318" t="s">
        <v>270</v>
      </c>
      <c r="H11" s="318" t="s">
        <v>309</v>
      </c>
      <c r="I11" s="318" t="s">
        <v>310</v>
      </c>
      <c r="J11" s="318" t="s">
        <v>305</v>
      </c>
      <c r="K11" s="357" t="s">
        <v>313</v>
      </c>
      <c r="L11" s="545"/>
      <c r="O11" s="318" t="s">
        <v>117</v>
      </c>
      <c r="P11" s="538" t="s">
        <v>377</v>
      </c>
      <c r="Q11" s="318" t="s">
        <v>305</v>
      </c>
      <c r="R11" s="318" t="s">
        <v>273</v>
      </c>
      <c r="S11" s="318" t="s">
        <v>270</v>
      </c>
      <c r="T11" s="318" t="s">
        <v>309</v>
      </c>
      <c r="U11" s="318" t="s">
        <v>310</v>
      </c>
      <c r="V11" s="318" t="s">
        <v>305</v>
      </c>
      <c r="W11" s="520" t="s">
        <v>313</v>
      </c>
      <c r="X11" s="545"/>
      <c r="Y11" s="545"/>
      <c r="Z11" s="545"/>
    </row>
    <row r="12" spans="2:30">
      <c r="C12" s="94"/>
      <c r="D12" s="94"/>
      <c r="E12" s="94"/>
      <c r="F12" s="152"/>
      <c r="G12" s="94"/>
      <c r="H12" s="152"/>
      <c r="I12" s="94"/>
      <c r="J12" s="94"/>
      <c r="K12" s="152"/>
      <c r="O12" s="94"/>
      <c r="P12" s="94"/>
      <c r="Q12" s="94"/>
      <c r="R12" s="152"/>
      <c r="S12" s="94"/>
      <c r="T12" s="152"/>
      <c r="U12" s="94"/>
      <c r="V12" s="94"/>
      <c r="W12" s="152"/>
    </row>
    <row r="13" spans="2:30">
      <c r="B13" t="str">
        <f t="shared" ref="B13:B19" si="0">+B121</f>
        <v>AGL Resources</v>
      </c>
      <c r="C13">
        <f>+'Beta Report'!B12</f>
        <v>0.75</v>
      </c>
      <c r="D13" s="6">
        <f>+AE113</f>
        <v>3.6900000000000002E-2</v>
      </c>
      <c r="E13" s="6">
        <v>6.7000000000000004E-2</v>
      </c>
      <c r="F13" s="6">
        <f>$D13+$C13*$E13</f>
        <v>8.7150000000000005E-2</v>
      </c>
      <c r="G13" s="116">
        <v>-2.4400000000000002E-2</v>
      </c>
      <c r="H13" s="6">
        <f>+G13+F13</f>
        <v>6.275E-2</v>
      </c>
      <c r="I13" s="123">
        <v>3</v>
      </c>
      <c r="J13" s="63">
        <v>9.1999999999999998E-3</v>
      </c>
      <c r="K13" s="152">
        <f>+H13+J13</f>
        <v>7.195E-2</v>
      </c>
      <c r="L13" s="116"/>
      <c r="N13" t="str">
        <f>+B13</f>
        <v>AGL Resources</v>
      </c>
      <c r="O13">
        <f>+'1.7 Growth &amp; Beta'!H29</f>
        <v>0.43</v>
      </c>
      <c r="P13" s="6">
        <f>+D13</f>
        <v>3.6900000000000002E-2</v>
      </c>
      <c r="Q13" s="6">
        <v>6.7000000000000004E-2</v>
      </c>
      <c r="R13" s="6">
        <f>$P13+$O13*$Q13</f>
        <v>6.5710000000000005E-2</v>
      </c>
      <c r="S13" s="116">
        <v>-2.4400000000000002E-2</v>
      </c>
      <c r="T13" s="6">
        <f>+S13+R13</f>
        <v>4.1309999999999999E-2</v>
      </c>
      <c r="U13" s="123">
        <v>3</v>
      </c>
      <c r="V13" s="63">
        <v>9.1999999999999998E-3</v>
      </c>
      <c r="W13" s="152">
        <f>+T13+V13</f>
        <v>5.0509999999999999E-2</v>
      </c>
      <c r="X13" s="116"/>
      <c r="Y13" s="116"/>
      <c r="Z13" s="116"/>
      <c r="AA13" s="6">
        <f>+F13+G13+J13</f>
        <v>7.195E-2</v>
      </c>
      <c r="AB13" s="116"/>
      <c r="AC13" s="116"/>
      <c r="AD13" s="116">
        <f>+AC13+J13</f>
        <v>9.1999999999999998E-3</v>
      </c>
    </row>
    <row r="14" spans="2:30">
      <c r="B14" t="str">
        <f t="shared" si="0"/>
        <v>Atmos Energy</v>
      </c>
      <c r="C14">
        <f>+'Beta Report'!B13</f>
        <v>0.7</v>
      </c>
      <c r="D14" s="6">
        <f>+D13</f>
        <v>3.6900000000000002E-2</v>
      </c>
      <c r="E14" s="6">
        <f t="shared" ref="E14:E19" si="1">+E13</f>
        <v>6.7000000000000004E-2</v>
      </c>
      <c r="F14" s="6">
        <f t="shared" ref="F14:F19" si="2">D14+$C14*E14</f>
        <v>8.3799999999999999E-2</v>
      </c>
      <c r="G14" s="116">
        <f t="shared" ref="G14:G19" si="3">+G13</f>
        <v>-2.4400000000000002E-2</v>
      </c>
      <c r="H14" s="6">
        <f t="shared" ref="H14:H19" si="4">+G14+F14</f>
        <v>5.9399999999999994E-2</v>
      </c>
      <c r="I14" s="123">
        <v>4</v>
      </c>
      <c r="J14" s="63">
        <v>1.14E-2</v>
      </c>
      <c r="K14" s="152">
        <f t="shared" ref="K14:K19" si="5">+H14+J14</f>
        <v>7.0800000000000002E-2</v>
      </c>
      <c r="L14" s="116"/>
      <c r="N14" t="str">
        <f t="shared" ref="N14:N19" si="6">+B14</f>
        <v>Atmos Energy</v>
      </c>
      <c r="O14">
        <f>+'1.7 Growth &amp; Beta'!H30</f>
        <v>0.52666666666666673</v>
      </c>
      <c r="P14" s="6">
        <f>+P13</f>
        <v>3.6900000000000002E-2</v>
      </c>
      <c r="Q14" s="6">
        <f t="shared" ref="Q14:Q19" si="7">+Q13</f>
        <v>6.7000000000000004E-2</v>
      </c>
      <c r="R14" s="6">
        <f t="shared" ref="R14:R19" si="8">$P14+$O14*$Q14</f>
        <v>7.2186666666666677E-2</v>
      </c>
      <c r="S14" s="116">
        <f t="shared" ref="S14:S19" si="9">+S13</f>
        <v>-2.4400000000000002E-2</v>
      </c>
      <c r="T14" s="6">
        <f t="shared" ref="T14:T19" si="10">+S14+R14</f>
        <v>4.7786666666666672E-2</v>
      </c>
      <c r="U14" s="123">
        <v>4</v>
      </c>
      <c r="V14" s="63">
        <v>1.14E-2</v>
      </c>
      <c r="W14" s="152">
        <f t="shared" ref="W14:W19" si="11">+T14+V14</f>
        <v>5.9186666666666672E-2</v>
      </c>
      <c r="X14" s="116"/>
      <c r="Y14" s="116"/>
      <c r="Z14" s="116"/>
      <c r="AA14" s="6">
        <f t="shared" ref="AA14:AA19" si="12">+F14+G14+J14</f>
        <v>7.0800000000000002E-2</v>
      </c>
    </row>
    <row r="15" spans="2:30">
      <c r="B15" t="str">
        <f t="shared" si="0"/>
        <v>Laclede Group</v>
      </c>
      <c r="C15">
        <f>+'Beta Report'!B14</f>
        <v>0.6</v>
      </c>
      <c r="D15" s="6">
        <f t="shared" ref="D15:D19" si="13">+D14</f>
        <v>3.6900000000000002E-2</v>
      </c>
      <c r="E15" s="6">
        <f t="shared" si="1"/>
        <v>6.7000000000000004E-2</v>
      </c>
      <c r="F15" s="6">
        <f t="shared" si="2"/>
        <v>7.7100000000000002E-2</v>
      </c>
      <c r="G15" s="116">
        <f t="shared" si="3"/>
        <v>-2.4400000000000002E-2</v>
      </c>
      <c r="H15" s="6">
        <f t="shared" si="4"/>
        <v>5.2699999999999997E-2</v>
      </c>
      <c r="I15" s="517">
        <v>6</v>
      </c>
      <c r="J15" s="96">
        <v>1.72E-2</v>
      </c>
      <c r="K15" s="152">
        <f t="shared" si="5"/>
        <v>6.989999999999999E-2</v>
      </c>
      <c r="L15" s="116"/>
      <c r="N15" t="str">
        <f t="shared" si="6"/>
        <v>Laclede Group</v>
      </c>
      <c r="O15">
        <f>+'1.7 Growth &amp; Beta'!H31</f>
        <v>0.26</v>
      </c>
      <c r="P15" s="6">
        <f t="shared" ref="P15:P19" si="14">+P14</f>
        <v>3.6900000000000002E-2</v>
      </c>
      <c r="Q15" s="6">
        <f t="shared" si="7"/>
        <v>6.7000000000000004E-2</v>
      </c>
      <c r="R15" s="6">
        <f t="shared" si="8"/>
        <v>5.4320000000000007E-2</v>
      </c>
      <c r="S15" s="116">
        <f t="shared" si="9"/>
        <v>-2.4400000000000002E-2</v>
      </c>
      <c r="T15" s="6">
        <f t="shared" si="10"/>
        <v>2.9920000000000006E-2</v>
      </c>
      <c r="U15" s="517">
        <v>6</v>
      </c>
      <c r="V15" s="96">
        <v>1.72E-2</v>
      </c>
      <c r="W15" s="152">
        <f t="shared" si="11"/>
        <v>4.7120000000000009E-2</v>
      </c>
      <c r="X15" s="116"/>
      <c r="Y15" s="116"/>
      <c r="Z15" s="116"/>
      <c r="AA15" s="6">
        <f t="shared" si="12"/>
        <v>6.989999999999999E-2</v>
      </c>
    </row>
    <row r="16" spans="2:30">
      <c r="B16" s="94" t="str">
        <f t="shared" si="0"/>
        <v>Northwest Nat. Gas</v>
      </c>
      <c r="C16" s="94">
        <f>+'Beta Report'!B15</f>
        <v>0.6</v>
      </c>
      <c r="D16" s="102">
        <f>+D15</f>
        <v>3.6900000000000002E-2</v>
      </c>
      <c r="E16" s="102">
        <f>+E15</f>
        <v>6.7000000000000004E-2</v>
      </c>
      <c r="F16" s="102">
        <f t="shared" si="2"/>
        <v>7.7100000000000002E-2</v>
      </c>
      <c r="G16" s="152">
        <f>+G15</f>
        <v>-2.4400000000000002E-2</v>
      </c>
      <c r="H16" s="6">
        <f t="shared" si="4"/>
        <v>5.2699999999999997E-2</v>
      </c>
      <c r="I16" s="517">
        <v>7</v>
      </c>
      <c r="J16" s="96">
        <v>1.7299999999999999E-2</v>
      </c>
      <c r="K16" s="152">
        <f t="shared" si="5"/>
        <v>6.9999999999999993E-2</v>
      </c>
      <c r="L16" s="152"/>
      <c r="N16" t="str">
        <f t="shared" si="6"/>
        <v>Northwest Nat. Gas</v>
      </c>
      <c r="O16">
        <f>+'1.7 Growth &amp; Beta'!H32</f>
        <v>0.31666666666666665</v>
      </c>
      <c r="P16" s="102">
        <f>+P15</f>
        <v>3.6900000000000002E-2</v>
      </c>
      <c r="Q16" s="102">
        <f>+Q15</f>
        <v>6.7000000000000004E-2</v>
      </c>
      <c r="R16" s="6">
        <f t="shared" si="8"/>
        <v>5.8116666666666671E-2</v>
      </c>
      <c r="S16" s="152">
        <f>+S15</f>
        <v>-2.4400000000000002E-2</v>
      </c>
      <c r="T16" s="6">
        <f t="shared" si="10"/>
        <v>3.3716666666666673E-2</v>
      </c>
      <c r="U16" s="517">
        <v>7</v>
      </c>
      <c r="V16" s="96">
        <v>1.7299999999999999E-2</v>
      </c>
      <c r="W16" s="152">
        <f t="shared" si="11"/>
        <v>5.1016666666666668E-2</v>
      </c>
      <c r="X16" s="152"/>
      <c r="Y16" s="152"/>
      <c r="Z16" s="152"/>
      <c r="AA16" s="6">
        <f t="shared" si="12"/>
        <v>6.9999999999999993E-2</v>
      </c>
    </row>
    <row r="17" spans="2:32">
      <c r="B17" s="94" t="str">
        <f t="shared" si="0"/>
        <v>Piedmont Natural Gas</v>
      </c>
      <c r="C17" s="94">
        <f>+'Beta Report'!B16</f>
        <v>0.7</v>
      </c>
      <c r="D17" s="102">
        <f t="shared" si="13"/>
        <v>3.6900000000000002E-2</v>
      </c>
      <c r="E17" s="102">
        <f t="shared" si="1"/>
        <v>6.7000000000000004E-2</v>
      </c>
      <c r="F17" s="102">
        <f t="shared" si="2"/>
        <v>8.3799999999999999E-2</v>
      </c>
      <c r="G17" s="152">
        <f t="shared" si="3"/>
        <v>-2.4400000000000002E-2</v>
      </c>
      <c r="H17" s="6">
        <f t="shared" si="4"/>
        <v>5.9399999999999994E-2</v>
      </c>
      <c r="I17" s="517">
        <v>5</v>
      </c>
      <c r="J17" s="96">
        <v>1.7000000000000001E-2</v>
      </c>
      <c r="K17" s="152">
        <f t="shared" si="5"/>
        <v>7.6399999999999996E-2</v>
      </c>
      <c r="L17" s="152"/>
      <c r="N17" t="str">
        <f t="shared" si="6"/>
        <v>Piedmont Natural Gas</v>
      </c>
      <c r="O17">
        <f>+'1.7 Growth &amp; Beta'!H33</f>
        <v>0.45999999999999996</v>
      </c>
      <c r="P17" s="102">
        <f t="shared" si="14"/>
        <v>3.6900000000000002E-2</v>
      </c>
      <c r="Q17" s="102">
        <f t="shared" si="7"/>
        <v>6.7000000000000004E-2</v>
      </c>
      <c r="R17" s="6">
        <f t="shared" si="8"/>
        <v>6.7720000000000002E-2</v>
      </c>
      <c r="S17" s="152">
        <f t="shared" si="9"/>
        <v>-2.4400000000000002E-2</v>
      </c>
      <c r="T17" s="6">
        <f t="shared" si="10"/>
        <v>4.3319999999999997E-2</v>
      </c>
      <c r="U17" s="517">
        <v>5</v>
      </c>
      <c r="V17" s="96">
        <v>1.7000000000000001E-2</v>
      </c>
      <c r="W17" s="152">
        <f t="shared" si="11"/>
        <v>6.0319999999999999E-2</v>
      </c>
      <c r="X17" s="152"/>
      <c r="Y17" s="152"/>
      <c r="Z17" s="152"/>
      <c r="AA17" s="6">
        <f t="shared" si="12"/>
        <v>7.6399999999999996E-2</v>
      </c>
      <c r="AB17" s="116"/>
      <c r="AE17" s="116">
        <f>+F21</f>
        <v>8.2364285714285709E-2</v>
      </c>
    </row>
    <row r="18" spans="2:32">
      <c r="B18" t="str">
        <f t="shared" si="0"/>
        <v>South Jersey Inds.</v>
      </c>
      <c r="C18">
        <f>+'Beta Report'!B17</f>
        <v>0.65</v>
      </c>
      <c r="D18" s="6">
        <f t="shared" si="13"/>
        <v>3.6900000000000002E-2</v>
      </c>
      <c r="E18" s="6">
        <f t="shared" si="1"/>
        <v>6.7000000000000004E-2</v>
      </c>
      <c r="F18" s="6">
        <f t="shared" si="2"/>
        <v>8.0450000000000008E-2</v>
      </c>
      <c r="G18" s="116">
        <f t="shared" si="3"/>
        <v>-2.4400000000000002E-2</v>
      </c>
      <c r="H18" s="6">
        <f t="shared" si="4"/>
        <v>5.6050000000000003E-2</v>
      </c>
      <c r="I18" s="123">
        <v>6</v>
      </c>
      <c r="J18" s="63">
        <v>1.72E-2</v>
      </c>
      <c r="K18" s="152">
        <f t="shared" si="5"/>
        <v>7.325000000000001E-2</v>
      </c>
      <c r="L18" s="116"/>
      <c r="N18" t="str">
        <f t="shared" si="6"/>
        <v>South Jersey Inds.</v>
      </c>
      <c r="O18">
        <f>+'1.7 Growth &amp; Beta'!H34</f>
        <v>0.46666666666666662</v>
      </c>
      <c r="P18" s="6">
        <f t="shared" si="14"/>
        <v>3.6900000000000002E-2</v>
      </c>
      <c r="Q18" s="6">
        <f t="shared" si="7"/>
        <v>6.7000000000000004E-2</v>
      </c>
      <c r="R18" s="6">
        <f t="shared" si="8"/>
        <v>6.8166666666666667E-2</v>
      </c>
      <c r="S18" s="116">
        <f t="shared" si="9"/>
        <v>-2.4400000000000002E-2</v>
      </c>
      <c r="T18" s="6">
        <f t="shared" si="10"/>
        <v>4.3766666666666662E-2</v>
      </c>
      <c r="U18" s="123">
        <v>6</v>
      </c>
      <c r="V18" s="63">
        <v>1.72E-2</v>
      </c>
      <c r="W18" s="152">
        <f t="shared" si="11"/>
        <v>6.0966666666666662E-2</v>
      </c>
      <c r="X18" s="116"/>
      <c r="Y18" s="116"/>
      <c r="Z18" s="116"/>
      <c r="AA18" s="6">
        <f t="shared" si="12"/>
        <v>7.325000000000001E-2</v>
      </c>
      <c r="AB18" s="116"/>
      <c r="AE18" s="116">
        <f>+F152</f>
        <v>7.4663888888888891E-2</v>
      </c>
      <c r="AF18" s="116">
        <f>(AE17+AE18)/2</f>
        <v>7.8514087301587293E-2</v>
      </c>
    </row>
    <row r="19" spans="2:32">
      <c r="B19" t="str">
        <f t="shared" si="0"/>
        <v>Southwest Gas</v>
      </c>
      <c r="C19" s="334">
        <f>+'Beta Report'!B18</f>
        <v>0.75</v>
      </c>
      <c r="D19" s="348">
        <f t="shared" si="13"/>
        <v>3.6900000000000002E-2</v>
      </c>
      <c r="E19" s="348">
        <f t="shared" si="1"/>
        <v>6.7000000000000004E-2</v>
      </c>
      <c r="F19" s="348">
        <f t="shared" si="2"/>
        <v>8.7150000000000005E-2</v>
      </c>
      <c r="G19" s="333">
        <f t="shared" si="3"/>
        <v>-2.4400000000000002E-2</v>
      </c>
      <c r="H19" s="348">
        <f t="shared" si="4"/>
        <v>6.275E-2</v>
      </c>
      <c r="I19" s="803">
        <v>5</v>
      </c>
      <c r="J19" s="288">
        <v>1.7000000000000001E-2</v>
      </c>
      <c r="K19" s="567">
        <f t="shared" si="5"/>
        <v>7.9750000000000001E-2</v>
      </c>
      <c r="L19" s="116"/>
      <c r="N19" t="str">
        <f t="shared" si="6"/>
        <v>Southwest Gas</v>
      </c>
      <c r="O19" s="334">
        <f>+'1.7 Growth &amp; Beta'!H35</f>
        <v>0.69333333333333336</v>
      </c>
      <c r="P19" s="348">
        <f t="shared" si="14"/>
        <v>3.6900000000000002E-2</v>
      </c>
      <c r="Q19" s="348">
        <f t="shared" si="7"/>
        <v>6.7000000000000004E-2</v>
      </c>
      <c r="R19" s="348">
        <f t="shared" si="8"/>
        <v>8.3353333333333335E-2</v>
      </c>
      <c r="S19" s="333">
        <f t="shared" si="9"/>
        <v>-2.4400000000000002E-2</v>
      </c>
      <c r="T19" s="348">
        <f t="shared" si="10"/>
        <v>5.895333333333333E-2</v>
      </c>
      <c r="U19" s="803">
        <v>5</v>
      </c>
      <c r="V19" s="288">
        <v>1.7000000000000001E-2</v>
      </c>
      <c r="W19" s="567">
        <f t="shared" si="11"/>
        <v>7.5953333333333331E-2</v>
      </c>
      <c r="X19" s="116"/>
      <c r="Y19" s="116"/>
      <c r="Z19" s="116"/>
      <c r="AA19" s="6">
        <f t="shared" si="12"/>
        <v>7.9750000000000001E-2</v>
      </c>
      <c r="AB19" s="116"/>
    </row>
    <row r="20" spans="2:32">
      <c r="D20" s="6"/>
      <c r="E20" s="6"/>
      <c r="F20" s="6"/>
      <c r="G20" s="116"/>
      <c r="H20" s="6"/>
      <c r="I20" s="341"/>
      <c r="P20" s="6"/>
      <c r="Q20" s="6"/>
      <c r="R20" s="6"/>
      <c r="S20" s="116"/>
      <c r="T20" s="6"/>
      <c r="U20" s="341"/>
      <c r="AA20" s="206"/>
    </row>
    <row r="21" spans="2:32" ht="14.25">
      <c r="B21" t="str">
        <f>+B129</f>
        <v>Average</v>
      </c>
      <c r="C21" s="306">
        <f>AVERAGE(C13:C19)</f>
        <v>0.6785714285714286</v>
      </c>
      <c r="D21" s="535">
        <f>+D19</f>
        <v>3.6900000000000002E-2</v>
      </c>
      <c r="E21" s="535">
        <f>+E19</f>
        <v>6.7000000000000004E-2</v>
      </c>
      <c r="F21" s="347">
        <f>AVERAGE(F13:F19)</f>
        <v>8.2364285714285709E-2</v>
      </c>
      <c r="G21" s="347">
        <f>+G19</f>
        <v>-2.4400000000000002E-2</v>
      </c>
      <c r="H21" s="347">
        <f>AVERAGE(H13:H19)</f>
        <v>5.7964285714285704E-2</v>
      </c>
      <c r="I21" s="306"/>
      <c r="J21" s="536">
        <f>AVERAGE(J13:J19)</f>
        <v>1.5185714285714285E-2</v>
      </c>
      <c r="K21" s="347">
        <f>AVERAGE(K13:K19)</f>
        <v>7.3150000000000007E-2</v>
      </c>
      <c r="L21" s="347"/>
      <c r="N21" s="306" t="str">
        <f>+B21</f>
        <v>Average</v>
      </c>
      <c r="O21" s="306">
        <f>AVERAGE(O13:O19)</f>
        <v>0.45047619047619047</v>
      </c>
      <c r="P21" s="535">
        <f>+P19</f>
        <v>3.6900000000000002E-2</v>
      </c>
      <c r="Q21" s="535">
        <f>+Q19</f>
        <v>6.7000000000000004E-2</v>
      </c>
      <c r="R21" s="347">
        <f>AVERAGE(R13:R19)</f>
        <v>6.7081904761904759E-2</v>
      </c>
      <c r="S21" s="347">
        <f>+S19</f>
        <v>-2.4400000000000002E-2</v>
      </c>
      <c r="T21" s="347">
        <f>AVERAGE(T13:T19)</f>
        <v>4.2681904761904761E-2</v>
      </c>
      <c r="U21" s="306"/>
      <c r="V21" s="536">
        <f>AVERAGE(V13:V19)</f>
        <v>1.5185714285714285E-2</v>
      </c>
      <c r="W21" s="347">
        <f>AVERAGE(W13:W19)</f>
        <v>5.7867619047619043E-2</v>
      </c>
      <c r="X21" s="347"/>
      <c r="Y21" s="347"/>
      <c r="Z21" s="347"/>
      <c r="AA21" s="347">
        <f>AVERAGE(AA13:AA19)</f>
        <v>7.3150000000000007E-2</v>
      </c>
      <c r="AE21" s="116">
        <f>+F35</f>
        <v>6.8792857142857156E-2</v>
      </c>
    </row>
    <row r="22" spans="2:32">
      <c r="B22" t="s">
        <v>43</v>
      </c>
      <c r="D22" s="6"/>
      <c r="E22" s="6"/>
      <c r="F22" s="116">
        <f>STDEV(F13:F19)</f>
        <v>4.2626003688783576E-3</v>
      </c>
      <c r="G22" s="116"/>
      <c r="H22" s="116">
        <f>STDEV(H13:H19)</f>
        <v>4.2626003688783576E-3</v>
      </c>
      <c r="I22" s="116"/>
      <c r="J22" s="116"/>
      <c r="K22" s="116">
        <f>STDEV(K13:K19)</f>
        <v>3.6873658167676667E-3</v>
      </c>
      <c r="L22" s="116"/>
      <c r="N22" t="s">
        <v>43</v>
      </c>
      <c r="P22" s="6"/>
      <c r="Q22" s="6"/>
      <c r="R22" s="116">
        <f>STDEV(R13:R19)</f>
        <v>9.4650733904030459E-3</v>
      </c>
      <c r="S22" s="116"/>
      <c r="T22" s="116">
        <f>STDEV(T13:T19)</f>
        <v>9.465073390402954E-3</v>
      </c>
      <c r="U22" s="116"/>
      <c r="V22" s="116"/>
      <c r="W22" s="116">
        <f>STDEV(W13:W19)</f>
        <v>9.6698210781038258E-3</v>
      </c>
      <c r="X22" s="116"/>
      <c r="Y22" s="116"/>
      <c r="Z22" s="116"/>
      <c r="AA22" s="116"/>
      <c r="AE22" s="116"/>
    </row>
    <row r="23" spans="2:32">
      <c r="B23" t="str">
        <f>+B131</f>
        <v>Median</v>
      </c>
      <c r="C23">
        <f>MEDIAN(C13:C19)</f>
        <v>0.7</v>
      </c>
      <c r="D23" s="6"/>
      <c r="E23" s="6"/>
      <c r="F23" s="116">
        <f>MEDIAN(F13:F19)</f>
        <v>8.3799999999999999E-2</v>
      </c>
      <c r="G23" s="116"/>
      <c r="H23" s="116">
        <f>MEDIAN(H13:H19)</f>
        <v>5.9399999999999994E-2</v>
      </c>
      <c r="I23" s="116"/>
      <c r="J23" s="116"/>
      <c r="K23" s="116">
        <f>MEDIAN(K13:K19)</f>
        <v>7.195E-2</v>
      </c>
      <c r="L23" s="116"/>
      <c r="N23" t="str">
        <f>+B23</f>
        <v>Median</v>
      </c>
      <c r="O23">
        <f>MEDIAN(O13:O19)</f>
        <v>0.45999999999999996</v>
      </c>
      <c r="P23" s="6"/>
      <c r="Q23" s="6"/>
      <c r="R23" s="116">
        <f>MEDIAN(R13:R19)</f>
        <v>6.7720000000000002E-2</v>
      </c>
      <c r="S23" s="116"/>
      <c r="T23" s="116">
        <f>MEDIAN(T13:T19)</f>
        <v>4.3319999999999997E-2</v>
      </c>
      <c r="U23" s="116"/>
      <c r="V23" s="116"/>
      <c r="W23" s="116">
        <f>MEDIAN(W13:W19)</f>
        <v>5.9186666666666672E-2</v>
      </c>
      <c r="X23" s="116"/>
      <c r="Y23" s="116"/>
      <c r="Z23" s="116"/>
      <c r="AE23" s="116">
        <f>+F36</f>
        <v>7.5578571428571439E-2</v>
      </c>
    </row>
    <row r="24" spans="2:32" hidden="1">
      <c r="AE24" s="116">
        <f>+F37</f>
        <v>6.5400000000000014E-2</v>
      </c>
      <c r="AF24" s="116"/>
    </row>
    <row r="25" spans="2:32" ht="15.75" hidden="1">
      <c r="F25" s="347">
        <f>+F21</f>
        <v>8.2364285714285709E-2</v>
      </c>
      <c r="H25" s="349">
        <f>+H21</f>
        <v>5.7964285714285704E-2</v>
      </c>
      <c r="K25" s="349">
        <f>+K21</f>
        <v>7.3150000000000007E-2</v>
      </c>
      <c r="L25" s="349"/>
      <c r="R25" s="347">
        <f>+R21</f>
        <v>6.7081904761904759E-2</v>
      </c>
      <c r="T25" s="349">
        <f>+T21</f>
        <v>4.2681904761904761E-2</v>
      </c>
      <c r="W25" s="349">
        <f>+W21</f>
        <v>5.7867619047619043E-2</v>
      </c>
      <c r="X25" s="349"/>
      <c r="Y25" s="349"/>
      <c r="Z25" s="349"/>
      <c r="AE25" s="116"/>
      <c r="AF25" s="116"/>
    </row>
    <row r="26" spans="2:32" hidden="1">
      <c r="F26" s="116"/>
      <c r="K26" s="116"/>
      <c r="L26" s="116"/>
      <c r="R26" s="116"/>
      <c r="W26" s="116"/>
      <c r="X26" s="116"/>
      <c r="Y26" s="116"/>
      <c r="Z26" s="116"/>
      <c r="AE26" s="116"/>
      <c r="AF26" s="116"/>
    </row>
    <row r="27" spans="2:32">
      <c r="C27" s="6" t="s">
        <v>303</v>
      </c>
      <c r="F27" s="116">
        <f>+F25-F22</f>
        <v>7.8101685345407346E-2</v>
      </c>
      <c r="H27" s="116">
        <f>+H21-H22</f>
        <v>5.3701685345407348E-2</v>
      </c>
      <c r="I27" s="116"/>
      <c r="J27" s="116"/>
      <c r="K27" s="116">
        <f>+K21-K22</f>
        <v>6.9462634183232341E-2</v>
      </c>
      <c r="L27" s="116"/>
      <c r="O27" s="6" t="s">
        <v>303</v>
      </c>
      <c r="R27" s="116">
        <f>+R25-R22</f>
        <v>5.7616831371501712E-2</v>
      </c>
      <c r="T27" s="116">
        <f>+T21-T22</f>
        <v>3.3216831371501804E-2</v>
      </c>
      <c r="U27" s="116"/>
      <c r="V27" s="116"/>
      <c r="W27" s="116">
        <f>+W21-W22</f>
        <v>4.8197797969515219E-2</v>
      </c>
      <c r="X27" s="116"/>
      <c r="Y27" s="116"/>
      <c r="Z27" s="116"/>
      <c r="AE27" s="116"/>
      <c r="AF27" s="116"/>
    </row>
    <row r="28" spans="2:32">
      <c r="F28" s="116">
        <f>+F25+F22</f>
        <v>8.6626886083164073E-2</v>
      </c>
      <c r="H28" s="116">
        <f>+H21+H22</f>
        <v>6.2226886083164061E-2</v>
      </c>
      <c r="I28" s="116"/>
      <c r="J28" s="116"/>
      <c r="K28" s="116">
        <f>+K21+K22</f>
        <v>7.6837365816767672E-2</v>
      </c>
      <c r="L28" s="116"/>
      <c r="R28" s="116">
        <f>+R25+R22</f>
        <v>7.6546978152307807E-2</v>
      </c>
      <c r="T28" s="116">
        <f>+T21+T22</f>
        <v>5.2146978152307719E-2</v>
      </c>
      <c r="U28" s="116"/>
      <c r="V28" s="116"/>
      <c r="W28" s="116">
        <f>+W21+W22</f>
        <v>6.7537440125722867E-2</v>
      </c>
      <c r="X28" s="116"/>
      <c r="Y28" s="116"/>
      <c r="Z28" s="116"/>
      <c r="AE28" s="116"/>
      <c r="AF28" s="116"/>
    </row>
    <row r="29" spans="2:32">
      <c r="F29" s="116"/>
      <c r="H29" s="116"/>
      <c r="I29" s="116"/>
      <c r="J29" s="116"/>
      <c r="K29" s="116"/>
      <c r="L29" s="116"/>
      <c r="R29" s="116"/>
      <c r="T29" s="116"/>
      <c r="U29" s="116"/>
      <c r="V29" s="116"/>
      <c r="W29" s="116"/>
      <c r="X29" s="116"/>
      <c r="Y29" s="116"/>
      <c r="Z29" s="116"/>
      <c r="AE29" s="116"/>
      <c r="AF29" s="116"/>
    </row>
    <row r="30" spans="2:32">
      <c r="B30" s="845" t="s">
        <v>837</v>
      </c>
      <c r="C30" s="846"/>
      <c r="D30" s="846"/>
      <c r="E30" s="846"/>
      <c r="F30" s="846"/>
      <c r="G30" s="846"/>
      <c r="H30" s="846"/>
      <c r="I30" s="846"/>
      <c r="J30" s="846"/>
      <c r="K30" s="847"/>
      <c r="L30" s="316"/>
      <c r="N30" s="845" t="s">
        <v>379</v>
      </c>
      <c r="O30" s="846"/>
      <c r="P30" s="846"/>
      <c r="Q30" s="846"/>
      <c r="R30" s="846"/>
      <c r="S30" s="846"/>
      <c r="T30" s="846"/>
      <c r="U30" s="846"/>
      <c r="V30" s="846"/>
      <c r="W30" s="847"/>
      <c r="X30" s="316"/>
      <c r="Y30" s="316"/>
      <c r="Z30" s="316"/>
      <c r="AE30" s="116" t="e">
        <f>+#REF!</f>
        <v>#REF!</v>
      </c>
      <c r="AF30" s="6" t="e">
        <f>(#REF!+AE30+AE33)/3</f>
        <v>#REF!</v>
      </c>
    </row>
    <row r="31" spans="2:32">
      <c r="B31" s="802"/>
      <c r="C31" s="807" t="s">
        <v>38</v>
      </c>
      <c r="D31" s="809">
        <f t="shared" ref="D31:F32" si="15">+D10</f>
        <v>41547</v>
      </c>
      <c r="E31" s="807" t="str">
        <f t="shared" si="15"/>
        <v>Risk</v>
      </c>
      <c r="F31" s="807" t="str">
        <f t="shared" si="15"/>
        <v>Expected</v>
      </c>
      <c r="G31" s="807" t="str">
        <f>+G9</f>
        <v>Industry</v>
      </c>
      <c r="H31" s="807" t="str">
        <f>+H8</f>
        <v>Industry</v>
      </c>
      <c r="I31" s="804"/>
      <c r="J31" s="358" t="s">
        <v>318</v>
      </c>
      <c r="K31" s="359" t="str">
        <f>+K10</f>
        <v xml:space="preserve">Investor </v>
      </c>
      <c r="L31" s="316"/>
      <c r="N31" s="802"/>
      <c r="O31" s="807" t="str">
        <f>+C31</f>
        <v>Average</v>
      </c>
      <c r="P31" s="807">
        <f t="shared" ref="P31:T32" si="16">+D31</f>
        <v>41547</v>
      </c>
      <c r="Q31" s="807" t="str">
        <f t="shared" si="16"/>
        <v>Risk</v>
      </c>
      <c r="R31" s="807" t="str">
        <f t="shared" si="16"/>
        <v>Expected</v>
      </c>
      <c r="S31" s="807" t="str">
        <f t="shared" si="16"/>
        <v>Industry</v>
      </c>
      <c r="T31" s="807" t="str">
        <f t="shared" si="16"/>
        <v>Industry</v>
      </c>
      <c r="U31" s="36"/>
      <c r="V31" s="807" t="str">
        <f t="shared" ref="V31:W32" si="17">+J31</f>
        <v>Avg Size</v>
      </c>
      <c r="W31" s="807" t="str">
        <f t="shared" si="17"/>
        <v xml:space="preserve">Investor </v>
      </c>
      <c r="X31" s="316"/>
      <c r="Y31" s="316"/>
      <c r="Z31" s="316"/>
      <c r="AE31" s="116"/>
      <c r="AF31" s="6"/>
    </row>
    <row r="32" spans="2:32">
      <c r="B32" s="766"/>
      <c r="C32" s="808" t="str">
        <f>+C11</f>
        <v>VL Beta</v>
      </c>
      <c r="D32" s="808" t="str">
        <f t="shared" si="15"/>
        <v>30 Yr Treasury</v>
      </c>
      <c r="E32" s="808" t="str">
        <f t="shared" si="15"/>
        <v>Premium</v>
      </c>
      <c r="F32" s="808" t="str">
        <f t="shared" si="15"/>
        <v>Return</v>
      </c>
      <c r="G32" s="808" t="str">
        <f>+G10</f>
        <v>Premia</v>
      </c>
      <c r="H32" s="808" t="str">
        <f>+H11</f>
        <v>Returns</v>
      </c>
      <c r="I32" s="546"/>
      <c r="J32" s="318" t="str">
        <f>+J11</f>
        <v>Premium</v>
      </c>
      <c r="K32" s="181" t="str">
        <f>+K11</f>
        <v>Expectation</v>
      </c>
      <c r="L32" s="316"/>
      <c r="N32" s="766"/>
      <c r="O32" s="808" t="str">
        <f>+C32</f>
        <v>VL Beta</v>
      </c>
      <c r="P32" s="808" t="str">
        <f t="shared" si="16"/>
        <v>30 Yr Treasury</v>
      </c>
      <c r="Q32" s="808" t="str">
        <f t="shared" si="16"/>
        <v>Premium</v>
      </c>
      <c r="R32" s="808" t="str">
        <f t="shared" si="16"/>
        <v>Return</v>
      </c>
      <c r="S32" s="808" t="str">
        <f t="shared" si="16"/>
        <v>Premia</v>
      </c>
      <c r="T32" s="808" t="str">
        <f t="shared" si="16"/>
        <v>Returns</v>
      </c>
      <c r="U32" s="334"/>
      <c r="V32" s="808" t="str">
        <f t="shared" si="17"/>
        <v>Premium</v>
      </c>
      <c r="W32" s="808" t="str">
        <f t="shared" si="17"/>
        <v>Expectation</v>
      </c>
      <c r="X32" s="316"/>
      <c r="Y32" s="316"/>
      <c r="Z32" s="316"/>
      <c r="AE32" s="116"/>
      <c r="AF32" s="6"/>
    </row>
    <row r="33" spans="1:31" hidden="1">
      <c r="B33" s="362"/>
      <c r="C33" s="363"/>
      <c r="D33" s="3"/>
      <c r="E33" s="3"/>
      <c r="F33" s="3"/>
      <c r="G33" s="3"/>
      <c r="H33" s="3"/>
      <c r="I33" s="3"/>
      <c r="J33" s="3"/>
      <c r="K33" s="227"/>
      <c r="L33" s="36"/>
      <c r="N33" s="362"/>
      <c r="O33" s="363"/>
      <c r="P33" s="3"/>
      <c r="Q33" s="3"/>
      <c r="R33" s="3"/>
      <c r="S33" s="3"/>
      <c r="T33" s="3"/>
      <c r="U33" s="3"/>
      <c r="V33" s="3"/>
      <c r="W33" s="227"/>
      <c r="X33" s="36"/>
      <c r="Y33" s="36"/>
      <c r="Z33" s="36"/>
      <c r="AE33" s="116" t="e">
        <f>+#REF!</f>
        <v>#REF!</v>
      </c>
    </row>
    <row r="34" spans="1:31">
      <c r="B34" s="331" t="s">
        <v>378</v>
      </c>
      <c r="C34" s="36">
        <f>+C100</f>
        <v>0.6785714285714286</v>
      </c>
      <c r="D34" s="322">
        <f>+D13</f>
        <v>3.6900000000000002E-2</v>
      </c>
      <c r="E34" s="548">
        <v>1.6E-2</v>
      </c>
      <c r="F34" s="21">
        <f>D34+C34*E34</f>
        <v>4.7757142857142859E-2</v>
      </c>
      <c r="G34" s="322">
        <f>+G21</f>
        <v>-2.4400000000000002E-2</v>
      </c>
      <c r="H34" s="21">
        <f t="shared" ref="H34:H39" si="18">+G34+F34</f>
        <v>2.3357142857142858E-2</v>
      </c>
      <c r="I34" s="21"/>
      <c r="J34" s="21">
        <f>+J21</f>
        <v>1.5185714285714285E-2</v>
      </c>
      <c r="K34" s="406">
        <f t="shared" ref="K34:K39" si="19">+H34+J34</f>
        <v>3.8542857142857143E-2</v>
      </c>
      <c r="L34" s="322"/>
      <c r="N34" s="331" t="s">
        <v>378</v>
      </c>
      <c r="O34" s="36">
        <f>+O100</f>
        <v>0.45047619047619047</v>
      </c>
      <c r="P34" s="322">
        <f>+P13</f>
        <v>3.6900000000000002E-2</v>
      </c>
      <c r="Q34" s="548">
        <v>1.6E-2</v>
      </c>
      <c r="R34" s="21">
        <f>P34+O34*Q34</f>
        <v>4.4107619047619048E-2</v>
      </c>
      <c r="S34" s="322">
        <f>+S21</f>
        <v>-2.4400000000000002E-2</v>
      </c>
      <c r="T34" s="21">
        <f t="shared" ref="T34:T39" si="20">+S34+R34</f>
        <v>1.9707619047619047E-2</v>
      </c>
      <c r="U34" s="21"/>
      <c r="V34" s="21">
        <f>+V21</f>
        <v>1.5185714285714285E-2</v>
      </c>
      <c r="W34" s="406">
        <f t="shared" ref="W34:W39" si="21">+T34+V34</f>
        <v>3.4893333333333332E-2</v>
      </c>
      <c r="X34" s="322"/>
      <c r="Y34" s="322"/>
      <c r="Z34" s="322"/>
      <c r="AE34" s="116"/>
    </row>
    <row r="35" spans="1:31">
      <c r="B35" s="331" t="s">
        <v>301</v>
      </c>
      <c r="C35" s="36">
        <f t="shared" ref="C35:C37" si="22">+C34</f>
        <v>0.6785714285714286</v>
      </c>
      <c r="D35" s="322">
        <f t="shared" ref="D35:D37" si="23">+D34</f>
        <v>3.6900000000000002E-2</v>
      </c>
      <c r="E35" s="537">
        <v>4.7E-2</v>
      </c>
      <c r="F35" s="21">
        <f t="shared" ref="F35:F39" si="24">D35+C35*E35</f>
        <v>6.8792857142857156E-2</v>
      </c>
      <c r="G35" s="322">
        <f>+G34</f>
        <v>-2.4400000000000002E-2</v>
      </c>
      <c r="H35" s="21">
        <f t="shared" si="18"/>
        <v>4.4392857142857151E-2</v>
      </c>
      <c r="I35" s="21"/>
      <c r="J35" s="21">
        <f>+J34</f>
        <v>1.5185714285714285E-2</v>
      </c>
      <c r="K35" s="406">
        <f t="shared" si="19"/>
        <v>5.9578571428571439E-2</v>
      </c>
      <c r="L35" s="322"/>
      <c r="N35" s="331" t="s">
        <v>301</v>
      </c>
      <c r="O35" s="36">
        <f t="shared" ref="O35:P37" si="25">+O34</f>
        <v>0.45047619047619047</v>
      </c>
      <c r="P35" s="322">
        <f t="shared" si="25"/>
        <v>3.6900000000000002E-2</v>
      </c>
      <c r="Q35" s="537">
        <v>4.7E-2</v>
      </c>
      <c r="R35" s="21">
        <f>P35+O35*Q35</f>
        <v>5.8072380952380959E-2</v>
      </c>
      <c r="S35" s="322">
        <f>+S34</f>
        <v>-2.4400000000000002E-2</v>
      </c>
      <c r="T35" s="21">
        <f t="shared" si="20"/>
        <v>3.3672380952380954E-2</v>
      </c>
      <c r="U35" s="21"/>
      <c r="V35" s="21">
        <f>+V34</f>
        <v>1.5185714285714285E-2</v>
      </c>
      <c r="W35" s="406">
        <f t="shared" si="21"/>
        <v>4.8858095238095242E-2</v>
      </c>
      <c r="X35" s="322"/>
      <c r="Y35" s="322"/>
      <c r="Z35" s="322"/>
      <c r="AE35" s="116"/>
    </row>
    <row r="36" spans="1:31">
      <c r="B36" s="331" t="s">
        <v>298</v>
      </c>
      <c r="C36" s="36">
        <f t="shared" si="22"/>
        <v>0.6785714285714286</v>
      </c>
      <c r="D36" s="322">
        <f t="shared" si="23"/>
        <v>3.6900000000000002E-2</v>
      </c>
      <c r="E36" s="537">
        <v>5.7000000000000002E-2</v>
      </c>
      <c r="F36" s="21">
        <f t="shared" si="24"/>
        <v>7.5578571428571439E-2</v>
      </c>
      <c r="G36" s="322">
        <f t="shared" ref="G36:G38" si="26">+G35</f>
        <v>-2.4400000000000002E-2</v>
      </c>
      <c r="H36" s="21">
        <f t="shared" si="18"/>
        <v>5.1178571428571434E-2</v>
      </c>
      <c r="I36" s="21"/>
      <c r="J36" s="21">
        <f t="shared" ref="J36:J37" si="27">+J35</f>
        <v>1.5185714285714285E-2</v>
      </c>
      <c r="K36" s="406">
        <f t="shared" si="19"/>
        <v>6.6364285714285723E-2</v>
      </c>
      <c r="L36" s="322"/>
      <c r="N36" s="331" t="s">
        <v>298</v>
      </c>
      <c r="O36" s="36">
        <f t="shared" si="25"/>
        <v>0.45047619047619047</v>
      </c>
      <c r="P36" s="322">
        <f t="shared" si="25"/>
        <v>3.6900000000000002E-2</v>
      </c>
      <c r="Q36" s="537">
        <v>5.7000000000000002E-2</v>
      </c>
      <c r="R36" s="21">
        <f t="shared" ref="R36" si="28">P36+O36*Q36</f>
        <v>6.2577142857142859E-2</v>
      </c>
      <c r="S36" s="322">
        <f t="shared" ref="S36:S38" si="29">+S35</f>
        <v>-2.4400000000000002E-2</v>
      </c>
      <c r="T36" s="21">
        <f t="shared" si="20"/>
        <v>3.8177142857142854E-2</v>
      </c>
      <c r="U36" s="21"/>
      <c r="V36" s="21">
        <f t="shared" ref="V36:V37" si="30">+V35</f>
        <v>1.5185714285714285E-2</v>
      </c>
      <c r="W36" s="406">
        <f t="shared" si="21"/>
        <v>5.3362857142857142E-2</v>
      </c>
      <c r="X36" s="322"/>
      <c r="Y36" s="322"/>
      <c r="Z36" s="322"/>
      <c r="AE36" s="116"/>
    </row>
    <row r="37" spans="1:31">
      <c r="B37" s="331" t="s">
        <v>302</v>
      </c>
      <c r="C37" s="36">
        <f t="shared" si="22"/>
        <v>0.6785714285714286</v>
      </c>
      <c r="D37" s="322">
        <f t="shared" si="23"/>
        <v>3.6900000000000002E-2</v>
      </c>
      <c r="E37" s="537">
        <v>4.2000000000000003E-2</v>
      </c>
      <c r="F37" s="21">
        <f t="shared" si="24"/>
        <v>6.5400000000000014E-2</v>
      </c>
      <c r="G37" s="322">
        <f t="shared" si="26"/>
        <v>-2.4400000000000002E-2</v>
      </c>
      <c r="H37" s="21">
        <f t="shared" si="18"/>
        <v>4.1000000000000009E-2</v>
      </c>
      <c r="I37" s="21"/>
      <c r="J37" s="21">
        <f t="shared" si="27"/>
        <v>1.5185714285714285E-2</v>
      </c>
      <c r="K37" s="406">
        <f t="shared" si="19"/>
        <v>5.6185714285714297E-2</v>
      </c>
      <c r="L37" s="322"/>
      <c r="N37" s="331" t="s">
        <v>302</v>
      </c>
      <c r="O37" s="36">
        <f t="shared" si="25"/>
        <v>0.45047619047619047</v>
      </c>
      <c r="P37" s="322">
        <f t="shared" si="25"/>
        <v>3.6900000000000002E-2</v>
      </c>
      <c r="Q37" s="537">
        <v>4.2000000000000003E-2</v>
      </c>
      <c r="R37" s="21">
        <f>P37+O37*Q37</f>
        <v>5.5820000000000008E-2</v>
      </c>
      <c r="S37" s="322">
        <f t="shared" si="29"/>
        <v>-2.4400000000000002E-2</v>
      </c>
      <c r="T37" s="21">
        <f t="shared" si="20"/>
        <v>3.1420000000000003E-2</v>
      </c>
      <c r="U37" s="21"/>
      <c r="V37" s="21">
        <f t="shared" si="30"/>
        <v>1.5185714285714285E-2</v>
      </c>
      <c r="W37" s="406">
        <f t="shared" si="21"/>
        <v>4.6605714285714292E-2</v>
      </c>
      <c r="X37" s="322"/>
      <c r="Y37" s="322"/>
      <c r="Z37" s="322"/>
    </row>
    <row r="38" spans="1:31">
      <c r="B38" s="540" t="s">
        <v>299</v>
      </c>
      <c r="C38" s="541">
        <f>+C37</f>
        <v>0.6785714285714286</v>
      </c>
      <c r="D38" s="350">
        <f>+D37</f>
        <v>3.6900000000000002E-2</v>
      </c>
      <c r="E38" s="350">
        <v>4.4999999999999998E-2</v>
      </c>
      <c r="F38" s="559">
        <f t="shared" ref="F38" si="31">D38+$C38*E38</f>
        <v>6.7435714285714293E-2</v>
      </c>
      <c r="G38" s="350">
        <f t="shared" si="26"/>
        <v>-2.4400000000000002E-2</v>
      </c>
      <c r="H38" s="76">
        <f t="shared" si="18"/>
        <v>4.3035714285714288E-2</v>
      </c>
      <c r="I38" s="76"/>
      <c r="J38" s="76">
        <f>+J37</f>
        <v>1.5185714285714285E-2</v>
      </c>
      <c r="K38" s="550">
        <f t="shared" si="19"/>
        <v>5.8221428571428577E-2</v>
      </c>
      <c r="L38" s="322"/>
      <c r="N38" s="540" t="s">
        <v>299</v>
      </c>
      <c r="O38" s="541">
        <f>+O37</f>
        <v>0.45047619047619047</v>
      </c>
      <c r="P38" s="350">
        <f>+P37</f>
        <v>3.6900000000000002E-2</v>
      </c>
      <c r="Q38" s="350">
        <v>4.4999999999999998E-2</v>
      </c>
      <c r="R38" s="76">
        <f>P38+O38*Q38</f>
        <v>5.7171428571428574E-2</v>
      </c>
      <c r="S38" s="350">
        <f t="shared" si="29"/>
        <v>-2.4400000000000002E-2</v>
      </c>
      <c r="T38" s="76">
        <f t="shared" si="20"/>
        <v>3.2771428571428576E-2</v>
      </c>
      <c r="U38" s="76"/>
      <c r="V38" s="76">
        <f>+V37</f>
        <v>1.5185714285714285E-2</v>
      </c>
      <c r="W38" s="550">
        <f t="shared" si="21"/>
        <v>4.7957142857142865E-2</v>
      </c>
      <c r="X38" s="322"/>
      <c r="Y38" s="322"/>
      <c r="Z38" s="322"/>
    </row>
    <row r="39" spans="1:31">
      <c r="B39" s="332" t="s">
        <v>412</v>
      </c>
      <c r="C39" s="546">
        <f>+C37</f>
        <v>0.6785714285714286</v>
      </c>
      <c r="D39" s="543">
        <f>+D37</f>
        <v>3.6900000000000002E-2</v>
      </c>
      <c r="E39" s="543">
        <v>6.7000000000000004E-2</v>
      </c>
      <c r="F39" s="547">
        <f t="shared" si="24"/>
        <v>8.2364285714285723E-2</v>
      </c>
      <c r="G39" s="543">
        <f>+G37</f>
        <v>-2.4400000000000002E-2</v>
      </c>
      <c r="H39" s="348">
        <f t="shared" si="18"/>
        <v>5.7964285714285718E-2</v>
      </c>
      <c r="I39" s="547"/>
      <c r="J39" s="547">
        <f>+J37</f>
        <v>1.5185714285714285E-2</v>
      </c>
      <c r="K39" s="551">
        <f t="shared" si="19"/>
        <v>7.3150000000000007E-2</v>
      </c>
      <c r="L39" s="350"/>
      <c r="N39" s="332" t="s">
        <v>412</v>
      </c>
      <c r="O39" s="546">
        <f>+O37</f>
        <v>0.45047619047619047</v>
      </c>
      <c r="P39" s="543">
        <f>+P37</f>
        <v>3.6900000000000002E-2</v>
      </c>
      <c r="Q39" s="543">
        <v>6.7000000000000004E-2</v>
      </c>
      <c r="R39" s="547">
        <f t="shared" ref="R39" si="32">P39+O39*Q39</f>
        <v>6.7081904761904759E-2</v>
      </c>
      <c r="S39" s="543">
        <f>+S37</f>
        <v>-2.4400000000000002E-2</v>
      </c>
      <c r="T39" s="348">
        <f t="shared" si="20"/>
        <v>4.2681904761904754E-2</v>
      </c>
      <c r="U39" s="547"/>
      <c r="V39" s="547">
        <f>+V37</f>
        <v>1.5185714285714285E-2</v>
      </c>
      <c r="W39" s="551">
        <f t="shared" si="21"/>
        <v>5.7867619047619043E-2</v>
      </c>
      <c r="X39" s="350"/>
      <c r="Y39" s="350"/>
      <c r="Z39" s="350"/>
    </row>
    <row r="40" spans="1:31" ht="15.75">
      <c r="K40" s="116"/>
      <c r="L40" s="8" t="s">
        <v>346</v>
      </c>
      <c r="W40" s="116"/>
      <c r="X40" s="8" t="s">
        <v>346</v>
      </c>
      <c r="Y40" s="116"/>
      <c r="Z40" s="116"/>
      <c r="AA40" s="116"/>
    </row>
    <row r="41" spans="1:31" ht="15.75">
      <c r="H41" s="107"/>
      <c r="I41" s="107"/>
      <c r="J41" s="107"/>
      <c r="K41" s="407"/>
      <c r="L41" s="8" t="s">
        <v>423</v>
      </c>
      <c r="T41" s="107"/>
      <c r="U41" s="107"/>
      <c r="V41" s="107"/>
      <c r="W41" s="407"/>
      <c r="X41" s="8" t="s">
        <v>422</v>
      </c>
      <c r="Y41" s="407"/>
      <c r="Z41" s="407"/>
      <c r="AA41" s="116"/>
    </row>
    <row r="42" spans="1:31" ht="18.75" hidden="1">
      <c r="A42" s="27"/>
      <c r="B42" s="821" t="str">
        <f>+B3</f>
        <v>Questar Gas Company</v>
      </c>
      <c r="C42" s="821"/>
      <c r="D42" s="821"/>
      <c r="E42" s="821"/>
      <c r="F42" s="821"/>
      <c r="G42" s="821"/>
      <c r="H42" s="821"/>
      <c r="I42" s="821"/>
      <c r="J42" s="821"/>
      <c r="K42" s="821"/>
      <c r="L42" s="27"/>
      <c r="M42" s="27"/>
      <c r="N42" s="821" t="str">
        <f>+B42</f>
        <v>Questar Gas Company</v>
      </c>
      <c r="O42" s="821"/>
      <c r="P42" s="821"/>
      <c r="Q42" s="821"/>
      <c r="R42" s="821"/>
      <c r="S42" s="821"/>
      <c r="T42" s="821"/>
      <c r="U42" s="821"/>
      <c r="V42" s="821"/>
      <c r="W42" s="821"/>
      <c r="X42" s="27"/>
      <c r="Y42" s="27"/>
      <c r="Z42" s="27"/>
      <c r="AA42" s="116"/>
    </row>
    <row r="43" spans="1:31" ht="18.75" hidden="1">
      <c r="A43" s="27"/>
      <c r="B43" s="822" t="s">
        <v>66</v>
      </c>
      <c r="C43" s="822"/>
      <c r="D43" s="822"/>
      <c r="E43" s="822"/>
      <c r="F43" s="822"/>
      <c r="G43" s="822"/>
      <c r="H43" s="822"/>
      <c r="I43" s="822"/>
      <c r="J43" s="822"/>
      <c r="K43" s="822"/>
      <c r="L43" s="27"/>
      <c r="M43" s="27"/>
      <c r="N43" s="822" t="s">
        <v>66</v>
      </c>
      <c r="O43" s="822"/>
      <c r="P43" s="822"/>
      <c r="Q43" s="822"/>
      <c r="R43" s="822"/>
      <c r="S43" s="822"/>
      <c r="T43" s="822"/>
      <c r="U43" s="822"/>
      <c r="V43" s="822"/>
      <c r="W43" s="822"/>
      <c r="X43" s="27"/>
      <c r="Y43" s="27"/>
      <c r="Z43" s="27"/>
      <c r="AA43" s="116"/>
    </row>
    <row r="44" spans="1:31" ht="18.75" hidden="1">
      <c r="A44" s="27"/>
      <c r="B44" s="848" t="s">
        <v>115</v>
      </c>
      <c r="C44" s="848"/>
      <c r="D44" s="848"/>
      <c r="E44" s="848"/>
      <c r="F44" s="848"/>
      <c r="G44" s="848"/>
      <c r="H44" s="848"/>
      <c r="I44" s="848"/>
      <c r="J44" s="848"/>
      <c r="K44" s="848"/>
      <c r="L44" s="27"/>
      <c r="M44" s="27"/>
      <c r="N44" s="848" t="s">
        <v>115</v>
      </c>
      <c r="O44" s="848"/>
      <c r="P44" s="848"/>
      <c r="Q44" s="848"/>
      <c r="R44" s="848"/>
      <c r="S44" s="848"/>
      <c r="T44" s="848"/>
      <c r="U44" s="848"/>
      <c r="V44" s="848"/>
      <c r="W44" s="848"/>
      <c r="X44" s="27"/>
      <c r="Y44" s="27"/>
      <c r="Z44" s="27"/>
      <c r="AA44" s="116"/>
    </row>
    <row r="45" spans="1:31" ht="18.75" hidden="1">
      <c r="A45" s="27"/>
      <c r="B45" s="849">
        <f>+B6</f>
        <v>41547</v>
      </c>
      <c r="C45" s="849"/>
      <c r="D45" s="849"/>
      <c r="E45" s="849"/>
      <c r="F45" s="849"/>
      <c r="G45" s="849"/>
      <c r="H45" s="849"/>
      <c r="I45" s="849"/>
      <c r="J45" s="849"/>
      <c r="K45" s="849"/>
      <c r="L45" s="27"/>
      <c r="M45" s="27"/>
      <c r="N45" s="849">
        <f>+B45</f>
        <v>41547</v>
      </c>
      <c r="O45" s="849"/>
      <c r="P45" s="849"/>
      <c r="Q45" s="849"/>
      <c r="R45" s="849"/>
      <c r="S45" s="849"/>
      <c r="T45" s="849"/>
      <c r="U45" s="849"/>
      <c r="V45" s="849"/>
      <c r="W45" s="849"/>
      <c r="X45" s="27"/>
      <c r="Y45" s="27"/>
      <c r="Z45" s="27"/>
      <c r="AA45" s="116"/>
    </row>
    <row r="46" spans="1:31" ht="18.75" hidden="1">
      <c r="B46" s="1"/>
      <c r="C46" s="260"/>
      <c r="D46" s="260"/>
      <c r="E46" s="29"/>
      <c r="N46" s="1"/>
      <c r="O46" s="640"/>
      <c r="P46" s="640"/>
      <c r="Q46" s="29"/>
      <c r="AA46" s="116"/>
    </row>
    <row r="47" spans="1:31" ht="15.75" hidden="1">
      <c r="B47" s="4" t="str">
        <f>+B8</f>
        <v>Historical Risk Premium Period: 87 Years</v>
      </c>
      <c r="G47" s="158" t="s">
        <v>271</v>
      </c>
      <c r="H47" s="365" t="s">
        <v>307</v>
      </c>
      <c r="I47" s="365"/>
      <c r="J47" s="365"/>
      <c r="N47" s="4" t="str">
        <f>+N8</f>
        <v>Historical Risk Premium Period: 87 Years</v>
      </c>
      <c r="S47" s="158" t="s">
        <v>271</v>
      </c>
      <c r="T47" s="644" t="s">
        <v>307</v>
      </c>
      <c r="U47" s="644"/>
      <c r="V47" s="644"/>
      <c r="AA47" s="116"/>
    </row>
    <row r="48" spans="1:31" hidden="1">
      <c r="F48" s="524" t="str">
        <f>+F9</f>
        <v>Market</v>
      </c>
      <c r="G48" s="158" t="s">
        <v>307</v>
      </c>
      <c r="H48" s="365" t="s">
        <v>116</v>
      </c>
      <c r="I48" s="365"/>
      <c r="J48" s="365"/>
      <c r="R48" s="644" t="str">
        <f>+R9</f>
        <v>Market</v>
      </c>
      <c r="S48" s="158" t="s">
        <v>307</v>
      </c>
      <c r="T48" s="644" t="s">
        <v>116</v>
      </c>
      <c r="U48" s="644"/>
      <c r="V48" s="644"/>
      <c r="AA48" s="116"/>
    </row>
    <row r="49" spans="2:29" hidden="1">
      <c r="D49" s="572">
        <f>+AC109</f>
        <v>41547</v>
      </c>
      <c r="E49" s="365" t="s">
        <v>306</v>
      </c>
      <c r="F49" s="365" t="s">
        <v>272</v>
      </c>
      <c r="G49" s="158" t="s">
        <v>308</v>
      </c>
      <c r="H49" s="365" t="s">
        <v>272</v>
      </c>
      <c r="I49" s="365" t="s">
        <v>188</v>
      </c>
      <c r="J49" s="365" t="s">
        <v>311</v>
      </c>
      <c r="K49" s="365" t="s">
        <v>312</v>
      </c>
      <c r="L49" s="519"/>
      <c r="O49" s="644" t="str">
        <f>+O10</f>
        <v xml:space="preserve">Average </v>
      </c>
      <c r="P49" s="572">
        <f>+D49</f>
        <v>41547</v>
      </c>
      <c r="Q49" s="644" t="s">
        <v>306</v>
      </c>
      <c r="R49" s="644" t="s">
        <v>272</v>
      </c>
      <c r="S49" s="158" t="s">
        <v>308</v>
      </c>
      <c r="T49" s="644" t="s">
        <v>272</v>
      </c>
      <c r="U49" s="644" t="s">
        <v>188</v>
      </c>
      <c r="V49" s="644" t="s">
        <v>311</v>
      </c>
      <c r="W49" s="644" t="s">
        <v>312</v>
      </c>
      <c r="X49" s="644"/>
      <c r="Y49" s="644"/>
      <c r="Z49" s="644"/>
      <c r="AA49" s="116"/>
    </row>
    <row r="50" spans="2:29" hidden="1">
      <c r="C50" s="318" t="s">
        <v>274</v>
      </c>
      <c r="D50" s="571" t="s">
        <v>296</v>
      </c>
      <c r="E50" s="318" t="s">
        <v>305</v>
      </c>
      <c r="F50" s="318" t="s">
        <v>273</v>
      </c>
      <c r="G50" s="520" t="s">
        <v>270</v>
      </c>
      <c r="H50" s="318" t="s">
        <v>309</v>
      </c>
      <c r="I50" s="318" t="s">
        <v>310</v>
      </c>
      <c r="J50" s="318" t="s">
        <v>305</v>
      </c>
      <c r="K50" s="357" t="s">
        <v>313</v>
      </c>
      <c r="L50" s="545"/>
      <c r="O50" s="318" t="str">
        <f>+O11</f>
        <v>Beta</v>
      </c>
      <c r="P50" s="571" t="s">
        <v>296</v>
      </c>
      <c r="Q50" s="318" t="s">
        <v>305</v>
      </c>
      <c r="R50" s="318" t="s">
        <v>273</v>
      </c>
      <c r="S50" s="520" t="s">
        <v>270</v>
      </c>
      <c r="T50" s="318" t="s">
        <v>309</v>
      </c>
      <c r="U50" s="318" t="s">
        <v>310</v>
      </c>
      <c r="V50" s="318" t="s">
        <v>305</v>
      </c>
      <c r="W50" s="520" t="s">
        <v>313</v>
      </c>
      <c r="X50" s="545"/>
      <c r="Y50" s="545"/>
      <c r="Z50" s="545"/>
      <c r="AA50" s="116"/>
      <c r="AB50" s="116"/>
    </row>
    <row r="51" spans="2:29" hidden="1">
      <c r="H51" s="116"/>
      <c r="K51" s="116"/>
      <c r="L51" s="116"/>
      <c r="T51" s="116"/>
      <c r="W51" s="116"/>
      <c r="X51" s="116"/>
      <c r="Y51" s="116"/>
      <c r="Z51" s="116"/>
      <c r="AB51" t="s">
        <v>375</v>
      </c>
    </row>
    <row r="52" spans="2:29" hidden="1">
      <c r="B52" t="str">
        <f>+B13</f>
        <v>AGL Resources</v>
      </c>
      <c r="C52">
        <f>+C13</f>
        <v>0.75</v>
      </c>
      <c r="D52" s="6">
        <f>+AD113</f>
        <v>3.4099999999999998E-2</v>
      </c>
      <c r="E52" s="6">
        <f>+E13</f>
        <v>6.7000000000000004E-2</v>
      </c>
      <c r="F52" s="6">
        <f>$D52+$C52*$E52</f>
        <v>8.4350000000000008E-2</v>
      </c>
      <c r="G52" s="116">
        <f>+G13</f>
        <v>-2.4400000000000002E-2</v>
      </c>
      <c r="H52" s="6">
        <f t="shared" ref="H52:H58" si="33">+G52+F52</f>
        <v>5.9950000000000003E-2</v>
      </c>
      <c r="I52" s="123">
        <f>+I13</f>
        <v>3</v>
      </c>
      <c r="J52" s="514">
        <f>+J13</f>
        <v>9.1999999999999998E-3</v>
      </c>
      <c r="K52" s="116">
        <f>+J52+H52</f>
        <v>6.9150000000000003E-2</v>
      </c>
      <c r="L52" s="116"/>
      <c r="N52" t="str">
        <f>+N13</f>
        <v>AGL Resources</v>
      </c>
      <c r="O52">
        <f>+O13</f>
        <v>0.43</v>
      </c>
      <c r="P52" s="6">
        <f>+D52</f>
        <v>3.4099999999999998E-2</v>
      </c>
      <c r="Q52" s="6">
        <f>+Q13</f>
        <v>6.7000000000000004E-2</v>
      </c>
      <c r="R52" s="6">
        <f t="shared" ref="R52:R58" si="34">$P52+$O52*$Q52</f>
        <v>6.2909999999999994E-2</v>
      </c>
      <c r="S52" s="116">
        <f>+S13</f>
        <v>-2.4400000000000002E-2</v>
      </c>
      <c r="T52" s="6">
        <f t="shared" ref="T52:T58" si="35">+S52+R52</f>
        <v>3.8509999999999989E-2</v>
      </c>
      <c r="U52" s="123">
        <f>+U13</f>
        <v>3</v>
      </c>
      <c r="V52" s="514">
        <f>+V13</f>
        <v>9.1999999999999998E-3</v>
      </c>
      <c r="W52" s="116">
        <f>+V52+T52</f>
        <v>4.7709999999999989E-2</v>
      </c>
      <c r="X52" s="116"/>
      <c r="Y52" s="116"/>
      <c r="Z52" s="116"/>
      <c r="AA52" s="116"/>
      <c r="AB52" s="116"/>
    </row>
    <row r="53" spans="2:29" hidden="1">
      <c r="B53" t="str">
        <f t="shared" ref="B53:C53" si="36">+B14</f>
        <v>Atmos Energy</v>
      </c>
      <c r="C53">
        <f t="shared" si="36"/>
        <v>0.7</v>
      </c>
      <c r="D53" s="6">
        <f>+D52</f>
        <v>3.4099999999999998E-2</v>
      </c>
      <c r="E53" s="6">
        <f t="shared" ref="E53:E58" si="37">+E52</f>
        <v>6.7000000000000004E-2</v>
      </c>
      <c r="F53" s="6">
        <f t="shared" ref="F53:F58" si="38">D53+$C53*E53</f>
        <v>8.0999999999999989E-2</v>
      </c>
      <c r="G53" s="116">
        <f t="shared" ref="G53:G58" si="39">+G52</f>
        <v>-2.4400000000000002E-2</v>
      </c>
      <c r="H53" s="6">
        <f t="shared" si="33"/>
        <v>5.6599999999999984E-2</v>
      </c>
      <c r="I53" s="123">
        <f t="shared" ref="I53:J53" si="40">+I14</f>
        <v>4</v>
      </c>
      <c r="J53" s="514">
        <f t="shared" si="40"/>
        <v>1.14E-2</v>
      </c>
      <c r="K53" s="116">
        <f t="shared" ref="K53:K58" si="41">+H53+J53</f>
        <v>6.7999999999999977E-2</v>
      </c>
      <c r="L53" s="116"/>
      <c r="N53" t="str">
        <f t="shared" ref="N53:O53" si="42">+N14</f>
        <v>Atmos Energy</v>
      </c>
      <c r="O53">
        <f t="shared" si="42"/>
        <v>0.52666666666666673</v>
      </c>
      <c r="P53" s="6">
        <f>+P52</f>
        <v>3.4099999999999998E-2</v>
      </c>
      <c r="Q53" s="6">
        <f t="shared" ref="Q53:Q58" si="43">+Q52</f>
        <v>6.7000000000000004E-2</v>
      </c>
      <c r="R53" s="6">
        <f t="shared" si="34"/>
        <v>6.938666666666668E-2</v>
      </c>
      <c r="S53" s="116">
        <f t="shared" ref="S53:S58" si="44">+S52</f>
        <v>-2.4400000000000002E-2</v>
      </c>
      <c r="T53" s="6">
        <f t="shared" si="35"/>
        <v>4.4986666666666675E-2</v>
      </c>
      <c r="U53" s="123">
        <f t="shared" ref="U53:V53" si="45">+U14</f>
        <v>4</v>
      </c>
      <c r="V53" s="514">
        <f t="shared" si="45"/>
        <v>1.14E-2</v>
      </c>
      <c r="W53" s="116">
        <f t="shared" ref="W53:W58" si="46">+T53+V53</f>
        <v>5.6386666666666675E-2</v>
      </c>
      <c r="X53" s="116"/>
      <c r="Y53" s="116"/>
      <c r="Z53" s="116"/>
      <c r="AA53" s="116"/>
      <c r="AB53" s="116"/>
    </row>
    <row r="54" spans="2:29" hidden="1">
      <c r="B54" t="str">
        <f t="shared" ref="B54:C54" si="47">+B15</f>
        <v>Laclede Group</v>
      </c>
      <c r="C54">
        <f t="shared" si="47"/>
        <v>0.6</v>
      </c>
      <c r="D54" s="6">
        <f t="shared" ref="D54:D58" si="48">+D53</f>
        <v>3.4099999999999998E-2</v>
      </c>
      <c r="E54" s="6">
        <f t="shared" si="37"/>
        <v>6.7000000000000004E-2</v>
      </c>
      <c r="F54" s="6">
        <f t="shared" si="38"/>
        <v>7.4300000000000005E-2</v>
      </c>
      <c r="G54" s="116">
        <f t="shared" si="39"/>
        <v>-2.4400000000000002E-2</v>
      </c>
      <c r="H54" s="6">
        <f t="shared" si="33"/>
        <v>4.99E-2</v>
      </c>
      <c r="I54" s="517">
        <f t="shared" ref="I54:J54" si="49">+I15</f>
        <v>6</v>
      </c>
      <c r="J54" s="518">
        <f t="shared" si="49"/>
        <v>1.72E-2</v>
      </c>
      <c r="K54" s="116">
        <f t="shared" si="41"/>
        <v>6.7099999999999993E-2</v>
      </c>
      <c r="L54" s="116"/>
      <c r="N54" t="str">
        <f t="shared" ref="N54:O54" si="50">+N15</f>
        <v>Laclede Group</v>
      </c>
      <c r="O54">
        <f t="shared" si="50"/>
        <v>0.26</v>
      </c>
      <c r="P54" s="6">
        <f t="shared" ref="P54:P58" si="51">+P53</f>
        <v>3.4099999999999998E-2</v>
      </c>
      <c r="Q54" s="6">
        <f t="shared" si="43"/>
        <v>6.7000000000000004E-2</v>
      </c>
      <c r="R54" s="6">
        <f t="shared" si="34"/>
        <v>5.1519999999999996E-2</v>
      </c>
      <c r="S54" s="116">
        <f t="shared" si="44"/>
        <v>-2.4400000000000002E-2</v>
      </c>
      <c r="T54" s="6">
        <f t="shared" si="35"/>
        <v>2.7119999999999995E-2</v>
      </c>
      <c r="U54" s="517">
        <f t="shared" ref="U54:V54" si="52">+U15</f>
        <v>6</v>
      </c>
      <c r="V54" s="518">
        <f t="shared" si="52"/>
        <v>1.72E-2</v>
      </c>
      <c r="W54" s="116">
        <f t="shared" si="46"/>
        <v>4.4319999999999998E-2</v>
      </c>
      <c r="X54" s="116"/>
      <c r="Y54" s="116"/>
      <c r="Z54" s="116"/>
      <c r="AA54" s="116"/>
      <c r="AB54" s="116"/>
      <c r="AC54" s="116"/>
    </row>
    <row r="55" spans="2:29" hidden="1">
      <c r="B55" s="94" t="str">
        <f t="shared" ref="B55:C55" si="53">+B16</f>
        <v>Northwest Nat. Gas</v>
      </c>
      <c r="C55" s="94">
        <f t="shared" si="53"/>
        <v>0.6</v>
      </c>
      <c r="D55" s="102">
        <f>+D54</f>
        <v>3.4099999999999998E-2</v>
      </c>
      <c r="E55" s="102">
        <f>+E54</f>
        <v>6.7000000000000004E-2</v>
      </c>
      <c r="F55" s="102">
        <f t="shared" si="38"/>
        <v>7.4300000000000005E-2</v>
      </c>
      <c r="G55" s="152">
        <f>+G54</f>
        <v>-2.4400000000000002E-2</v>
      </c>
      <c r="H55" s="6">
        <f t="shared" si="33"/>
        <v>4.99E-2</v>
      </c>
      <c r="I55" s="517">
        <f t="shared" ref="I55:J55" si="54">+I16</f>
        <v>7</v>
      </c>
      <c r="J55" s="518">
        <f t="shared" si="54"/>
        <v>1.7299999999999999E-2</v>
      </c>
      <c r="K55" s="152">
        <f t="shared" si="41"/>
        <v>6.7199999999999996E-2</v>
      </c>
      <c r="L55" s="152"/>
      <c r="N55" s="94" t="str">
        <f t="shared" ref="N55:O55" si="55">+N16</f>
        <v>Northwest Nat. Gas</v>
      </c>
      <c r="O55" s="94">
        <f t="shared" si="55"/>
        <v>0.31666666666666665</v>
      </c>
      <c r="P55" s="102">
        <f>+P54</f>
        <v>3.4099999999999998E-2</v>
      </c>
      <c r="Q55" s="102">
        <f>+Q54</f>
        <v>6.7000000000000004E-2</v>
      </c>
      <c r="R55" s="6">
        <f t="shared" si="34"/>
        <v>5.5316666666666667E-2</v>
      </c>
      <c r="S55" s="152">
        <f>+S54</f>
        <v>-2.4400000000000002E-2</v>
      </c>
      <c r="T55" s="6">
        <f t="shared" si="35"/>
        <v>3.0916666666666665E-2</v>
      </c>
      <c r="U55" s="517">
        <f t="shared" ref="U55:V55" si="56">+U16</f>
        <v>7</v>
      </c>
      <c r="V55" s="518">
        <f t="shared" si="56"/>
        <v>1.7299999999999999E-2</v>
      </c>
      <c r="W55" s="152">
        <f t="shared" si="46"/>
        <v>4.8216666666666665E-2</v>
      </c>
      <c r="X55" s="152"/>
      <c r="Y55" s="152"/>
      <c r="Z55" s="152"/>
      <c r="AA55" s="116"/>
    </row>
    <row r="56" spans="2:29" hidden="1">
      <c r="B56" s="94" t="str">
        <f t="shared" ref="B56:C56" si="57">+B17</f>
        <v>Piedmont Natural Gas</v>
      </c>
      <c r="C56" s="94">
        <f t="shared" si="57"/>
        <v>0.7</v>
      </c>
      <c r="D56" s="102">
        <f t="shared" si="48"/>
        <v>3.4099999999999998E-2</v>
      </c>
      <c r="E56" s="102">
        <f t="shared" si="37"/>
        <v>6.7000000000000004E-2</v>
      </c>
      <c r="F56" s="102">
        <f t="shared" si="38"/>
        <v>8.0999999999999989E-2</v>
      </c>
      <c r="G56" s="152">
        <f t="shared" si="39"/>
        <v>-2.4400000000000002E-2</v>
      </c>
      <c r="H56" s="6">
        <f t="shared" si="33"/>
        <v>5.6599999999999984E-2</v>
      </c>
      <c r="I56" s="517">
        <f t="shared" ref="I56:J56" si="58">+I17</f>
        <v>5</v>
      </c>
      <c r="J56" s="518">
        <f t="shared" si="58"/>
        <v>1.7000000000000001E-2</v>
      </c>
      <c r="K56" s="152">
        <f t="shared" si="41"/>
        <v>7.3599999999999985E-2</v>
      </c>
      <c r="L56" s="152"/>
      <c r="N56" s="94" t="str">
        <f t="shared" ref="N56:O56" si="59">+N17</f>
        <v>Piedmont Natural Gas</v>
      </c>
      <c r="O56" s="94">
        <f t="shared" si="59"/>
        <v>0.45999999999999996</v>
      </c>
      <c r="P56" s="102">
        <f t="shared" si="51"/>
        <v>3.4099999999999998E-2</v>
      </c>
      <c r="Q56" s="102">
        <f t="shared" si="43"/>
        <v>6.7000000000000004E-2</v>
      </c>
      <c r="R56" s="6">
        <f t="shared" si="34"/>
        <v>6.4920000000000005E-2</v>
      </c>
      <c r="S56" s="152">
        <f t="shared" si="44"/>
        <v>-2.4400000000000002E-2</v>
      </c>
      <c r="T56" s="6">
        <f t="shared" si="35"/>
        <v>4.052E-2</v>
      </c>
      <c r="U56" s="517">
        <f t="shared" ref="U56:V56" si="60">+U17</f>
        <v>5</v>
      </c>
      <c r="V56" s="518">
        <f t="shared" si="60"/>
        <v>1.7000000000000001E-2</v>
      </c>
      <c r="W56" s="152">
        <f t="shared" si="46"/>
        <v>5.7520000000000002E-2</v>
      </c>
      <c r="X56" s="152"/>
      <c r="Y56" s="152"/>
      <c r="Z56" s="152"/>
      <c r="AA56" s="116"/>
    </row>
    <row r="57" spans="2:29" hidden="1">
      <c r="B57" t="str">
        <f t="shared" ref="B57:C57" si="61">+B18</f>
        <v>South Jersey Inds.</v>
      </c>
      <c r="C57">
        <f t="shared" si="61"/>
        <v>0.65</v>
      </c>
      <c r="D57" s="6">
        <f t="shared" si="48"/>
        <v>3.4099999999999998E-2</v>
      </c>
      <c r="E57" s="6">
        <f t="shared" si="37"/>
        <v>6.7000000000000004E-2</v>
      </c>
      <c r="F57" s="6">
        <f t="shared" si="38"/>
        <v>7.7649999999999997E-2</v>
      </c>
      <c r="G57" s="116">
        <f t="shared" si="39"/>
        <v>-2.4400000000000002E-2</v>
      </c>
      <c r="H57" s="6">
        <f t="shared" si="33"/>
        <v>5.3249999999999992E-2</v>
      </c>
      <c r="I57" s="123">
        <f t="shared" ref="I57:J57" si="62">+I18</f>
        <v>6</v>
      </c>
      <c r="J57" s="514">
        <f t="shared" si="62"/>
        <v>1.72E-2</v>
      </c>
      <c r="K57" s="116">
        <f t="shared" si="41"/>
        <v>7.0449999999999985E-2</v>
      </c>
      <c r="L57" s="116"/>
      <c r="N57" t="str">
        <f t="shared" ref="N57:O57" si="63">+N18</f>
        <v>South Jersey Inds.</v>
      </c>
      <c r="O57">
        <f t="shared" si="63"/>
        <v>0.46666666666666662</v>
      </c>
      <c r="P57" s="6">
        <f t="shared" si="51"/>
        <v>3.4099999999999998E-2</v>
      </c>
      <c r="Q57" s="6">
        <f t="shared" si="43"/>
        <v>6.7000000000000004E-2</v>
      </c>
      <c r="R57" s="6">
        <f t="shared" si="34"/>
        <v>6.5366666666666656E-2</v>
      </c>
      <c r="S57" s="116">
        <f t="shared" si="44"/>
        <v>-2.4400000000000002E-2</v>
      </c>
      <c r="T57" s="6">
        <f t="shared" si="35"/>
        <v>4.0966666666666651E-2</v>
      </c>
      <c r="U57" s="123">
        <f t="shared" ref="U57:V57" si="64">+U18</f>
        <v>6</v>
      </c>
      <c r="V57" s="514">
        <f t="shared" si="64"/>
        <v>1.72E-2</v>
      </c>
      <c r="W57" s="116">
        <f t="shared" si="46"/>
        <v>5.8166666666666651E-2</v>
      </c>
      <c r="X57" s="116"/>
      <c r="Y57" s="116"/>
      <c r="Z57" s="116"/>
      <c r="AA57" s="116"/>
    </row>
    <row r="58" spans="2:29" hidden="1">
      <c r="B58" t="str">
        <f t="shared" ref="B58:C58" si="65">+B19</f>
        <v>Southwest Gas</v>
      </c>
      <c r="C58">
        <f t="shared" si="65"/>
        <v>0.75</v>
      </c>
      <c r="D58" s="6">
        <f t="shared" si="48"/>
        <v>3.4099999999999998E-2</v>
      </c>
      <c r="E58" s="6">
        <f t="shared" si="37"/>
        <v>6.7000000000000004E-2</v>
      </c>
      <c r="F58" s="6">
        <f t="shared" si="38"/>
        <v>8.4350000000000008E-2</v>
      </c>
      <c r="G58" s="116">
        <f t="shared" si="39"/>
        <v>-2.4400000000000002E-2</v>
      </c>
      <c r="H58" s="6">
        <f t="shared" si="33"/>
        <v>5.9950000000000003E-2</v>
      </c>
      <c r="I58" s="123">
        <f t="shared" ref="I58:J58" si="66">+I19</f>
        <v>5</v>
      </c>
      <c r="J58" s="514">
        <f t="shared" si="66"/>
        <v>1.7000000000000001E-2</v>
      </c>
      <c r="K58" s="116">
        <f t="shared" si="41"/>
        <v>7.6950000000000005E-2</v>
      </c>
      <c r="L58" s="116"/>
      <c r="N58" t="str">
        <f t="shared" ref="N58:O58" si="67">+N19</f>
        <v>Southwest Gas</v>
      </c>
      <c r="O58">
        <f t="shared" si="67"/>
        <v>0.69333333333333336</v>
      </c>
      <c r="P58" s="6">
        <f t="shared" si="51"/>
        <v>3.4099999999999998E-2</v>
      </c>
      <c r="Q58" s="6">
        <f t="shared" si="43"/>
        <v>6.7000000000000004E-2</v>
      </c>
      <c r="R58" s="6">
        <f t="shared" si="34"/>
        <v>8.0553333333333338E-2</v>
      </c>
      <c r="S58" s="116">
        <f t="shared" si="44"/>
        <v>-2.4400000000000002E-2</v>
      </c>
      <c r="T58" s="6">
        <f t="shared" si="35"/>
        <v>5.6153333333333333E-2</v>
      </c>
      <c r="U58" s="123">
        <f t="shared" ref="U58:V58" si="68">+U19</f>
        <v>5</v>
      </c>
      <c r="V58" s="514">
        <f t="shared" si="68"/>
        <v>1.7000000000000001E-2</v>
      </c>
      <c r="W58" s="116">
        <f t="shared" si="46"/>
        <v>7.3153333333333334E-2</v>
      </c>
      <c r="X58" s="116"/>
      <c r="Y58" s="116"/>
      <c r="Z58" s="116"/>
      <c r="AA58" s="116"/>
    </row>
    <row r="59" spans="2:29" hidden="1">
      <c r="D59" s="6"/>
      <c r="E59" s="6"/>
      <c r="F59" s="6"/>
      <c r="G59" s="116"/>
      <c r="H59" s="6"/>
      <c r="I59" s="341"/>
      <c r="P59" s="6"/>
      <c r="Q59" s="6"/>
      <c r="R59" s="6"/>
      <c r="S59" s="116"/>
      <c r="T59" s="6"/>
      <c r="U59" s="341"/>
      <c r="AA59" s="116"/>
    </row>
    <row r="60" spans="2:29" ht="14.25" hidden="1">
      <c r="B60" s="306" t="str">
        <f>+B21</f>
        <v>Average</v>
      </c>
      <c r="C60" s="306">
        <f>AVERAGE(C52:C58)</f>
        <v>0.6785714285714286</v>
      </c>
      <c r="D60" s="535">
        <f>+D58</f>
        <v>3.4099999999999998E-2</v>
      </c>
      <c r="E60" s="535">
        <f>+E58</f>
        <v>6.7000000000000004E-2</v>
      </c>
      <c r="F60" s="347">
        <f>AVERAGE(F52:F58)</f>
        <v>7.9564285714285726E-2</v>
      </c>
      <c r="G60" s="347">
        <f>+G58</f>
        <v>-2.4400000000000002E-2</v>
      </c>
      <c r="H60" s="347">
        <f>AVERAGE(H52:H58)</f>
        <v>5.5164285714285707E-2</v>
      </c>
      <c r="I60" s="306"/>
      <c r="J60" s="536">
        <f>AVERAGE(J52:J58)</f>
        <v>1.5185714285714285E-2</v>
      </c>
      <c r="K60" s="347">
        <f>AVERAGE(K52:K58)</f>
        <v>7.0349999999999996E-2</v>
      </c>
      <c r="L60" s="116"/>
      <c r="N60" s="306" t="str">
        <f>+N21</f>
        <v>Average</v>
      </c>
      <c r="O60" s="306">
        <f>AVERAGE(O52:O58)</f>
        <v>0.45047619047619047</v>
      </c>
      <c r="P60" s="535">
        <f>+P58</f>
        <v>3.4099999999999998E-2</v>
      </c>
      <c r="Q60" s="535">
        <f>+Q58</f>
        <v>6.7000000000000004E-2</v>
      </c>
      <c r="R60" s="347">
        <f>AVERAGE(R52:R58)</f>
        <v>6.4281904761904776E-2</v>
      </c>
      <c r="S60" s="347">
        <f>+S58</f>
        <v>-2.4400000000000002E-2</v>
      </c>
      <c r="T60" s="347">
        <f>AVERAGE(T52:T58)</f>
        <v>3.988190476190475E-2</v>
      </c>
      <c r="U60" s="306"/>
      <c r="V60" s="536">
        <f>AVERAGE(V52:V58)</f>
        <v>1.5185714285714285E-2</v>
      </c>
      <c r="W60" s="347">
        <f>AVERAGE(W52:W58)</f>
        <v>5.5067619047619046E-2</v>
      </c>
      <c r="X60" s="116"/>
      <c r="Y60" s="116"/>
      <c r="Z60" s="116"/>
      <c r="AA60" s="116"/>
    </row>
    <row r="61" spans="2:29" hidden="1">
      <c r="B61" t="s">
        <v>43</v>
      </c>
      <c r="D61" s="6"/>
      <c r="E61" s="6"/>
      <c r="F61" s="116">
        <f>STDEV(F52:F58)</f>
        <v>4.2626003688783567E-3</v>
      </c>
      <c r="G61" s="116"/>
      <c r="H61" s="116">
        <f>STDEV(H52:H58)</f>
        <v>4.2626003688783567E-3</v>
      </c>
      <c r="I61" s="116"/>
      <c r="J61" s="116"/>
      <c r="K61" s="116">
        <f>STDEV(K52:K58)</f>
        <v>3.6873658167676676E-3</v>
      </c>
      <c r="L61" s="116"/>
      <c r="N61" t="s">
        <v>43</v>
      </c>
      <c r="P61" s="6"/>
      <c r="Q61" s="6"/>
      <c r="R61" s="116">
        <f>STDEV(R52:R58)</f>
        <v>9.465073390402862E-3</v>
      </c>
      <c r="S61" s="116"/>
      <c r="T61" s="116">
        <f>STDEV(T52:T58)</f>
        <v>9.4650733904030008E-3</v>
      </c>
      <c r="U61" s="116"/>
      <c r="V61" s="116"/>
      <c r="W61" s="116">
        <f>STDEV(W52:W58)</f>
        <v>9.6698210781037668E-3</v>
      </c>
      <c r="X61" s="116"/>
      <c r="Y61" s="116"/>
      <c r="Z61" s="116"/>
      <c r="AA61" s="116"/>
    </row>
    <row r="62" spans="2:29" hidden="1">
      <c r="B62" t="str">
        <f>+B23</f>
        <v>Median</v>
      </c>
      <c r="C62">
        <f>MEDIAN(C52:C58)</f>
        <v>0.7</v>
      </c>
      <c r="D62" s="6"/>
      <c r="E62" s="6"/>
      <c r="F62" s="116">
        <f>MEDIAN(F52:F58)</f>
        <v>8.0999999999999989E-2</v>
      </c>
      <c r="G62" s="116"/>
      <c r="H62" s="116">
        <f>MEDIAN(H52:H58)</f>
        <v>5.6599999999999984E-2</v>
      </c>
      <c r="I62" s="116"/>
      <c r="J62" s="116"/>
      <c r="K62" s="116">
        <f>MEDIAN(K52:K58)</f>
        <v>6.9150000000000003E-2</v>
      </c>
      <c r="L62" s="116"/>
      <c r="N62" t="str">
        <f>+N23</f>
        <v>Median</v>
      </c>
      <c r="O62">
        <f>MEDIAN(O52:O58)</f>
        <v>0.45999999999999996</v>
      </c>
      <c r="P62" s="6"/>
      <c r="Q62" s="6"/>
      <c r="R62" s="116">
        <f>MEDIAN(R52:R58)</f>
        <v>6.4920000000000005E-2</v>
      </c>
      <c r="S62" s="116"/>
      <c r="T62" s="116">
        <f>MEDIAN(T52:T58)</f>
        <v>4.052E-2</v>
      </c>
      <c r="U62" s="116"/>
      <c r="V62" s="116"/>
      <c r="W62" s="116">
        <f>MEDIAN(W52:W58)</f>
        <v>5.6386666666666675E-2</v>
      </c>
      <c r="X62" s="116"/>
      <c r="Y62" s="116"/>
      <c r="Z62" s="116"/>
      <c r="AA62" s="116"/>
    </row>
    <row r="63" spans="2:29" hidden="1">
      <c r="AA63" s="116"/>
    </row>
    <row r="64" spans="2:29" ht="15.75" hidden="1">
      <c r="F64" s="347">
        <f>+F60</f>
        <v>7.9564285714285726E-2</v>
      </c>
      <c r="H64" s="349">
        <f>+H60</f>
        <v>5.5164285714285707E-2</v>
      </c>
      <c r="K64" s="349">
        <f>+K60</f>
        <v>7.0349999999999996E-2</v>
      </c>
      <c r="L64" s="349"/>
      <c r="R64" s="347">
        <f>+R60</f>
        <v>6.4281904761904776E-2</v>
      </c>
      <c r="T64" s="349">
        <f>+T60</f>
        <v>3.988190476190475E-2</v>
      </c>
      <c r="W64" s="349">
        <f>+W60</f>
        <v>5.5067619047619046E-2</v>
      </c>
      <c r="X64" s="349"/>
      <c r="Y64" s="349"/>
      <c r="Z64" s="349"/>
      <c r="AA64" s="116"/>
    </row>
    <row r="65" spans="1:27" hidden="1">
      <c r="F65" s="116"/>
      <c r="K65" s="116"/>
      <c r="L65" s="116"/>
      <c r="R65" s="116"/>
      <c r="W65" s="116"/>
      <c r="X65" s="116"/>
      <c r="Y65" s="116"/>
      <c r="Z65" s="116"/>
      <c r="AA65" s="116"/>
    </row>
    <row r="66" spans="1:27" hidden="1">
      <c r="C66" s="6" t="s">
        <v>303</v>
      </c>
      <c r="F66" s="116">
        <f>+F64-F61</f>
        <v>7.5301685345407376E-2</v>
      </c>
      <c r="H66" s="116">
        <f>+H60-H61</f>
        <v>5.0901685345407351E-2</v>
      </c>
      <c r="I66" s="116"/>
      <c r="J66" s="116"/>
      <c r="K66" s="116">
        <f>+K60-K61</f>
        <v>6.666263418323233E-2</v>
      </c>
      <c r="L66" s="116"/>
      <c r="O66" s="6" t="s">
        <v>303</v>
      </c>
      <c r="R66" s="116">
        <f>+R64-R61</f>
        <v>5.4816831371501916E-2</v>
      </c>
      <c r="T66" s="116">
        <f>+T60-T61</f>
        <v>3.0416831371501751E-2</v>
      </c>
      <c r="U66" s="116"/>
      <c r="V66" s="116"/>
      <c r="W66" s="116">
        <f>+W60-W61</f>
        <v>4.5397797969515277E-2</v>
      </c>
      <c r="X66" s="116"/>
      <c r="Y66" s="116"/>
      <c r="Z66" s="116"/>
      <c r="AA66" s="116"/>
    </row>
    <row r="67" spans="1:27" hidden="1">
      <c r="F67" s="116">
        <f>+F64+F61</f>
        <v>8.3826886083164076E-2</v>
      </c>
      <c r="H67" s="116">
        <f>+H60+H61</f>
        <v>5.9426886083164064E-2</v>
      </c>
      <c r="I67" s="116"/>
      <c r="J67" s="116"/>
      <c r="K67" s="116">
        <f>+K60+K61</f>
        <v>7.4037365816767661E-2</v>
      </c>
      <c r="L67" s="116"/>
      <c r="R67" s="116">
        <f>+R64+R61</f>
        <v>7.3746978152307643E-2</v>
      </c>
      <c r="T67" s="116">
        <f>+T60+T61</f>
        <v>4.9346978152307749E-2</v>
      </c>
      <c r="U67" s="116"/>
      <c r="V67" s="116"/>
      <c r="W67" s="116">
        <f>+W60+W61</f>
        <v>6.4737440125722814E-2</v>
      </c>
      <c r="X67" s="116"/>
      <c r="Y67" s="116"/>
      <c r="Z67" s="116"/>
      <c r="AA67" s="116"/>
    </row>
    <row r="68" spans="1:27" hidden="1">
      <c r="F68" s="116"/>
      <c r="H68" s="116"/>
      <c r="I68" s="116"/>
      <c r="J68" s="116"/>
      <c r="K68" s="116"/>
      <c r="L68" s="116"/>
      <c r="R68" s="116"/>
      <c r="T68" s="116"/>
      <c r="U68" s="116"/>
      <c r="V68" s="116"/>
      <c r="W68" s="116"/>
      <c r="X68" s="116"/>
      <c r="Y68" s="116"/>
      <c r="Z68" s="116"/>
      <c r="AA68" s="116"/>
    </row>
    <row r="69" spans="1:27" hidden="1">
      <c r="B69" s="267"/>
      <c r="C69" s="3"/>
      <c r="D69" s="3"/>
      <c r="E69" s="3"/>
      <c r="F69" s="3"/>
      <c r="G69" s="3"/>
      <c r="H69" s="3"/>
      <c r="I69" s="3"/>
      <c r="J69" s="366" t="s">
        <v>318</v>
      </c>
      <c r="K69" s="367" t="str">
        <f>+K49</f>
        <v xml:space="preserve">Investor </v>
      </c>
      <c r="L69" s="316"/>
      <c r="N69" s="267"/>
      <c r="O69" s="3"/>
      <c r="P69" s="3"/>
      <c r="Q69" s="3"/>
      <c r="R69" s="3"/>
      <c r="S69" s="3"/>
      <c r="T69" s="3"/>
      <c r="U69" s="3"/>
      <c r="V69" s="642" t="s">
        <v>318</v>
      </c>
      <c r="W69" s="643" t="str">
        <f>+W49</f>
        <v xml:space="preserve">Investor </v>
      </c>
      <c r="X69" s="316"/>
      <c r="Y69" s="316"/>
      <c r="Z69" s="316"/>
      <c r="AA69" s="116"/>
    </row>
    <row r="70" spans="1:27" hidden="1">
      <c r="B70" s="850" t="str">
        <f>+B30</f>
        <v>Ibbotson Market Risk Premium - Table A-1       page 147</v>
      </c>
      <c r="C70" s="851"/>
      <c r="D70" s="851"/>
      <c r="E70" s="851"/>
      <c r="F70" s="851"/>
      <c r="G70" s="851"/>
      <c r="H70" s="851"/>
      <c r="I70" s="334"/>
      <c r="J70" s="318" t="str">
        <f>+J50</f>
        <v>Premium</v>
      </c>
      <c r="K70" s="181" t="str">
        <f>+K50</f>
        <v>Expectation</v>
      </c>
      <c r="L70" s="316"/>
      <c r="N70" s="850" t="str">
        <f>+N30</f>
        <v>Ibbotson Market Risk Premium - Table A-1              page 147</v>
      </c>
      <c r="O70" s="851"/>
      <c r="P70" s="851"/>
      <c r="Q70" s="851"/>
      <c r="R70" s="851"/>
      <c r="S70" s="851"/>
      <c r="T70" s="851"/>
      <c r="U70" s="334"/>
      <c r="V70" s="318" t="str">
        <f>+V50</f>
        <v>Premium</v>
      </c>
      <c r="W70" s="181" t="str">
        <f>+W50</f>
        <v>Expectation</v>
      </c>
      <c r="X70" s="316"/>
      <c r="Y70" s="316"/>
      <c r="Z70" s="316"/>
      <c r="AA70" s="116"/>
    </row>
    <row r="71" spans="1:27" hidden="1">
      <c r="B71" s="362"/>
      <c r="C71" s="363"/>
      <c r="D71" s="3"/>
      <c r="E71" s="3"/>
      <c r="F71" s="3"/>
      <c r="G71" s="3"/>
      <c r="H71" s="3"/>
      <c r="I71" s="3"/>
      <c r="J71" s="3"/>
      <c r="K71" s="227"/>
      <c r="L71" s="36"/>
      <c r="N71" s="362"/>
      <c r="O71" s="363"/>
      <c r="P71" s="3"/>
      <c r="Q71" s="3"/>
      <c r="R71" s="3"/>
      <c r="S71" s="3"/>
      <c r="T71" s="3"/>
      <c r="U71" s="3"/>
      <c r="V71" s="3"/>
      <c r="W71" s="227"/>
      <c r="X71" s="36"/>
      <c r="Y71" s="36"/>
      <c r="Z71" s="36"/>
      <c r="AA71" s="116"/>
    </row>
    <row r="72" spans="1:27" hidden="1">
      <c r="B72" s="560" t="str">
        <f>+B34</f>
        <v>15 Year Average</v>
      </c>
      <c r="C72" s="110">
        <f>+C21</f>
        <v>0.6785714285714286</v>
      </c>
      <c r="D72" s="407">
        <f>+D52</f>
        <v>3.4099999999999998E-2</v>
      </c>
      <c r="E72" s="548">
        <f>+E34</f>
        <v>1.6E-2</v>
      </c>
      <c r="F72" s="138">
        <f t="shared" ref="F72" si="69">D72+C72*E72</f>
        <v>4.4957142857142855E-2</v>
      </c>
      <c r="G72" s="407">
        <f>+G52</f>
        <v>-2.4400000000000002E-2</v>
      </c>
      <c r="H72" s="21">
        <f t="shared" ref="H72" si="70">+G72+F72</f>
        <v>2.0557142857142854E-2</v>
      </c>
      <c r="I72" s="138"/>
      <c r="J72" s="138">
        <f>+J60</f>
        <v>1.5185714285714285E-2</v>
      </c>
      <c r="K72" s="406">
        <f t="shared" ref="K72" si="71">+H72+J72</f>
        <v>3.5742857142857139E-2</v>
      </c>
      <c r="L72" s="322"/>
      <c r="N72" s="560" t="str">
        <f>+N34</f>
        <v>15 Year Average</v>
      </c>
      <c r="O72" s="110">
        <f>+O21</f>
        <v>0.45047619047619047</v>
      </c>
      <c r="P72" s="407">
        <f>+P52</f>
        <v>3.4099999999999998E-2</v>
      </c>
      <c r="Q72" s="548">
        <f>+Q34</f>
        <v>1.6E-2</v>
      </c>
      <c r="R72" s="138">
        <f t="shared" ref="R72:R77" si="72">P72+O72*Q72</f>
        <v>4.1307619047619044E-2</v>
      </c>
      <c r="S72" s="407">
        <f>+S52</f>
        <v>-2.4400000000000002E-2</v>
      </c>
      <c r="T72" s="21">
        <f t="shared" ref="T72:T77" si="73">+S72+R72</f>
        <v>1.6907619047619043E-2</v>
      </c>
      <c r="U72" s="138"/>
      <c r="V72" s="138">
        <f>+V60</f>
        <v>1.5185714285714285E-2</v>
      </c>
      <c r="W72" s="406">
        <f t="shared" ref="W72:W77" si="74">+T72+V72</f>
        <v>3.2093333333333328E-2</v>
      </c>
      <c r="X72" s="322"/>
      <c r="Y72" s="322"/>
      <c r="Z72" s="322"/>
      <c r="AA72" s="116"/>
    </row>
    <row r="73" spans="1:27" hidden="1">
      <c r="B73" s="560" t="str">
        <f t="shared" ref="B73:B77" si="75">+B35</f>
        <v>20 Year Average</v>
      </c>
      <c r="C73" s="110">
        <f>+C72</f>
        <v>0.6785714285714286</v>
      </c>
      <c r="D73" s="407">
        <f t="shared" ref="D73:D77" si="76">+D53</f>
        <v>3.4099999999999998E-2</v>
      </c>
      <c r="E73" s="548">
        <f t="shared" ref="E73:E77" si="77">+E35</f>
        <v>4.7E-2</v>
      </c>
      <c r="F73" s="138">
        <f t="shared" ref="F73:F77" si="78">D73+C73*E73</f>
        <v>6.5992857142857145E-2</v>
      </c>
      <c r="G73" s="407">
        <f t="shared" ref="G73:G77" si="79">+G53</f>
        <v>-2.4400000000000002E-2</v>
      </c>
      <c r="H73" s="21">
        <f t="shared" ref="H73:H77" si="80">+G73+F73</f>
        <v>4.159285714285714E-2</v>
      </c>
      <c r="I73" s="138"/>
      <c r="J73" s="138">
        <f>+J72</f>
        <v>1.5185714285714285E-2</v>
      </c>
      <c r="K73" s="406">
        <f t="shared" ref="K73:K77" si="81">+H73+J73</f>
        <v>5.6778571428571428E-2</v>
      </c>
      <c r="L73" s="322"/>
      <c r="N73" s="560" t="str">
        <f t="shared" ref="N73:N77" si="82">+N35</f>
        <v>20 Year Average</v>
      </c>
      <c r="O73" s="110">
        <f>+O72</f>
        <v>0.45047619047619047</v>
      </c>
      <c r="P73" s="407">
        <f t="shared" ref="P73:P77" si="83">+P53</f>
        <v>3.4099999999999998E-2</v>
      </c>
      <c r="Q73" s="548">
        <f t="shared" ref="Q73:Q77" si="84">+Q35</f>
        <v>4.7E-2</v>
      </c>
      <c r="R73" s="138">
        <f t="shared" si="72"/>
        <v>5.5272380952380948E-2</v>
      </c>
      <c r="S73" s="407">
        <f t="shared" ref="S73:S77" si="85">+S53</f>
        <v>-2.4400000000000002E-2</v>
      </c>
      <c r="T73" s="21">
        <f t="shared" si="73"/>
        <v>3.0872380952380946E-2</v>
      </c>
      <c r="U73" s="138"/>
      <c r="V73" s="138">
        <f>+V72</f>
        <v>1.5185714285714285E-2</v>
      </c>
      <c r="W73" s="406">
        <f t="shared" si="74"/>
        <v>4.6058095238095231E-2</v>
      </c>
      <c r="X73" s="322"/>
      <c r="Y73" s="322"/>
      <c r="Z73" s="322"/>
      <c r="AA73" s="116"/>
    </row>
    <row r="74" spans="1:27" hidden="1">
      <c r="B74" s="560" t="str">
        <f t="shared" si="75"/>
        <v>30 Year Average</v>
      </c>
      <c r="C74" s="110">
        <f>+C73</f>
        <v>0.6785714285714286</v>
      </c>
      <c r="D74" s="407">
        <f t="shared" si="76"/>
        <v>3.4099999999999998E-2</v>
      </c>
      <c r="E74" s="548">
        <f t="shared" si="77"/>
        <v>5.7000000000000002E-2</v>
      </c>
      <c r="F74" s="138">
        <f t="shared" si="78"/>
        <v>7.2778571428571429E-2</v>
      </c>
      <c r="G74" s="407">
        <f t="shared" si="79"/>
        <v>-2.4400000000000002E-2</v>
      </c>
      <c r="H74" s="21">
        <f t="shared" si="80"/>
        <v>4.8378571428571424E-2</v>
      </c>
      <c r="I74" s="138"/>
      <c r="J74" s="138">
        <f>+J73</f>
        <v>1.5185714285714285E-2</v>
      </c>
      <c r="K74" s="406">
        <f t="shared" si="81"/>
        <v>6.3564285714285712E-2</v>
      </c>
      <c r="L74" s="322"/>
      <c r="N74" s="560" t="str">
        <f t="shared" si="82"/>
        <v>30 Year Average</v>
      </c>
      <c r="O74" s="110">
        <f>+O73</f>
        <v>0.45047619047619047</v>
      </c>
      <c r="P74" s="407">
        <f t="shared" si="83"/>
        <v>3.4099999999999998E-2</v>
      </c>
      <c r="Q74" s="548">
        <f t="shared" si="84"/>
        <v>5.7000000000000002E-2</v>
      </c>
      <c r="R74" s="138">
        <f t="shared" si="72"/>
        <v>5.9777142857142855E-2</v>
      </c>
      <c r="S74" s="407">
        <f t="shared" si="85"/>
        <v>-2.4400000000000002E-2</v>
      </c>
      <c r="T74" s="21">
        <f t="shared" si="73"/>
        <v>3.5377142857142857E-2</v>
      </c>
      <c r="U74" s="138"/>
      <c r="V74" s="138">
        <f>+V73</f>
        <v>1.5185714285714285E-2</v>
      </c>
      <c r="W74" s="406">
        <f t="shared" si="74"/>
        <v>5.0562857142857145E-2</v>
      </c>
      <c r="X74" s="322"/>
      <c r="Y74" s="322"/>
      <c r="Z74" s="322"/>
      <c r="AA74" s="116"/>
    </row>
    <row r="75" spans="1:27" hidden="1">
      <c r="B75" s="560" t="str">
        <f t="shared" si="75"/>
        <v>40 Year Average</v>
      </c>
      <c r="C75" s="110">
        <f>+C74</f>
        <v>0.6785714285714286</v>
      </c>
      <c r="D75" s="407">
        <f t="shared" si="76"/>
        <v>3.4099999999999998E-2</v>
      </c>
      <c r="E75" s="548">
        <f t="shared" si="77"/>
        <v>4.2000000000000003E-2</v>
      </c>
      <c r="F75" s="138">
        <f t="shared" si="78"/>
        <v>6.2600000000000003E-2</v>
      </c>
      <c r="G75" s="407">
        <f t="shared" si="79"/>
        <v>-2.4400000000000002E-2</v>
      </c>
      <c r="H75" s="21">
        <f t="shared" si="80"/>
        <v>3.8199999999999998E-2</v>
      </c>
      <c r="I75" s="138"/>
      <c r="J75" s="138">
        <f>+J74</f>
        <v>1.5185714285714285E-2</v>
      </c>
      <c r="K75" s="406">
        <f t="shared" si="81"/>
        <v>5.3385714285714286E-2</v>
      </c>
      <c r="L75" s="322"/>
      <c r="N75" s="560" t="str">
        <f t="shared" si="82"/>
        <v>40 Year Average</v>
      </c>
      <c r="O75" s="110">
        <f>+O74</f>
        <v>0.45047619047619047</v>
      </c>
      <c r="P75" s="407">
        <f t="shared" si="83"/>
        <v>3.4099999999999998E-2</v>
      </c>
      <c r="Q75" s="548">
        <f t="shared" si="84"/>
        <v>4.2000000000000003E-2</v>
      </c>
      <c r="R75" s="138">
        <f t="shared" si="72"/>
        <v>5.3019999999999998E-2</v>
      </c>
      <c r="S75" s="407">
        <f t="shared" si="85"/>
        <v>-2.4400000000000002E-2</v>
      </c>
      <c r="T75" s="21">
        <f t="shared" si="73"/>
        <v>2.8619999999999996E-2</v>
      </c>
      <c r="U75" s="138"/>
      <c r="V75" s="138">
        <f>+V74</f>
        <v>1.5185714285714285E-2</v>
      </c>
      <c r="W75" s="406">
        <f t="shared" si="74"/>
        <v>4.3805714285714281E-2</v>
      </c>
      <c r="X75" s="322"/>
      <c r="Y75" s="322"/>
      <c r="Z75" s="322"/>
      <c r="AA75" s="116"/>
    </row>
    <row r="76" spans="1:27" hidden="1">
      <c r="B76" s="561" t="str">
        <f t="shared" si="75"/>
        <v>50 Year Average</v>
      </c>
      <c r="C76" s="562">
        <f>+C75</f>
        <v>0.6785714285714286</v>
      </c>
      <c r="D76" s="563">
        <f t="shared" si="76"/>
        <v>3.4099999999999998E-2</v>
      </c>
      <c r="E76" s="563">
        <f t="shared" si="77"/>
        <v>4.4999999999999998E-2</v>
      </c>
      <c r="F76" s="564">
        <f t="shared" si="78"/>
        <v>6.4635714285714282E-2</v>
      </c>
      <c r="G76" s="563">
        <f t="shared" si="79"/>
        <v>-2.4400000000000002E-2</v>
      </c>
      <c r="H76" s="76">
        <f t="shared" si="80"/>
        <v>4.0235714285714277E-2</v>
      </c>
      <c r="I76" s="564"/>
      <c r="J76" s="564">
        <f>+J75</f>
        <v>1.5185714285714285E-2</v>
      </c>
      <c r="K76" s="550">
        <f t="shared" si="81"/>
        <v>5.5421428571428566E-2</v>
      </c>
      <c r="L76" s="350"/>
      <c r="N76" s="561" t="str">
        <f t="shared" si="82"/>
        <v>50 Year Average</v>
      </c>
      <c r="O76" s="562">
        <f>+O75</f>
        <v>0.45047619047619047</v>
      </c>
      <c r="P76" s="563">
        <f t="shared" si="83"/>
        <v>3.4099999999999998E-2</v>
      </c>
      <c r="Q76" s="563">
        <f t="shared" si="84"/>
        <v>4.4999999999999998E-2</v>
      </c>
      <c r="R76" s="564">
        <f t="shared" si="72"/>
        <v>5.4371428571428571E-2</v>
      </c>
      <c r="S76" s="563">
        <f t="shared" si="85"/>
        <v>-2.4400000000000002E-2</v>
      </c>
      <c r="T76" s="76">
        <f t="shared" si="73"/>
        <v>2.9971428571428569E-2</v>
      </c>
      <c r="U76" s="564"/>
      <c r="V76" s="564">
        <f>+V75</f>
        <v>1.5185714285714285E-2</v>
      </c>
      <c r="W76" s="550">
        <f t="shared" si="74"/>
        <v>4.5157142857142854E-2</v>
      </c>
      <c r="X76" s="350"/>
      <c r="Y76" s="350"/>
      <c r="Z76" s="350"/>
      <c r="AA76" s="116"/>
    </row>
    <row r="77" spans="1:27" hidden="1">
      <c r="B77" s="566" t="str">
        <f t="shared" si="75"/>
        <v>87 Year Average</v>
      </c>
      <c r="C77" s="538">
        <f>+C76</f>
        <v>0.6785714285714286</v>
      </c>
      <c r="D77" s="567">
        <f t="shared" si="76"/>
        <v>3.4099999999999998E-2</v>
      </c>
      <c r="E77" s="568">
        <f t="shared" si="77"/>
        <v>6.7000000000000004E-2</v>
      </c>
      <c r="F77" s="569">
        <f t="shared" si="78"/>
        <v>7.9564285714285726E-2</v>
      </c>
      <c r="G77" s="567">
        <f t="shared" si="79"/>
        <v>-2.4400000000000002E-2</v>
      </c>
      <c r="H77" s="348">
        <f t="shared" si="80"/>
        <v>5.5164285714285721E-2</v>
      </c>
      <c r="I77" s="569"/>
      <c r="J77" s="569">
        <f>+J76</f>
        <v>1.5185714285714285E-2</v>
      </c>
      <c r="K77" s="570">
        <f t="shared" si="81"/>
        <v>7.035000000000001E-2</v>
      </c>
      <c r="L77" s="322"/>
      <c r="N77" s="566" t="str">
        <f t="shared" si="82"/>
        <v>87 Year Average</v>
      </c>
      <c r="O77" s="538">
        <f>+O76</f>
        <v>0.45047619047619047</v>
      </c>
      <c r="P77" s="567">
        <f t="shared" si="83"/>
        <v>3.4099999999999998E-2</v>
      </c>
      <c r="Q77" s="568">
        <f t="shared" si="84"/>
        <v>6.7000000000000004E-2</v>
      </c>
      <c r="R77" s="569">
        <f t="shared" si="72"/>
        <v>6.4281904761904762E-2</v>
      </c>
      <c r="S77" s="567">
        <f t="shared" si="85"/>
        <v>-2.4400000000000002E-2</v>
      </c>
      <c r="T77" s="348">
        <f t="shared" si="73"/>
        <v>3.9881904761904757E-2</v>
      </c>
      <c r="U77" s="569"/>
      <c r="V77" s="569">
        <f>+V76</f>
        <v>1.5185714285714285E-2</v>
      </c>
      <c r="W77" s="570">
        <f t="shared" si="74"/>
        <v>5.5067619047619046E-2</v>
      </c>
      <c r="X77" s="322"/>
      <c r="Y77" s="322"/>
      <c r="Z77" s="322"/>
      <c r="AA77" s="116"/>
    </row>
    <row r="78" spans="1:27" hidden="1">
      <c r="A78" s="36"/>
      <c r="B78" s="565"/>
      <c r="C78" s="110"/>
      <c r="D78" s="407"/>
      <c r="E78" s="548"/>
      <c r="F78" s="138"/>
      <c r="G78" s="407"/>
      <c r="H78" s="21"/>
      <c r="I78" s="138"/>
      <c r="J78" s="138"/>
      <c r="K78" s="407"/>
      <c r="L78" s="322"/>
      <c r="M78" s="36"/>
      <c r="N78" s="565"/>
      <c r="O78" s="110"/>
      <c r="P78" s="407"/>
      <c r="Q78" s="548"/>
      <c r="R78" s="138"/>
      <c r="S78" s="407"/>
      <c r="T78" s="21"/>
      <c r="U78" s="138"/>
      <c r="V78" s="138"/>
      <c r="W78" s="407"/>
      <c r="X78" s="322"/>
      <c r="Y78" s="322"/>
      <c r="Z78" s="322"/>
      <c r="AA78" s="116"/>
    </row>
    <row r="79" spans="1:27" hidden="1">
      <c r="K79" s="116"/>
      <c r="L79" s="116"/>
      <c r="W79" s="116"/>
      <c r="X79" s="116"/>
      <c r="Y79" s="116"/>
      <c r="Z79" s="116"/>
      <c r="AA79" s="116"/>
    </row>
    <row r="80" spans="1:27" hidden="1">
      <c r="K80" s="116"/>
      <c r="L80" s="116" t="s">
        <v>410</v>
      </c>
      <c r="W80" s="116"/>
      <c r="X80" s="664" t="s">
        <v>409</v>
      </c>
      <c r="Y80" s="116"/>
      <c r="Z80" s="116"/>
      <c r="AA80" s="116"/>
    </row>
    <row r="81" spans="2:28" hidden="1">
      <c r="H81" s="107"/>
      <c r="I81" s="107"/>
      <c r="J81" s="107"/>
      <c r="T81" s="107"/>
      <c r="U81" s="107"/>
      <c r="V81" s="107"/>
    </row>
    <row r="82" spans="2:28" s="27" customFormat="1" ht="15.95" customHeight="1">
      <c r="B82" s="821" t="str">
        <f>+B3</f>
        <v>Questar Gas Company</v>
      </c>
      <c r="C82" s="821"/>
      <c r="D82" s="821"/>
      <c r="E82" s="821"/>
      <c r="F82" s="821"/>
      <c r="G82" s="821"/>
      <c r="H82" s="821"/>
      <c r="I82" s="821"/>
      <c r="J82" s="821"/>
      <c r="K82" s="821"/>
      <c r="N82" s="821" t="str">
        <f>+B82</f>
        <v>Questar Gas Company</v>
      </c>
      <c r="O82" s="821"/>
      <c r="P82" s="821"/>
      <c r="Q82" s="821"/>
      <c r="R82" s="821"/>
      <c r="S82" s="821"/>
      <c r="T82" s="821"/>
      <c r="U82" s="821"/>
      <c r="V82" s="821"/>
      <c r="W82" s="821"/>
    </row>
    <row r="83" spans="2:28" s="27" customFormat="1" ht="15.95" customHeight="1">
      <c r="B83" s="822" t="s">
        <v>66</v>
      </c>
      <c r="C83" s="822"/>
      <c r="D83" s="822"/>
      <c r="E83" s="822"/>
      <c r="F83" s="822"/>
      <c r="G83" s="822"/>
      <c r="H83" s="822"/>
      <c r="I83" s="822"/>
      <c r="J83" s="822"/>
      <c r="K83" s="822"/>
      <c r="N83" s="822" t="s">
        <v>66</v>
      </c>
      <c r="O83" s="822"/>
      <c r="P83" s="822"/>
      <c r="Q83" s="822"/>
      <c r="R83" s="822"/>
      <c r="S83" s="822"/>
      <c r="T83" s="822"/>
      <c r="U83" s="822"/>
      <c r="V83" s="822"/>
      <c r="W83" s="822"/>
    </row>
    <row r="84" spans="2:28" s="27" customFormat="1" ht="15.95" customHeight="1">
      <c r="B84" s="848" t="s">
        <v>115</v>
      </c>
      <c r="C84" s="848"/>
      <c r="D84" s="848"/>
      <c r="E84" s="848"/>
      <c r="F84" s="848"/>
      <c r="G84" s="848"/>
      <c r="H84" s="848"/>
      <c r="I84" s="848"/>
      <c r="J84" s="848"/>
      <c r="K84" s="848"/>
      <c r="N84" s="848" t="s">
        <v>115</v>
      </c>
      <c r="O84" s="848"/>
      <c r="P84" s="848"/>
      <c r="Q84" s="848"/>
      <c r="R84" s="848"/>
      <c r="S84" s="848"/>
      <c r="T84" s="848"/>
      <c r="U84" s="848"/>
      <c r="V84" s="848"/>
      <c r="W84" s="848"/>
    </row>
    <row r="85" spans="2:28" s="27" customFormat="1" ht="15.95" customHeight="1">
      <c r="B85" s="849">
        <f>+B6</f>
        <v>41547</v>
      </c>
      <c r="C85" s="849"/>
      <c r="D85" s="849"/>
      <c r="E85" s="849"/>
      <c r="F85" s="849"/>
      <c r="G85" s="849"/>
      <c r="H85" s="849"/>
      <c r="I85" s="849"/>
      <c r="J85" s="849"/>
      <c r="K85" s="849"/>
      <c r="N85" s="849">
        <f>+B85</f>
        <v>41547</v>
      </c>
      <c r="O85" s="849"/>
      <c r="P85" s="849"/>
      <c r="Q85" s="849"/>
      <c r="R85" s="849"/>
      <c r="S85" s="849"/>
      <c r="T85" s="849"/>
      <c r="U85" s="849"/>
      <c r="V85" s="849"/>
      <c r="W85" s="849"/>
    </row>
    <row r="87" spans="2:28" ht="15.75">
      <c r="B87" s="270" t="s">
        <v>386</v>
      </c>
      <c r="G87" s="335"/>
      <c r="H87" s="335"/>
      <c r="I87" s="158"/>
      <c r="J87" s="158"/>
      <c r="K87" s="94"/>
      <c r="L87" s="94"/>
      <c r="N87" s="270" t="s">
        <v>386</v>
      </c>
      <c r="S87" s="644"/>
      <c r="T87" s="644"/>
      <c r="U87" s="158"/>
      <c r="V87" s="158"/>
      <c r="W87" s="94"/>
      <c r="X87" s="94"/>
      <c r="Y87" s="94"/>
      <c r="Z87" s="94"/>
    </row>
    <row r="88" spans="2:28" ht="15.75">
      <c r="B88" s="4"/>
      <c r="G88" s="512"/>
      <c r="H88" s="335"/>
      <c r="I88" s="335"/>
      <c r="J88" s="335"/>
      <c r="N88" s="4"/>
      <c r="S88" s="644"/>
      <c r="T88" s="644"/>
      <c r="U88" s="644"/>
      <c r="V88" s="644"/>
      <c r="AA88" t="s">
        <v>376</v>
      </c>
    </row>
    <row r="89" spans="2:28" ht="15.75">
      <c r="B89" s="4"/>
      <c r="D89" s="533">
        <f>+AC109</f>
        <v>41547</v>
      </c>
      <c r="E89" s="335" t="s">
        <v>306</v>
      </c>
      <c r="F89" s="335" t="s">
        <v>272</v>
      </c>
      <c r="G89" s="158" t="s">
        <v>188</v>
      </c>
      <c r="H89" s="158" t="s">
        <v>311</v>
      </c>
      <c r="I89" s="158" t="s">
        <v>312</v>
      </c>
      <c r="L89" s="519"/>
      <c r="N89" s="4"/>
      <c r="O89" s="644" t="str">
        <f>+O49</f>
        <v xml:space="preserve">Average </v>
      </c>
      <c r="P89" s="533">
        <f>+D89</f>
        <v>41547</v>
      </c>
      <c r="Q89" s="644" t="s">
        <v>306</v>
      </c>
      <c r="R89" s="644" t="s">
        <v>272</v>
      </c>
      <c r="S89" s="158" t="s">
        <v>188</v>
      </c>
      <c r="T89" s="158" t="s">
        <v>311</v>
      </c>
      <c r="U89" s="158" t="s">
        <v>312</v>
      </c>
      <c r="X89" s="644"/>
      <c r="Y89" s="644"/>
      <c r="Z89" s="644"/>
    </row>
    <row r="90" spans="2:28" ht="15.75">
      <c r="B90" s="4"/>
      <c r="C90" s="318" t="s">
        <v>274</v>
      </c>
      <c r="D90" s="534" t="s">
        <v>374</v>
      </c>
      <c r="E90" s="318" t="s">
        <v>305</v>
      </c>
      <c r="F90" s="318" t="s">
        <v>273</v>
      </c>
      <c r="G90" s="520" t="s">
        <v>310</v>
      </c>
      <c r="H90" s="520" t="s">
        <v>305</v>
      </c>
      <c r="I90" s="549" t="s">
        <v>313</v>
      </c>
      <c r="L90" s="545"/>
      <c r="N90" s="4"/>
      <c r="O90" s="318" t="str">
        <f>+O50</f>
        <v>Beta</v>
      </c>
      <c r="P90" s="534" t="s">
        <v>374</v>
      </c>
      <c r="Q90" s="318" t="s">
        <v>305</v>
      </c>
      <c r="R90" s="318" t="s">
        <v>273</v>
      </c>
      <c r="S90" s="520" t="s">
        <v>310</v>
      </c>
      <c r="T90" s="520" t="s">
        <v>305</v>
      </c>
      <c r="U90" s="549" t="s">
        <v>313</v>
      </c>
      <c r="X90" s="545"/>
      <c r="Y90" s="545"/>
      <c r="Z90" s="545"/>
    </row>
    <row r="91" spans="2:28">
      <c r="G91" s="94"/>
      <c r="H91" s="94"/>
      <c r="I91" s="94"/>
      <c r="S91" s="94"/>
      <c r="T91" s="94"/>
      <c r="U91" s="94"/>
    </row>
    <row r="92" spans="2:28">
      <c r="B92" t="s">
        <v>5</v>
      </c>
      <c r="C92">
        <f>+'Beta Report'!B12</f>
        <v>0.75</v>
      </c>
      <c r="D92" s="116">
        <f>+AE113</f>
        <v>3.6900000000000002E-2</v>
      </c>
      <c r="E92" s="152">
        <v>5.8799999999999998E-2</v>
      </c>
      <c r="F92" s="6">
        <f>D92+($C92*E92)</f>
        <v>8.1000000000000003E-2</v>
      </c>
      <c r="G92" s="517">
        <f t="shared" ref="G92:G98" si="86">+I13</f>
        <v>3</v>
      </c>
      <c r="H92" s="518">
        <v>1.4500000000000001E-2</v>
      </c>
      <c r="I92" s="152">
        <f>+F92+H92</f>
        <v>9.5500000000000002E-2</v>
      </c>
      <c r="L92" s="116"/>
      <c r="N92" t="s">
        <v>5</v>
      </c>
      <c r="O92">
        <f>+O52</f>
        <v>0.43</v>
      </c>
      <c r="P92" s="116">
        <f>+D92</f>
        <v>3.6900000000000002E-2</v>
      </c>
      <c r="Q92" s="152">
        <v>5.8799999999999998E-2</v>
      </c>
      <c r="R92" s="6">
        <f>P92+($O92*Q92)</f>
        <v>6.2184000000000003E-2</v>
      </c>
      <c r="S92" s="517">
        <f t="shared" ref="S92:S98" si="87">+U13</f>
        <v>3</v>
      </c>
      <c r="T92" s="518">
        <v>1.4500000000000001E-2</v>
      </c>
      <c r="U92" s="152">
        <f>+R92+T92</f>
        <v>7.6684000000000002E-2</v>
      </c>
      <c r="X92" s="116"/>
      <c r="Y92" s="116"/>
      <c r="Z92" s="116"/>
      <c r="AA92" s="116">
        <f t="shared" ref="AA92:AA98" si="88">+F92+H92</f>
        <v>9.5500000000000002E-2</v>
      </c>
      <c r="AB92" s="116" t="e">
        <f>+#REF!+H92</f>
        <v>#REF!</v>
      </c>
    </row>
    <row r="93" spans="2:28">
      <c r="B93" t="s">
        <v>7</v>
      </c>
      <c r="C93">
        <f>+'Beta Report'!B13</f>
        <v>0.7</v>
      </c>
      <c r="D93" s="116">
        <f>+D92</f>
        <v>3.6900000000000002E-2</v>
      </c>
      <c r="E93" s="116">
        <f>+E92</f>
        <v>5.8799999999999998E-2</v>
      </c>
      <c r="F93" s="6">
        <f t="shared" ref="F93:F98" si="89">D93+($C93*E93)</f>
        <v>7.8059999999999991E-2</v>
      </c>
      <c r="G93" s="517">
        <f t="shared" si="86"/>
        <v>4</v>
      </c>
      <c r="H93" s="518">
        <v>7.0000000000000001E-3</v>
      </c>
      <c r="I93" s="152">
        <f t="shared" ref="I93:I98" si="90">+F93+H93</f>
        <v>8.5059999999999997E-2</v>
      </c>
      <c r="L93" s="116"/>
      <c r="N93" t="s">
        <v>7</v>
      </c>
      <c r="O93">
        <f t="shared" ref="O93:O98" si="91">+O53</f>
        <v>0.52666666666666673</v>
      </c>
      <c r="P93" s="116">
        <f>+P92</f>
        <v>3.6900000000000002E-2</v>
      </c>
      <c r="Q93" s="116">
        <f>+Q92</f>
        <v>5.8799999999999998E-2</v>
      </c>
      <c r="R93" s="6">
        <f t="shared" ref="R93:R98" si="92">P93+($O93*Q93)</f>
        <v>6.7868000000000012E-2</v>
      </c>
      <c r="S93" s="517">
        <f t="shared" si="87"/>
        <v>4</v>
      </c>
      <c r="T93" s="518">
        <v>7.0000000000000001E-3</v>
      </c>
      <c r="U93" s="152">
        <f t="shared" ref="U93:U98" si="93">+R93+T93</f>
        <v>7.4868000000000018E-2</v>
      </c>
      <c r="X93" s="116"/>
      <c r="Y93" s="116"/>
      <c r="Z93" s="116"/>
      <c r="AA93" s="116">
        <f t="shared" si="88"/>
        <v>8.5059999999999997E-2</v>
      </c>
      <c r="AB93" s="116" t="e">
        <f>+#REF!+H93</f>
        <v>#REF!</v>
      </c>
    </row>
    <row r="94" spans="2:28">
      <c r="B94" t="s">
        <v>10</v>
      </c>
      <c r="C94">
        <f>+'Beta Report'!B14</f>
        <v>0.6</v>
      </c>
      <c r="D94" s="116">
        <f t="shared" ref="D94:D98" si="94">+D93</f>
        <v>3.6900000000000002E-2</v>
      </c>
      <c r="E94" s="116">
        <f t="shared" ref="E94:E98" si="95">+E93</f>
        <v>5.8799999999999998E-2</v>
      </c>
      <c r="F94" s="6">
        <f t="shared" si="89"/>
        <v>7.2179999999999994E-2</v>
      </c>
      <c r="G94" s="517">
        <f t="shared" si="86"/>
        <v>6</v>
      </c>
      <c r="H94" s="518">
        <v>-4.0000000000000002E-4</v>
      </c>
      <c r="I94" s="152">
        <f t="shared" si="90"/>
        <v>7.1779999999999997E-2</v>
      </c>
      <c r="L94" s="116"/>
      <c r="N94" t="s">
        <v>10</v>
      </c>
      <c r="O94">
        <f t="shared" si="91"/>
        <v>0.26</v>
      </c>
      <c r="P94" s="116">
        <f t="shared" ref="P94:Q98" si="96">+P93</f>
        <v>3.6900000000000002E-2</v>
      </c>
      <c r="Q94" s="116">
        <f t="shared" si="96"/>
        <v>5.8799999999999998E-2</v>
      </c>
      <c r="R94" s="6">
        <f t="shared" si="92"/>
        <v>5.2187999999999998E-2</v>
      </c>
      <c r="S94" s="517">
        <f t="shared" si="87"/>
        <v>6</v>
      </c>
      <c r="T94" s="518">
        <v>-4.0000000000000002E-4</v>
      </c>
      <c r="U94" s="152">
        <f t="shared" si="93"/>
        <v>5.1788000000000001E-2</v>
      </c>
      <c r="X94" s="116"/>
      <c r="Y94" s="116"/>
      <c r="Z94" s="116"/>
      <c r="AA94" s="116">
        <f t="shared" si="88"/>
        <v>7.1779999999999997E-2</v>
      </c>
      <c r="AB94" s="116" t="e">
        <f>+#REF!+H94</f>
        <v>#REF!</v>
      </c>
    </row>
    <row r="95" spans="2:28">
      <c r="B95" s="94" t="s">
        <v>14</v>
      </c>
      <c r="C95" s="94">
        <f>+'Beta Report'!B15</f>
        <v>0.6</v>
      </c>
      <c r="D95" s="152">
        <f>+D94</f>
        <v>3.6900000000000002E-2</v>
      </c>
      <c r="E95" s="152">
        <f>+E94</f>
        <v>5.8799999999999998E-2</v>
      </c>
      <c r="F95" s="102">
        <f t="shared" si="89"/>
        <v>7.2179999999999994E-2</v>
      </c>
      <c r="G95" s="517">
        <f t="shared" si="86"/>
        <v>7</v>
      </c>
      <c r="H95" s="518">
        <v>-5.3E-3</v>
      </c>
      <c r="I95" s="152">
        <f t="shared" si="90"/>
        <v>6.6879999999999995E-2</v>
      </c>
      <c r="L95" s="116"/>
      <c r="N95" s="94" t="s">
        <v>14</v>
      </c>
      <c r="O95">
        <f t="shared" si="91"/>
        <v>0.31666666666666665</v>
      </c>
      <c r="P95" s="152">
        <f>+P94</f>
        <v>3.6900000000000002E-2</v>
      </c>
      <c r="Q95" s="152">
        <f>+Q94</f>
        <v>5.8799999999999998E-2</v>
      </c>
      <c r="R95" s="6">
        <f t="shared" si="92"/>
        <v>5.552E-2</v>
      </c>
      <c r="S95" s="517">
        <f t="shared" si="87"/>
        <v>7</v>
      </c>
      <c r="T95" s="518">
        <v>-5.3E-3</v>
      </c>
      <c r="U95" s="152">
        <f t="shared" si="93"/>
        <v>5.0220000000000001E-2</v>
      </c>
      <c r="X95" s="116"/>
      <c r="Y95" s="116"/>
      <c r="Z95" s="116"/>
      <c r="AA95" s="116">
        <f t="shared" si="88"/>
        <v>6.6879999999999995E-2</v>
      </c>
      <c r="AB95" s="116" t="e">
        <f>+#REF!+H95</f>
        <v>#REF!</v>
      </c>
    </row>
    <row r="96" spans="2:28">
      <c r="B96" s="94" t="s">
        <v>16</v>
      </c>
      <c r="C96" s="94">
        <f>+'Beta Report'!B16</f>
        <v>0.7</v>
      </c>
      <c r="D96" s="152">
        <f t="shared" si="94"/>
        <v>3.6900000000000002E-2</v>
      </c>
      <c r="E96" s="152">
        <f t="shared" si="95"/>
        <v>5.8799999999999998E-2</v>
      </c>
      <c r="F96" s="102">
        <f t="shared" si="89"/>
        <v>7.8059999999999991E-2</v>
      </c>
      <c r="G96" s="517">
        <f t="shared" si="86"/>
        <v>5</v>
      </c>
      <c r="H96" s="518">
        <v>1.1000000000000001E-3</v>
      </c>
      <c r="I96" s="152">
        <f t="shared" si="90"/>
        <v>7.9159999999999994E-2</v>
      </c>
      <c r="L96" s="116"/>
      <c r="N96" s="94" t="s">
        <v>16</v>
      </c>
      <c r="O96">
        <f t="shared" si="91"/>
        <v>0.45999999999999996</v>
      </c>
      <c r="P96" s="152">
        <f t="shared" si="96"/>
        <v>3.6900000000000002E-2</v>
      </c>
      <c r="Q96" s="152">
        <f t="shared" si="96"/>
        <v>5.8799999999999998E-2</v>
      </c>
      <c r="R96" s="6">
        <f t="shared" si="92"/>
        <v>6.3948000000000005E-2</v>
      </c>
      <c r="S96" s="517">
        <f t="shared" si="87"/>
        <v>5</v>
      </c>
      <c r="T96" s="518">
        <v>1.1000000000000001E-3</v>
      </c>
      <c r="U96" s="152">
        <f t="shared" si="93"/>
        <v>6.5048000000000009E-2</v>
      </c>
      <c r="X96" s="116"/>
      <c r="Y96" s="116"/>
      <c r="Z96" s="116"/>
      <c r="AA96" s="116">
        <f t="shared" si="88"/>
        <v>7.9159999999999994E-2</v>
      </c>
      <c r="AB96" s="116" t="e">
        <f>+#REF!+H96</f>
        <v>#REF!</v>
      </c>
    </row>
    <row r="97" spans="2:31">
      <c r="B97" t="s">
        <v>18</v>
      </c>
      <c r="C97">
        <f>+'Beta Report'!B17</f>
        <v>0.65</v>
      </c>
      <c r="D97" s="116">
        <f t="shared" si="94"/>
        <v>3.6900000000000002E-2</v>
      </c>
      <c r="E97" s="116">
        <f t="shared" si="95"/>
        <v>5.8799999999999998E-2</v>
      </c>
      <c r="F97" s="6">
        <f t="shared" si="89"/>
        <v>7.5119999999999992E-2</v>
      </c>
      <c r="G97" s="517">
        <f t="shared" si="86"/>
        <v>6</v>
      </c>
      <c r="H97" s="518">
        <f>+H94</f>
        <v>-4.0000000000000002E-4</v>
      </c>
      <c r="I97" s="152">
        <f t="shared" si="90"/>
        <v>7.4719999999999995E-2</v>
      </c>
      <c r="L97" s="116"/>
      <c r="N97" t="s">
        <v>18</v>
      </c>
      <c r="O97">
        <f t="shared" si="91"/>
        <v>0.46666666666666662</v>
      </c>
      <c r="P97" s="116">
        <f t="shared" si="96"/>
        <v>3.6900000000000002E-2</v>
      </c>
      <c r="Q97" s="116">
        <f t="shared" si="96"/>
        <v>5.8799999999999998E-2</v>
      </c>
      <c r="R97" s="6">
        <f t="shared" si="92"/>
        <v>6.4339999999999994E-2</v>
      </c>
      <c r="S97" s="517">
        <f t="shared" si="87"/>
        <v>6</v>
      </c>
      <c r="T97" s="518">
        <f>+T94</f>
        <v>-4.0000000000000002E-4</v>
      </c>
      <c r="U97" s="152">
        <f t="shared" si="93"/>
        <v>6.3939999999999997E-2</v>
      </c>
      <c r="X97" s="116"/>
      <c r="Y97" s="116"/>
      <c r="Z97" s="116"/>
      <c r="AA97" s="116">
        <f t="shared" si="88"/>
        <v>7.4719999999999995E-2</v>
      </c>
      <c r="AB97" s="116" t="e">
        <f>+#REF!+H97</f>
        <v>#REF!</v>
      </c>
    </row>
    <row r="98" spans="2:31">
      <c r="B98" t="s">
        <v>138</v>
      </c>
      <c r="C98">
        <f>+'Beta Report'!B18</f>
        <v>0.75</v>
      </c>
      <c r="D98" s="116">
        <f t="shared" si="94"/>
        <v>3.6900000000000002E-2</v>
      </c>
      <c r="E98" s="116">
        <f t="shared" si="95"/>
        <v>5.8799999999999998E-2</v>
      </c>
      <c r="F98" s="6">
        <f t="shared" si="89"/>
        <v>8.1000000000000003E-2</v>
      </c>
      <c r="G98" s="517">
        <f t="shared" si="86"/>
        <v>5</v>
      </c>
      <c r="H98" s="518">
        <f>+H96</f>
        <v>1.1000000000000001E-3</v>
      </c>
      <c r="I98" s="152">
        <f t="shared" si="90"/>
        <v>8.2100000000000006E-2</v>
      </c>
      <c r="L98" s="116"/>
      <c r="N98" t="s">
        <v>138</v>
      </c>
      <c r="O98">
        <f t="shared" si="91"/>
        <v>0.69333333333333336</v>
      </c>
      <c r="P98" s="116">
        <f t="shared" si="96"/>
        <v>3.6900000000000002E-2</v>
      </c>
      <c r="Q98" s="116">
        <f t="shared" si="96"/>
        <v>5.8799999999999998E-2</v>
      </c>
      <c r="R98" s="6">
        <f t="shared" si="92"/>
        <v>7.7668000000000001E-2</v>
      </c>
      <c r="S98" s="517">
        <f t="shared" si="87"/>
        <v>5</v>
      </c>
      <c r="T98" s="518">
        <f>+T96</f>
        <v>1.1000000000000001E-3</v>
      </c>
      <c r="U98" s="152">
        <f t="shared" si="93"/>
        <v>7.8768000000000005E-2</v>
      </c>
      <c r="X98" s="116"/>
      <c r="Y98" s="116"/>
      <c r="Z98" s="116"/>
      <c r="AA98" s="116">
        <f t="shared" si="88"/>
        <v>8.2100000000000006E-2</v>
      </c>
      <c r="AB98" s="116" t="e">
        <f>+#REF!+H98</f>
        <v>#REF!</v>
      </c>
    </row>
    <row r="99" spans="2:31">
      <c r="D99" s="116"/>
      <c r="E99" s="116"/>
      <c r="F99" s="6"/>
      <c r="G99" s="341"/>
      <c r="P99" s="116"/>
      <c r="Q99" s="116"/>
      <c r="R99" s="6"/>
      <c r="S99" s="341"/>
    </row>
    <row r="100" spans="2:31" ht="14.25">
      <c r="B100" s="306" t="s">
        <v>38</v>
      </c>
      <c r="C100" s="306">
        <f>+C21</f>
        <v>0.6785714285714286</v>
      </c>
      <c r="D100" s="347">
        <f>+D98</f>
        <v>3.6900000000000002E-2</v>
      </c>
      <c r="E100" s="347">
        <f>+E98</f>
        <v>5.8799999999999998E-2</v>
      </c>
      <c r="F100" s="535">
        <f>AVERAGE(F92:F98)</f>
        <v>7.6799999999999979E-2</v>
      </c>
      <c r="G100" s="306"/>
      <c r="H100" s="536">
        <f>AVERAGE(H92:H98)</f>
        <v>2.5142857142857146E-3</v>
      </c>
      <c r="I100" s="347">
        <f>AVERAGE(I92:I98)</f>
        <v>7.9314285714285712E-2</v>
      </c>
      <c r="L100" s="259"/>
      <c r="N100" s="306" t="s">
        <v>38</v>
      </c>
      <c r="O100" s="306">
        <f>+O21</f>
        <v>0.45047619047619047</v>
      </c>
      <c r="P100" s="347">
        <f>+P98</f>
        <v>3.6900000000000002E-2</v>
      </c>
      <c r="Q100" s="347">
        <f>+Q98</f>
        <v>5.8799999999999998E-2</v>
      </c>
      <c r="R100" s="535">
        <f>AVERAGE(R92:R98)</f>
        <v>6.3388000000000014E-2</v>
      </c>
      <c r="S100" s="306"/>
      <c r="T100" s="536">
        <f>AVERAGE(T92:T98)</f>
        <v>2.5142857142857146E-3</v>
      </c>
      <c r="U100" s="347">
        <f>AVERAGE(U92:U98)</f>
        <v>6.5902285714285719E-2</v>
      </c>
      <c r="X100" s="259"/>
      <c r="Y100" s="259"/>
      <c r="Z100" s="259"/>
      <c r="AA100" s="116">
        <f>AVERAGE(AA92:AA99)</f>
        <v>7.9314285714285712E-2</v>
      </c>
      <c r="AB100" s="116" t="e">
        <f t="shared" ref="AB100" si="97">AVERAGE(AB92:AB98)</f>
        <v>#REF!</v>
      </c>
    </row>
    <row r="101" spans="2:31">
      <c r="B101" t="s">
        <v>43</v>
      </c>
      <c r="D101" s="116"/>
      <c r="E101" s="116"/>
      <c r="F101" s="6">
        <f>STDEV(F92:F98)</f>
        <v>3.7409089804484709E-3</v>
      </c>
      <c r="G101" s="116"/>
      <c r="H101" s="322"/>
      <c r="I101" s="116">
        <f>STDEV(I92:I98)</f>
        <v>9.4450954770943264E-3</v>
      </c>
      <c r="L101" s="116"/>
      <c r="N101" t="s">
        <v>43</v>
      </c>
      <c r="P101" s="116"/>
      <c r="Q101" s="116"/>
      <c r="R101" s="6">
        <f>STDEV(R92:R98)</f>
        <v>8.3066614232192859E-3</v>
      </c>
      <c r="S101" s="116"/>
      <c r="T101" s="322"/>
      <c r="U101" s="116">
        <f>STDEV(U92:U98)</f>
        <v>1.1632451127689972E-2</v>
      </c>
      <c r="X101" s="116"/>
      <c r="Y101" s="116"/>
      <c r="Z101" s="116"/>
    </row>
    <row r="102" spans="2:31">
      <c r="B102" t="s">
        <v>21</v>
      </c>
      <c r="C102">
        <f>+C23</f>
        <v>0.7</v>
      </c>
      <c r="D102" s="116">
        <f>+D100</f>
        <v>3.6900000000000002E-2</v>
      </c>
      <c r="E102" s="116">
        <f>+E100</f>
        <v>5.8799999999999998E-2</v>
      </c>
      <c r="F102" s="6">
        <f>MEDIAN(F92:F98)</f>
        <v>7.8059999999999991E-2</v>
      </c>
      <c r="G102" s="116"/>
      <c r="H102" s="72">
        <f>MEDIAN(H92:H98)</f>
        <v>1.1000000000000001E-3</v>
      </c>
      <c r="I102" s="116">
        <f>MEDIAN(I92:I98)</f>
        <v>7.9159999999999994E-2</v>
      </c>
      <c r="L102" s="116"/>
      <c r="N102" t="s">
        <v>21</v>
      </c>
      <c r="O102">
        <f>+O23</f>
        <v>0.45999999999999996</v>
      </c>
      <c r="P102" s="116">
        <f>+P100</f>
        <v>3.6900000000000002E-2</v>
      </c>
      <c r="Q102" s="116">
        <f>+Q100</f>
        <v>5.8799999999999998E-2</v>
      </c>
      <c r="R102" s="6">
        <f>MEDIAN(R92:R98)</f>
        <v>6.3948000000000005E-2</v>
      </c>
      <c r="S102" s="116"/>
      <c r="T102" s="72">
        <f>MEDIAN(T92:T98)</f>
        <v>1.1000000000000001E-3</v>
      </c>
      <c r="U102" s="116">
        <f>MEDIAN(U92:U98)</f>
        <v>6.5048000000000009E-2</v>
      </c>
      <c r="X102" s="116"/>
      <c r="Y102" s="116"/>
      <c r="Z102" s="116"/>
    </row>
    <row r="103" spans="2:31" hidden="1">
      <c r="D103" s="116"/>
      <c r="E103" s="116"/>
      <c r="F103" s="6"/>
      <c r="P103" s="116"/>
      <c r="Q103" s="116"/>
      <c r="R103" s="6"/>
    </row>
    <row r="104" spans="2:31" ht="15.75" hidden="1">
      <c r="D104" s="116"/>
      <c r="F104" s="347">
        <f>+F100</f>
        <v>7.6799999999999979E-2</v>
      </c>
      <c r="I104" s="349">
        <f>+I100</f>
        <v>7.9314285714285712E-2</v>
      </c>
      <c r="L104" s="349"/>
      <c r="P104" s="116"/>
      <c r="R104" s="347">
        <f>+R100</f>
        <v>6.3388000000000014E-2</v>
      </c>
      <c r="U104" s="349">
        <f>+U100</f>
        <v>6.5902285714285719E-2</v>
      </c>
      <c r="X104" s="349"/>
      <c r="Y104" s="349"/>
      <c r="Z104" s="349"/>
    </row>
    <row r="105" spans="2:31" hidden="1">
      <c r="D105" s="116"/>
      <c r="E105" s="116"/>
      <c r="F105" s="6"/>
      <c r="I105" s="116"/>
      <c r="L105" s="116"/>
      <c r="P105" s="116"/>
      <c r="Q105" s="116"/>
      <c r="R105" s="6"/>
      <c r="U105" s="116"/>
      <c r="X105" s="116"/>
      <c r="Y105" s="116"/>
      <c r="Z105" s="116"/>
    </row>
    <row r="106" spans="2:31">
      <c r="C106" s="6" t="s">
        <v>303</v>
      </c>
      <c r="F106" s="116">
        <f>+F104-F101</f>
        <v>7.3059091019551506E-2</v>
      </c>
      <c r="G106" s="116"/>
      <c r="H106" s="116"/>
      <c r="I106" s="116">
        <f>+I100-I101</f>
        <v>6.9869190237191389E-2</v>
      </c>
      <c r="L106" s="116"/>
      <c r="O106" s="6" t="s">
        <v>303</v>
      </c>
      <c r="R106" s="116">
        <f>+R104-R101</f>
        <v>5.5081338576780728E-2</v>
      </c>
      <c r="S106" s="116"/>
      <c r="T106" s="116"/>
      <c r="U106" s="116">
        <f>+U100-U101</f>
        <v>5.4269834586595747E-2</v>
      </c>
      <c r="X106" s="116"/>
      <c r="Y106" s="116"/>
      <c r="Z106" s="116"/>
    </row>
    <row r="107" spans="2:31">
      <c r="F107" s="116">
        <f>+F104+F101</f>
        <v>8.0540908980448453E-2</v>
      </c>
      <c r="G107" s="116"/>
      <c r="H107" s="116"/>
      <c r="I107" s="116">
        <f>+I100+I101</f>
        <v>8.8759381191380035E-2</v>
      </c>
      <c r="L107" s="116"/>
      <c r="R107" s="116">
        <f>+R104+R101</f>
        <v>7.16946614232193E-2</v>
      </c>
      <c r="S107" s="116"/>
      <c r="T107" s="116"/>
      <c r="U107" s="116">
        <f>+U100+U101</f>
        <v>7.753473684197569E-2</v>
      </c>
      <c r="X107" s="116"/>
      <c r="Y107" s="116"/>
      <c r="Z107" s="116"/>
    </row>
    <row r="108" spans="2:31">
      <c r="F108" s="116"/>
      <c r="I108" s="116"/>
      <c r="J108" s="116"/>
      <c r="K108" s="116"/>
      <c r="L108" s="116"/>
      <c r="R108" s="116"/>
      <c r="U108" s="116"/>
      <c r="V108" s="116"/>
      <c r="W108" s="116"/>
      <c r="X108" s="116"/>
      <c r="Y108" s="116"/>
      <c r="Z108" s="116"/>
    </row>
    <row r="109" spans="2:31">
      <c r="B109" s="853" t="s">
        <v>385</v>
      </c>
      <c r="C109" s="854"/>
      <c r="D109" s="854"/>
      <c r="E109" s="854"/>
      <c r="F109" s="854"/>
      <c r="G109" s="854"/>
      <c r="H109" s="854"/>
      <c r="I109" s="854"/>
      <c r="J109" s="854"/>
      <c r="K109" s="855"/>
      <c r="L109" s="316"/>
      <c r="N109" s="853" t="s">
        <v>385</v>
      </c>
      <c r="O109" s="854"/>
      <c r="P109" s="854"/>
      <c r="Q109" s="854"/>
      <c r="R109" s="854"/>
      <c r="S109" s="854"/>
      <c r="T109" s="854"/>
      <c r="U109" s="854"/>
      <c r="V109" s="854"/>
      <c r="W109" s="855"/>
      <c r="X109" s="316"/>
      <c r="Y109" s="316"/>
      <c r="Z109" s="316"/>
      <c r="AC109" s="852">
        <v>41547</v>
      </c>
      <c r="AD109" s="852"/>
      <c r="AE109" s="852"/>
    </row>
    <row r="110" spans="2:31">
      <c r="B110" s="769"/>
      <c r="C110" s="805" t="str">
        <f>+C31</f>
        <v>Average</v>
      </c>
      <c r="D110" s="805"/>
      <c r="E110" s="805" t="str">
        <f>+E89</f>
        <v>Risk</v>
      </c>
      <c r="F110" s="805" t="str">
        <f>+F89</f>
        <v>Expected</v>
      </c>
      <c r="G110" s="805"/>
      <c r="H110" s="805" t="str">
        <f>+H89</f>
        <v>Size</v>
      </c>
      <c r="I110" s="805" t="str">
        <f>+I89</f>
        <v xml:space="preserve">Investor </v>
      </c>
      <c r="J110" s="805"/>
      <c r="K110" s="806"/>
      <c r="L110" s="316"/>
      <c r="N110" s="769"/>
      <c r="O110" s="805" t="str">
        <f>+O89</f>
        <v xml:space="preserve">Average </v>
      </c>
      <c r="P110" s="805"/>
      <c r="Q110" s="805" t="str">
        <f>+Q89</f>
        <v>Risk</v>
      </c>
      <c r="R110" s="805" t="str">
        <f>+R89</f>
        <v>Expected</v>
      </c>
      <c r="S110" s="805"/>
      <c r="T110" s="805" t="str">
        <f t="shared" ref="T110:U110" si="98">+T89</f>
        <v>Size</v>
      </c>
      <c r="U110" s="805" t="str">
        <f t="shared" si="98"/>
        <v xml:space="preserve">Investor </v>
      </c>
      <c r="V110" s="805"/>
      <c r="W110" s="806"/>
      <c r="X110" s="316"/>
      <c r="Y110" s="316"/>
      <c r="Z110" s="316"/>
      <c r="AC110" s="767"/>
      <c r="AD110" s="767"/>
      <c r="AE110" s="767"/>
    </row>
    <row r="111" spans="2:31">
      <c r="B111" s="768"/>
      <c r="C111" s="810" t="str">
        <f>+C32</f>
        <v>VL Beta</v>
      </c>
      <c r="D111" s="812" t="str">
        <f>+D90</f>
        <v>30 Year Treasury</v>
      </c>
      <c r="E111" s="810" t="str">
        <f>+E90</f>
        <v>Premium</v>
      </c>
      <c r="F111" s="810" t="str">
        <f>+F90</f>
        <v>Return</v>
      </c>
      <c r="G111" s="810"/>
      <c r="H111" s="810" t="str">
        <f>+H90</f>
        <v>Premium</v>
      </c>
      <c r="I111" s="813" t="str">
        <f>+I90</f>
        <v>Expectation</v>
      </c>
      <c r="J111" s="810"/>
      <c r="K111" s="811"/>
      <c r="L111" s="316"/>
      <c r="N111" s="768"/>
      <c r="O111" s="810" t="str">
        <f>+O90</f>
        <v>Beta</v>
      </c>
      <c r="P111" s="812" t="str">
        <f>+P90</f>
        <v>30 Year Treasury</v>
      </c>
      <c r="Q111" s="810" t="str">
        <f>+Q90</f>
        <v>Premium</v>
      </c>
      <c r="R111" s="810" t="str">
        <f>+R90</f>
        <v>Return</v>
      </c>
      <c r="S111" s="810"/>
      <c r="T111" s="810" t="str">
        <f t="shared" ref="T111:U111" si="99">+T90</f>
        <v>Premium</v>
      </c>
      <c r="U111" s="813" t="str">
        <f t="shared" si="99"/>
        <v>Expectation</v>
      </c>
      <c r="V111" s="810"/>
      <c r="W111" s="811"/>
      <c r="X111" s="316"/>
      <c r="Y111" s="316"/>
      <c r="Z111" s="316"/>
      <c r="AC111" s="767"/>
      <c r="AD111" s="767"/>
      <c r="AE111" s="767"/>
    </row>
    <row r="112" spans="2:31">
      <c r="B112" s="177" t="s">
        <v>276</v>
      </c>
      <c r="C112" s="36">
        <f>+C100</f>
        <v>0.6785714285714286</v>
      </c>
      <c r="D112" s="322">
        <f>+D100</f>
        <v>3.6900000000000002E-2</v>
      </c>
      <c r="E112" s="322">
        <v>3.9E-2</v>
      </c>
      <c r="F112" s="21">
        <f>D112+($C112*E112)</f>
        <v>6.336428571428572E-2</v>
      </c>
      <c r="G112" s="322"/>
      <c r="H112" s="322">
        <f>+H100</f>
        <v>2.5142857142857146E-3</v>
      </c>
      <c r="I112" s="322">
        <f>+H112+F112</f>
        <v>6.5878571428571439E-2</v>
      </c>
      <c r="J112" s="322"/>
      <c r="K112" s="360"/>
      <c r="L112" s="322"/>
      <c r="N112" s="177" t="s">
        <v>276</v>
      </c>
      <c r="O112" s="36">
        <f>+O100</f>
        <v>0.45047619047619047</v>
      </c>
      <c r="P112" s="322">
        <f>+P100</f>
        <v>3.6900000000000002E-2</v>
      </c>
      <c r="Q112" s="322">
        <v>3.9E-2</v>
      </c>
      <c r="R112" s="21">
        <f>P112+($O112*Q112)</f>
        <v>5.4468571428571436E-2</v>
      </c>
      <c r="S112" s="322"/>
      <c r="T112" s="322">
        <f>+T100</f>
        <v>2.5142857142857146E-3</v>
      </c>
      <c r="U112" s="322">
        <f>+T112+R112</f>
        <v>5.6982857142857148E-2</v>
      </c>
      <c r="V112" s="322"/>
      <c r="W112" s="360"/>
      <c r="X112" s="322"/>
      <c r="Y112" s="322"/>
      <c r="Z112" s="322"/>
      <c r="AC112" s="515" t="s">
        <v>326</v>
      </c>
      <c r="AD112" s="515" t="s">
        <v>327</v>
      </c>
      <c r="AE112" s="515" t="s">
        <v>328</v>
      </c>
    </row>
    <row r="113" spans="2:31">
      <c r="B113" s="345" t="str">
        <f>+B76</f>
        <v>50 Year Average</v>
      </c>
      <c r="C113" s="541">
        <f>+C112</f>
        <v>0.6785714285714286</v>
      </c>
      <c r="D113" s="350">
        <f>+D112</f>
        <v>3.6900000000000002E-2</v>
      </c>
      <c r="E113" s="350">
        <v>3.9100000000000003E-2</v>
      </c>
      <c r="F113" s="76">
        <f>D113+($C113*E113)</f>
        <v>6.3432142857142867E-2</v>
      </c>
      <c r="G113" s="350"/>
      <c r="H113" s="350">
        <f>+H112</f>
        <v>2.5142857142857146E-3</v>
      </c>
      <c r="I113" s="350">
        <f>+H113+F113</f>
        <v>6.5946428571428586E-2</v>
      </c>
      <c r="J113" s="350"/>
      <c r="K113" s="542"/>
      <c r="L113" s="350"/>
      <c r="N113" s="345" t="str">
        <f>+N76</f>
        <v>50 Year Average</v>
      </c>
      <c r="O113" s="541">
        <f>+O112</f>
        <v>0.45047619047619047</v>
      </c>
      <c r="P113" s="350">
        <f>+P112</f>
        <v>3.6900000000000002E-2</v>
      </c>
      <c r="Q113" s="350">
        <v>3.9100000000000003E-2</v>
      </c>
      <c r="R113" s="76">
        <f>P113+($O113*Q113)</f>
        <v>5.4513619047619047E-2</v>
      </c>
      <c r="S113" s="350"/>
      <c r="T113" s="350">
        <f>+T112</f>
        <v>2.5142857142857146E-3</v>
      </c>
      <c r="U113" s="350">
        <f>+T113+R113</f>
        <v>5.7027904761904759E-2</v>
      </c>
      <c r="V113" s="350"/>
      <c r="W113" s="542"/>
      <c r="X113" s="350"/>
      <c r="Y113" s="350"/>
      <c r="Z113" s="350"/>
      <c r="AC113" s="516">
        <v>2.64E-2</v>
      </c>
      <c r="AD113" s="516">
        <v>3.4099999999999998E-2</v>
      </c>
      <c r="AE113" s="516">
        <v>3.6900000000000002E-2</v>
      </c>
    </row>
    <row r="114" spans="2:31">
      <c r="B114" s="544" t="s">
        <v>384</v>
      </c>
      <c r="C114" s="334">
        <f>+C113</f>
        <v>0.6785714285714286</v>
      </c>
      <c r="D114" s="333">
        <f>+D113</f>
        <v>3.6900000000000002E-2</v>
      </c>
      <c r="E114" s="333">
        <v>5.8799999999999998E-2</v>
      </c>
      <c r="F114" s="348">
        <f>D114+($C114*E114)</f>
        <v>7.6800000000000007E-2</v>
      </c>
      <c r="G114" s="333"/>
      <c r="H114" s="333">
        <f>+H113</f>
        <v>2.5142857142857146E-3</v>
      </c>
      <c r="I114" s="333">
        <f>+H114+F114</f>
        <v>7.9314285714285726E-2</v>
      </c>
      <c r="J114" s="333"/>
      <c r="K114" s="361"/>
      <c r="L114" s="322"/>
      <c r="N114" s="544" t="s">
        <v>384</v>
      </c>
      <c r="O114" s="334">
        <f>+O113</f>
        <v>0.45047619047619047</v>
      </c>
      <c r="P114" s="333">
        <f>+P113</f>
        <v>3.6900000000000002E-2</v>
      </c>
      <c r="Q114" s="333">
        <v>5.8799999999999998E-2</v>
      </c>
      <c r="R114" s="348">
        <f>P114+($O114*Q114)</f>
        <v>6.3388E-2</v>
      </c>
      <c r="S114" s="333"/>
      <c r="T114" s="333">
        <f>+T113</f>
        <v>2.5142857142857146E-3</v>
      </c>
      <c r="U114" s="333">
        <f>+T114+R114</f>
        <v>6.5902285714285719E-2</v>
      </c>
      <c r="V114" s="333"/>
      <c r="W114" s="361"/>
      <c r="X114" s="322"/>
      <c r="Y114" s="322"/>
      <c r="Z114" s="322"/>
    </row>
    <row r="115" spans="2:31">
      <c r="F115" s="116"/>
      <c r="R115" s="116"/>
    </row>
    <row r="117" spans="2:31" hidden="1">
      <c r="D117" s="511"/>
      <c r="E117" s="2"/>
      <c r="F117" s="2"/>
    </row>
    <row r="118" spans="2:31" s="2" customFormat="1" hidden="1">
      <c r="D118" s="201" t="s">
        <v>230</v>
      </c>
      <c r="E118" s="149"/>
      <c r="F118" s="149" t="s">
        <v>269</v>
      </c>
      <c r="G118" s="149" t="s">
        <v>68</v>
      </c>
      <c r="H118" s="150" t="s">
        <v>2</v>
      </c>
      <c r="I118" s="150"/>
      <c r="J118" s="150"/>
    </row>
    <row r="119" spans="2:31" hidden="1">
      <c r="B119" s="2" t="s">
        <v>3</v>
      </c>
      <c r="C119" s="2" t="s">
        <v>67</v>
      </c>
      <c r="D119" s="202" t="s">
        <v>231</v>
      </c>
      <c r="E119" s="149" t="s">
        <v>295</v>
      </c>
      <c r="F119" s="149" t="s">
        <v>294</v>
      </c>
      <c r="G119" s="149" t="s">
        <v>69</v>
      </c>
      <c r="H119" s="149" t="s">
        <v>69</v>
      </c>
      <c r="I119" s="149"/>
      <c r="J119" s="149"/>
    </row>
    <row r="120" spans="2:31" ht="7.5" hidden="1" customHeight="1">
      <c r="B120" s="3"/>
      <c r="C120" s="3"/>
      <c r="D120" s="3"/>
      <c r="E120" s="3"/>
      <c r="F120" s="3"/>
      <c r="G120" s="3"/>
      <c r="H120" s="3"/>
      <c r="I120" s="36"/>
      <c r="J120" s="36"/>
    </row>
    <row r="121" spans="2:31" hidden="1">
      <c r="B121" t="str">
        <f>'1.8 DCF SS'!A16</f>
        <v>AGL Resources</v>
      </c>
      <c r="C121">
        <f>+'Value Line'!D20</f>
        <v>0.75</v>
      </c>
      <c r="D121" s="6">
        <f>+AC113</f>
        <v>2.64E-2</v>
      </c>
      <c r="E121" s="6"/>
      <c r="F121" s="6">
        <v>6.5000000000000002E-2</v>
      </c>
      <c r="G121" s="6" t="e">
        <f>#REF!+$C121*E121</f>
        <v>#REF!</v>
      </c>
      <c r="H121" s="6" t="e">
        <f>#REF!+$C121*F121</f>
        <v>#REF!</v>
      </c>
      <c r="I121" s="6"/>
      <c r="J121" s="6"/>
      <c r="AB121" s="116">
        <v>6.0299999999999999E-2</v>
      </c>
      <c r="AC121" s="116">
        <f t="shared" ref="AC121:AC127" si="100">+AB121+D121</f>
        <v>8.6699999999999999E-2</v>
      </c>
      <c r="AD121" s="116">
        <f t="shared" ref="AD121:AD127" si="101">+AB121*C121+D121</f>
        <v>7.1624999999999994E-2</v>
      </c>
    </row>
    <row r="122" spans="2:31" hidden="1">
      <c r="B122" t="str">
        <f>'1.8 DCF SS'!A17</f>
        <v>Atmos Energy</v>
      </c>
      <c r="C122">
        <f>+'Value Line'!D21</f>
        <v>0.7</v>
      </c>
      <c r="D122" s="6">
        <f>+D121</f>
        <v>2.64E-2</v>
      </c>
      <c r="E122" s="6"/>
      <c r="F122" s="6">
        <f t="shared" ref="F122:F123" si="102">F121</f>
        <v>6.5000000000000002E-2</v>
      </c>
      <c r="G122" s="6" t="e">
        <f>#REF!+C122*E122</f>
        <v>#REF!</v>
      </c>
      <c r="H122" s="6" t="e">
        <f>#REF!+$C122*F122</f>
        <v>#REF!</v>
      </c>
      <c r="I122" s="6"/>
      <c r="J122" s="6"/>
      <c r="AB122" s="116">
        <v>6.0299999999999999E-2</v>
      </c>
      <c r="AC122" s="116">
        <f t="shared" si="100"/>
        <v>8.6699999999999999E-2</v>
      </c>
      <c r="AD122" s="116">
        <f t="shared" si="101"/>
        <v>6.8610000000000004E-2</v>
      </c>
    </row>
    <row r="123" spans="2:31" hidden="1">
      <c r="B123" t="str">
        <f>'1.8 DCF SS'!A18</f>
        <v>Laclede Group</v>
      </c>
      <c r="C123">
        <f>+'Value Line'!D22</f>
        <v>0.6</v>
      </c>
      <c r="D123" s="6">
        <f t="shared" ref="D123:D127" si="103">+D122</f>
        <v>2.64E-2</v>
      </c>
      <c r="E123" s="6"/>
      <c r="F123" s="6">
        <f t="shared" si="102"/>
        <v>6.5000000000000002E-2</v>
      </c>
      <c r="G123" s="6" t="e">
        <f>#REF!+C123*E123</f>
        <v>#REF!</v>
      </c>
      <c r="H123" s="6" t="e">
        <f>#REF!+$C123*F123</f>
        <v>#REF!</v>
      </c>
      <c r="I123" s="6"/>
      <c r="J123" s="6"/>
      <c r="AB123" s="116">
        <v>6.0299999999999999E-2</v>
      </c>
      <c r="AC123" s="116">
        <f t="shared" si="100"/>
        <v>8.6699999999999999E-2</v>
      </c>
      <c r="AD123" s="116">
        <f t="shared" si="101"/>
        <v>6.2579999999999997E-2</v>
      </c>
    </row>
    <row r="124" spans="2:31" hidden="1">
      <c r="B124" t="str">
        <f>'1.8 DCF SS'!A19</f>
        <v>Northwest Nat. Gas</v>
      </c>
      <c r="C124">
        <f>+'Value Line'!D23</f>
        <v>0.6</v>
      </c>
      <c r="D124" s="6">
        <f>+D123</f>
        <v>2.64E-2</v>
      </c>
      <c r="E124" s="6"/>
      <c r="F124" s="6">
        <f>+F123</f>
        <v>6.5000000000000002E-2</v>
      </c>
      <c r="G124" s="6" t="e">
        <f>#REF!+C124*E124</f>
        <v>#REF!</v>
      </c>
      <c r="H124" s="6" t="e">
        <f>#REF!+$C124*F124</f>
        <v>#REF!</v>
      </c>
      <c r="I124" s="6"/>
      <c r="J124" s="6"/>
      <c r="AB124" s="116">
        <v>6.0299999999999999E-2</v>
      </c>
      <c r="AC124" s="116">
        <f t="shared" si="100"/>
        <v>8.6699999999999999E-2</v>
      </c>
      <c r="AD124" s="116">
        <f t="shared" si="101"/>
        <v>6.2579999999999997E-2</v>
      </c>
    </row>
    <row r="125" spans="2:31" hidden="1">
      <c r="B125" t="str">
        <f>'1.8 DCF SS'!A20</f>
        <v>Piedmont Natural Gas</v>
      </c>
      <c r="C125">
        <f>+'Value Line'!D24</f>
        <v>0.7</v>
      </c>
      <c r="D125" s="6">
        <f t="shared" si="103"/>
        <v>2.64E-2</v>
      </c>
      <c r="E125" s="6"/>
      <c r="F125" s="6">
        <f t="shared" ref="F125:F127" si="104">F124</f>
        <v>6.5000000000000002E-2</v>
      </c>
      <c r="G125" s="6" t="e">
        <f>#REF!+C125*E125</f>
        <v>#REF!</v>
      </c>
      <c r="H125" s="6" t="e">
        <f>#REF!+$C125*F125</f>
        <v>#REF!</v>
      </c>
      <c r="I125" s="6"/>
      <c r="J125" s="6"/>
      <c r="AB125" s="116">
        <v>6.0299999999999999E-2</v>
      </c>
      <c r="AC125" s="116">
        <f t="shared" si="100"/>
        <v>8.6699999999999999E-2</v>
      </c>
      <c r="AD125" s="116">
        <f t="shared" si="101"/>
        <v>6.8610000000000004E-2</v>
      </c>
    </row>
    <row r="126" spans="2:31" hidden="1">
      <c r="B126" t="str">
        <f>'1.8 DCF SS'!A21</f>
        <v>South Jersey Inds.</v>
      </c>
      <c r="C126">
        <f>+'Value Line'!D25</f>
        <v>0.65</v>
      </c>
      <c r="D126" s="6">
        <f t="shared" si="103"/>
        <v>2.64E-2</v>
      </c>
      <c r="E126" s="6"/>
      <c r="F126" s="6">
        <f t="shared" si="104"/>
        <v>6.5000000000000002E-2</v>
      </c>
      <c r="G126" s="6" t="e">
        <f>#REF!+C126*E126</f>
        <v>#REF!</v>
      </c>
      <c r="H126" s="6" t="e">
        <f>#REF!+$C126*F126</f>
        <v>#REF!</v>
      </c>
      <c r="I126" s="6"/>
      <c r="J126" s="6"/>
      <c r="AB126" s="116">
        <v>6.0299999999999999E-2</v>
      </c>
      <c r="AC126" s="116">
        <f t="shared" si="100"/>
        <v>8.6699999999999999E-2</v>
      </c>
      <c r="AD126" s="116">
        <f t="shared" si="101"/>
        <v>6.5595000000000001E-2</v>
      </c>
    </row>
    <row r="127" spans="2:31" hidden="1">
      <c r="B127" t="str">
        <f>'1.8 DCF SS'!A22</f>
        <v>Southwest Gas</v>
      </c>
      <c r="C127">
        <f>+'Value Line'!D26</f>
        <v>0.75</v>
      </c>
      <c r="D127" s="6">
        <f t="shared" si="103"/>
        <v>2.64E-2</v>
      </c>
      <c r="E127" s="6"/>
      <c r="F127" s="6">
        <f t="shared" si="104"/>
        <v>6.5000000000000002E-2</v>
      </c>
      <c r="G127" s="6" t="e">
        <f>#REF!+C127*E127</f>
        <v>#REF!</v>
      </c>
      <c r="H127" s="6" t="e">
        <f>#REF!+$C127*F127</f>
        <v>#REF!</v>
      </c>
      <c r="I127" s="6"/>
      <c r="J127" s="6"/>
      <c r="AB127" s="116">
        <v>6.0299999999999999E-2</v>
      </c>
      <c r="AC127" s="116">
        <f t="shared" si="100"/>
        <v>8.6699999999999999E-2</v>
      </c>
      <c r="AD127" s="116">
        <f t="shared" si="101"/>
        <v>7.1624999999999994E-2</v>
      </c>
    </row>
    <row r="128" spans="2:31" ht="7.5" hidden="1" customHeight="1">
      <c r="C128" s="3"/>
      <c r="D128" s="11"/>
      <c r="E128" s="11"/>
      <c r="F128" s="11"/>
      <c r="G128" s="11"/>
      <c r="H128" s="11"/>
      <c r="I128" s="21"/>
      <c r="J128" s="21"/>
    </row>
    <row r="129" spans="2:30" hidden="1">
      <c r="B129" s="5" t="s">
        <v>38</v>
      </c>
      <c r="C129">
        <f>AVERAGE(C121:C128)</f>
        <v>0.6785714285714286</v>
      </c>
      <c r="D129" s="6"/>
      <c r="E129" s="6"/>
      <c r="F129" s="6"/>
      <c r="G129" s="6" t="e">
        <f>AVERAGE(G121:G128)</f>
        <v>#REF!</v>
      </c>
      <c r="H129" s="6" t="e">
        <f>AVERAGE(H121:H128)</f>
        <v>#REF!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D129" s="6">
        <f>AVERAGE(AD121:AD128)</f>
        <v>6.7317857142857138E-2</v>
      </c>
    </row>
    <row r="130" spans="2:30" hidden="1">
      <c r="B130" s="5" t="s">
        <v>43</v>
      </c>
      <c r="C130">
        <f>STDEV(C121:C128)</f>
        <v>6.3620901028034832E-2</v>
      </c>
      <c r="D130" s="6"/>
      <c r="E130" s="6"/>
      <c r="F130" s="6"/>
      <c r="G130" s="6" t="e">
        <f>STDEV(G121:G128)</f>
        <v>#REF!</v>
      </c>
      <c r="H130" s="6" t="e">
        <f>STDEV(H121:H128)</f>
        <v>#REF!</v>
      </c>
      <c r="I130" s="6"/>
      <c r="J130" s="6"/>
      <c r="AD130" s="6">
        <f>STDEV(AD121:AD128)</f>
        <v>3.8363403319905212E-3</v>
      </c>
    </row>
    <row r="131" spans="2:30" hidden="1">
      <c r="B131" s="5" t="s">
        <v>21</v>
      </c>
      <c r="C131">
        <f>MEDIAN(C121:C128)</f>
        <v>0.7</v>
      </c>
      <c r="D131" s="6"/>
      <c r="E131" s="6"/>
      <c r="F131" s="6"/>
      <c r="G131" s="6" t="e">
        <f>MEDIAN(G121:G128)</f>
        <v>#REF!</v>
      </c>
      <c r="H131" s="6" t="e">
        <f>MEDIAN(H121:H128)</f>
        <v>#REF!</v>
      </c>
      <c r="I131" s="6"/>
      <c r="J131" s="6"/>
      <c r="AD131" s="6">
        <f>MEDIAN(AD121:AD128)</f>
        <v>6.8610000000000004E-2</v>
      </c>
    </row>
    <row r="132" spans="2:30" hidden="1">
      <c r="B132" s="5"/>
      <c r="D132" s="6"/>
      <c r="E132" s="6"/>
      <c r="F132" s="6"/>
      <c r="G132" s="6"/>
      <c r="H132" s="6"/>
      <c r="I132" s="6"/>
      <c r="J132" s="6"/>
    </row>
    <row r="133" spans="2:30" ht="15.75" hidden="1">
      <c r="B133" s="8" t="s">
        <v>70</v>
      </c>
      <c r="D133" s="9">
        <f>+AD129</f>
        <v>6.7317857142857138E-2</v>
      </c>
      <c r="E133" s="6"/>
      <c r="F133" s="6"/>
      <c r="G133" s="7" t="e">
        <f>G129</f>
        <v>#REF!</v>
      </c>
      <c r="H133" s="7" t="e">
        <f>H129</f>
        <v>#REF!</v>
      </c>
      <c r="I133" s="7"/>
      <c r="J133" s="7"/>
    </row>
    <row r="134" spans="2:30" hidden="1">
      <c r="AD134" s="116">
        <f>+AD129+AD130</f>
        <v>7.1154197474847664E-2</v>
      </c>
    </row>
    <row r="135" spans="2:30" hidden="1">
      <c r="AD135" s="116">
        <f>+AD129-AD130</f>
        <v>6.3481516810866612E-2</v>
      </c>
    </row>
    <row r="136" spans="2:30" hidden="1">
      <c r="B136" s="37" t="s">
        <v>121</v>
      </c>
    </row>
    <row r="137" spans="2:30" hidden="1"/>
    <row r="138" spans="2:30" hidden="1"/>
    <row r="139" spans="2:30" hidden="1">
      <c r="D139" s="273">
        <f>+D10</f>
        <v>41547</v>
      </c>
      <c r="F139" t="str">
        <f>+F10</f>
        <v>Expected</v>
      </c>
    </row>
    <row r="140" spans="2:30" hidden="1">
      <c r="D140" t="s">
        <v>275</v>
      </c>
      <c r="E140" t="str">
        <f>+E11</f>
        <v>Premium</v>
      </c>
      <c r="F140" t="str">
        <f>+F11</f>
        <v>Return</v>
      </c>
    </row>
    <row r="141" spans="2:30" hidden="1"/>
    <row r="142" spans="2:30" hidden="1">
      <c r="B142" t="s">
        <v>5</v>
      </c>
      <c r="C142">
        <v>0.75</v>
      </c>
      <c r="D142" s="6">
        <f>+AC113</f>
        <v>2.64E-2</v>
      </c>
      <c r="E142" s="6">
        <v>6.9500000000000006E-2</v>
      </c>
      <c r="F142" s="6">
        <f t="shared" ref="F142:F150" si="105">D142+$C142*E142</f>
        <v>7.8525000000000011E-2</v>
      </c>
    </row>
    <row r="143" spans="2:30" hidden="1">
      <c r="B143" t="s">
        <v>7</v>
      </c>
      <c r="C143">
        <v>0.85</v>
      </c>
      <c r="D143" s="6">
        <f>+D142</f>
        <v>2.64E-2</v>
      </c>
      <c r="E143" s="6">
        <f>+E142</f>
        <v>6.9500000000000006E-2</v>
      </c>
      <c r="F143" s="6">
        <f t="shared" si="105"/>
        <v>8.5474999999999995E-2</v>
      </c>
    </row>
    <row r="144" spans="2:30" hidden="1">
      <c r="B144" t="s">
        <v>10</v>
      </c>
      <c r="C144">
        <v>0.6</v>
      </c>
      <c r="D144" s="6">
        <f t="shared" ref="D144:D150" si="106">+D143</f>
        <v>2.64E-2</v>
      </c>
      <c r="E144" s="6">
        <f t="shared" ref="E144:E150" si="107">+E143</f>
        <v>6.9500000000000006E-2</v>
      </c>
      <c r="F144" s="6">
        <f t="shared" si="105"/>
        <v>6.8099999999999994E-2</v>
      </c>
    </row>
    <row r="145" spans="2:6" hidden="1">
      <c r="B145" t="s">
        <v>122</v>
      </c>
      <c r="C145">
        <v>0.75</v>
      </c>
      <c r="D145" s="6">
        <f t="shared" si="106"/>
        <v>2.64E-2</v>
      </c>
      <c r="E145" s="6">
        <f t="shared" si="107"/>
        <v>6.9500000000000006E-2</v>
      </c>
      <c r="F145" s="6">
        <f t="shared" si="105"/>
        <v>7.8525000000000011E-2</v>
      </c>
    </row>
    <row r="146" spans="2:6" hidden="1">
      <c r="B146" t="s">
        <v>14</v>
      </c>
      <c r="C146">
        <v>0.6</v>
      </c>
      <c r="D146" s="6">
        <f t="shared" si="106"/>
        <v>2.64E-2</v>
      </c>
      <c r="E146" s="6">
        <f t="shared" si="107"/>
        <v>6.9500000000000006E-2</v>
      </c>
      <c r="F146" s="6">
        <f t="shared" si="105"/>
        <v>6.8099999999999994E-2</v>
      </c>
    </row>
    <row r="147" spans="2:6" hidden="1">
      <c r="B147" t="s">
        <v>16</v>
      </c>
      <c r="C147">
        <v>0.65</v>
      </c>
      <c r="D147" s="6">
        <f t="shared" si="106"/>
        <v>2.64E-2</v>
      </c>
      <c r="E147" s="6">
        <f t="shared" si="107"/>
        <v>6.9500000000000006E-2</v>
      </c>
      <c r="F147" s="6">
        <f t="shared" si="105"/>
        <v>7.1575E-2</v>
      </c>
    </row>
    <row r="148" spans="2:6" hidden="1">
      <c r="B148" t="s">
        <v>18</v>
      </c>
      <c r="C148">
        <v>0.65</v>
      </c>
      <c r="D148" s="6">
        <f t="shared" si="106"/>
        <v>2.64E-2</v>
      </c>
      <c r="E148" s="6">
        <f t="shared" si="107"/>
        <v>6.9500000000000006E-2</v>
      </c>
      <c r="F148" s="6">
        <f t="shared" si="105"/>
        <v>7.1575E-2</v>
      </c>
    </row>
    <row r="149" spans="2:6" hidden="1">
      <c r="B149" t="s">
        <v>138</v>
      </c>
      <c r="C149">
        <v>0.75</v>
      </c>
      <c r="D149" s="6">
        <f t="shared" si="106"/>
        <v>2.64E-2</v>
      </c>
      <c r="E149" s="6">
        <f t="shared" si="107"/>
        <v>6.9500000000000006E-2</v>
      </c>
      <c r="F149" s="6">
        <f t="shared" si="105"/>
        <v>7.8525000000000011E-2</v>
      </c>
    </row>
    <row r="150" spans="2:6" hidden="1">
      <c r="B150" t="s">
        <v>123</v>
      </c>
      <c r="C150">
        <v>0.65</v>
      </c>
      <c r="D150" s="6">
        <f t="shared" si="106"/>
        <v>2.64E-2</v>
      </c>
      <c r="E150" s="6">
        <f t="shared" si="107"/>
        <v>6.9500000000000006E-2</v>
      </c>
      <c r="F150" s="6">
        <f t="shared" si="105"/>
        <v>7.1575E-2</v>
      </c>
    </row>
    <row r="151" spans="2:6" hidden="1">
      <c r="D151" s="6"/>
      <c r="E151" s="6"/>
      <c r="F151" s="6"/>
    </row>
    <row r="152" spans="2:6" hidden="1">
      <c r="B152" t="s">
        <v>38</v>
      </c>
      <c r="C152">
        <v>0.69444444444444453</v>
      </c>
      <c r="D152" s="6"/>
      <c r="E152" s="6"/>
      <c r="F152" s="116">
        <f>AVERAGE(F142:F150)</f>
        <v>7.4663888888888891E-2</v>
      </c>
    </row>
    <row r="153" spans="2:6" hidden="1">
      <c r="B153" t="s">
        <v>21</v>
      </c>
      <c r="C153">
        <v>0.65</v>
      </c>
      <c r="D153" s="6"/>
      <c r="E153" s="6"/>
      <c r="F153" s="116">
        <f>MEDIAN(F142:F150)</f>
        <v>7.1575E-2</v>
      </c>
    </row>
    <row r="154" spans="2:6" hidden="1"/>
    <row r="155" spans="2:6" hidden="1"/>
    <row r="156" spans="2:6" hidden="1"/>
  </sheetData>
  <mergeCells count="31">
    <mergeCell ref="AC109:AE109"/>
    <mergeCell ref="B109:K109"/>
    <mergeCell ref="N70:T70"/>
    <mergeCell ref="N109:W109"/>
    <mergeCell ref="N82:W82"/>
    <mergeCell ref="N83:W83"/>
    <mergeCell ref="N84:W84"/>
    <mergeCell ref="N85:W85"/>
    <mergeCell ref="N3:W3"/>
    <mergeCell ref="N4:W4"/>
    <mergeCell ref="N5:W5"/>
    <mergeCell ref="N6:W6"/>
    <mergeCell ref="B3:K3"/>
    <mergeCell ref="B4:K4"/>
    <mergeCell ref="B5:K5"/>
    <mergeCell ref="B6:K6"/>
    <mergeCell ref="B30:K30"/>
    <mergeCell ref="N30:W30"/>
    <mergeCell ref="B84:K84"/>
    <mergeCell ref="B85:K85"/>
    <mergeCell ref="B43:K43"/>
    <mergeCell ref="B44:K44"/>
    <mergeCell ref="B45:K45"/>
    <mergeCell ref="B82:K82"/>
    <mergeCell ref="B83:K83"/>
    <mergeCell ref="B70:H70"/>
    <mergeCell ref="N42:W42"/>
    <mergeCell ref="N43:W43"/>
    <mergeCell ref="N44:W44"/>
    <mergeCell ref="N45:W45"/>
    <mergeCell ref="B42:K42"/>
  </mergeCells>
  <phoneticPr fontId="3" type="noConversion"/>
  <printOptions horizontalCentered="1"/>
  <pageMargins left="0.75" right="0.75" top="1" bottom="1" header="0.5" footer="0.5"/>
  <pageSetup scale="97" fitToWidth="4" fitToHeight="4" orientation="landscape" r:id="rId1"/>
  <headerFooter alignWithMargins="0"/>
  <colBreaks count="1" manualBreakCount="1">
    <brk id="12" max="1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"/>
  <sheetViews>
    <sheetView zoomScale="110" zoomScaleNormal="110" workbookViewId="0">
      <selection activeCell="V10" sqref="V10"/>
    </sheetView>
  </sheetViews>
  <sheetFormatPr defaultRowHeight="12.75"/>
  <cols>
    <col min="1" max="1" width="24.1640625" customWidth="1"/>
    <col min="3" max="3" width="10.5" hidden="1" customWidth="1"/>
    <col min="4" max="4" width="9.83203125" hidden="1" customWidth="1"/>
    <col min="5" max="5" width="10.5" hidden="1" customWidth="1"/>
    <col min="6" max="6" width="9.33203125" hidden="1" customWidth="1"/>
    <col min="7" max="17" width="10.33203125" customWidth="1"/>
    <col min="18" max="19" width="9.33203125" hidden="1" customWidth="1"/>
    <col min="20" max="20" width="0" hidden="1" customWidth="1"/>
  </cols>
  <sheetData>
    <row r="1" spans="1:20" ht="15.75">
      <c r="Q1" s="8" t="s">
        <v>346</v>
      </c>
    </row>
    <row r="2" spans="1:20" ht="15.75">
      <c r="Q2" s="8" t="s">
        <v>425</v>
      </c>
    </row>
    <row r="3" spans="1:20" ht="20.25" customHeight="1">
      <c r="A3" s="856" t="s">
        <v>90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</row>
    <row r="4" spans="1:20" ht="15.75" customHeight="1">
      <c r="A4" s="857" t="s">
        <v>216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</row>
    <row r="5" spans="1:20" ht="15.75" customHeight="1">
      <c r="A5" s="849">
        <f>+'1.6 Comps'!B5</f>
        <v>41547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</row>
    <row r="7" spans="1:20" ht="15">
      <c r="A7" s="858" t="s">
        <v>215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326"/>
      <c r="S7" s="326"/>
    </row>
    <row r="8" spans="1:20" ht="15">
      <c r="A8" s="327"/>
      <c r="B8" s="328" t="s">
        <v>20</v>
      </c>
      <c r="C8" s="327"/>
      <c r="D8" s="328"/>
      <c r="E8" s="328"/>
      <c r="F8" s="328"/>
      <c r="G8" s="328"/>
      <c r="H8" s="328"/>
      <c r="I8" s="328"/>
      <c r="J8" s="328"/>
      <c r="K8" s="328"/>
      <c r="L8" s="327"/>
      <c r="M8" s="327"/>
      <c r="N8" s="327"/>
      <c r="O8" s="327"/>
      <c r="P8" s="499" t="s">
        <v>339</v>
      </c>
      <c r="Q8" s="500" t="s">
        <v>396</v>
      </c>
      <c r="R8" s="653" t="s">
        <v>363</v>
      </c>
      <c r="S8" s="500" t="str">
        <f>+R8</f>
        <v>'10 Yr</v>
      </c>
      <c r="T8" t="s">
        <v>300</v>
      </c>
    </row>
    <row r="9" spans="1:20" ht="14.25">
      <c r="A9" s="329" t="s">
        <v>3</v>
      </c>
      <c r="B9" s="329" t="s">
        <v>73</v>
      </c>
      <c r="C9" s="330">
        <v>2000</v>
      </c>
      <c r="D9" s="330">
        <v>2001</v>
      </c>
      <c r="E9" s="330">
        <v>2002</v>
      </c>
      <c r="F9" s="330">
        <v>2003</v>
      </c>
      <c r="G9" s="330">
        <v>2004</v>
      </c>
      <c r="H9" s="330">
        <v>2005</v>
      </c>
      <c r="I9" s="330">
        <v>2006</v>
      </c>
      <c r="J9" s="330">
        <v>2007</v>
      </c>
      <c r="K9" s="330">
        <v>2008</v>
      </c>
      <c r="L9" s="330">
        <v>2009</v>
      </c>
      <c r="M9" s="330">
        <f>+L9+1</f>
        <v>2010</v>
      </c>
      <c r="N9" s="330">
        <f t="shared" ref="N9:O9" si="0">+M9+1</f>
        <v>2011</v>
      </c>
      <c r="O9" s="330">
        <f t="shared" si="0"/>
        <v>2012</v>
      </c>
      <c r="P9" s="501" t="s">
        <v>38</v>
      </c>
      <c r="Q9" s="654" t="str">
        <f>+P9</f>
        <v>Average</v>
      </c>
      <c r="R9" s="502" t="s">
        <v>38</v>
      </c>
      <c r="S9" s="502" t="s">
        <v>21</v>
      </c>
    </row>
    <row r="10" spans="1:20">
      <c r="A10" s="94" t="s">
        <v>5</v>
      </c>
      <c r="B10" t="s">
        <v>182</v>
      </c>
      <c r="C10" s="370">
        <v>11.1</v>
      </c>
      <c r="D10" s="370">
        <v>13.8</v>
      </c>
      <c r="E10" s="370">
        <v>14.7</v>
      </c>
      <c r="F10" s="370">
        <v>16.399999999999999</v>
      </c>
      <c r="G10" s="370">
        <v>13.1</v>
      </c>
      <c r="H10" s="370">
        <v>13.4</v>
      </c>
      <c r="I10" s="370">
        <v>13.6</v>
      </c>
      <c r="J10" s="370">
        <v>12.9</v>
      </c>
      <c r="K10" s="370">
        <v>13.1</v>
      </c>
      <c r="L10" s="370">
        <f>+'Comp Detail'!BE13*100</f>
        <v>12.204507971412864</v>
      </c>
      <c r="M10" s="379">
        <f>+'Comp Detail'!BF13*100</f>
        <v>12.745098039215685</v>
      </c>
      <c r="N10" s="379">
        <f>+'Comp Detail'!BG13*100</f>
        <v>5.1512428870919438</v>
      </c>
      <c r="O10" s="379">
        <f>+'Comp Detail'!BH13*100</f>
        <v>7.8893740902474532</v>
      </c>
      <c r="P10" s="503">
        <f>AVERAGE(M10:O10)</f>
        <v>8.5952383388516953</v>
      </c>
      <c r="Q10" s="344">
        <f>AVERAGE(K10:O10)</f>
        <v>10.21804459759359</v>
      </c>
      <c r="R10" s="344">
        <f>AVERAGE(F10:O10)</f>
        <v>12.049022298796796</v>
      </c>
      <c r="S10" s="344">
        <f>MEDIAN(F10:O10)</f>
        <v>13</v>
      </c>
      <c r="T10">
        <f t="shared" ref="T10:T16" si="1">STDEV(F10:O10)</f>
        <v>3.1882715990217489</v>
      </c>
    </row>
    <row r="11" spans="1:20">
      <c r="A11" s="94" t="s">
        <v>7</v>
      </c>
      <c r="B11" t="s">
        <v>8</v>
      </c>
      <c r="C11" s="370">
        <v>9.3000000000000007</v>
      </c>
      <c r="D11" s="370">
        <v>11.5</v>
      </c>
      <c r="E11" s="370">
        <v>10.3</v>
      </c>
      <c r="F11" s="370">
        <v>11.1</v>
      </c>
      <c r="G11" s="370">
        <v>8.6999999999999993</v>
      </c>
      <c r="H11" s="370">
        <v>9.9</v>
      </c>
      <c r="I11" s="370">
        <v>9.1</v>
      </c>
      <c r="J11" s="370">
        <v>9.3000000000000007</v>
      </c>
      <c r="K11" s="370">
        <v>9</v>
      </c>
      <c r="L11" s="370">
        <f>+'Comp Detail'!BE14*100</f>
        <v>8.7734941961933348</v>
      </c>
      <c r="M11" s="379">
        <f>+'Comp Detail'!BF14*100</f>
        <v>9.4493166381129186</v>
      </c>
      <c r="N11" s="379">
        <f>+'Comp Detail'!BG14*100</f>
        <v>9.2045343197567124</v>
      </c>
      <c r="O11" s="379">
        <f>+'Comp Detail'!BH14*100</f>
        <v>9.1858702134540611</v>
      </c>
      <c r="P11" s="503">
        <f t="shared" ref="P11:P16" si="2">AVERAGE(M11:O11)</f>
        <v>9.2799070571078968</v>
      </c>
      <c r="Q11" s="344">
        <f>AVERAGE(K11:O11)</f>
        <v>9.1226430735034043</v>
      </c>
      <c r="R11" s="344">
        <f t="shared" ref="R11:R16" si="3">AVERAGE(F11:O11)</f>
        <v>9.3713215367517044</v>
      </c>
      <c r="S11" s="344">
        <f t="shared" ref="S11:S16" si="4">MEDIAN(F11:O11)</f>
        <v>9.1952022666053868</v>
      </c>
      <c r="T11">
        <f t="shared" si="1"/>
        <v>0.69608233134485797</v>
      </c>
    </row>
    <row r="12" spans="1:20">
      <c r="A12" s="94" t="s">
        <v>10</v>
      </c>
      <c r="B12" t="s">
        <v>11</v>
      </c>
      <c r="C12" s="370">
        <v>9.1999999999999993</v>
      </c>
      <c r="D12" s="370">
        <v>10.6</v>
      </c>
      <c r="E12" s="370">
        <v>7.8</v>
      </c>
      <c r="F12" s="370">
        <v>11.8</v>
      </c>
      <c r="G12" s="370">
        <v>11</v>
      </c>
      <c r="H12" s="370">
        <v>11.1</v>
      </c>
      <c r="I12" s="370">
        <v>12.7</v>
      </c>
      <c r="J12" s="370">
        <v>12</v>
      </c>
      <c r="K12" s="370">
        <v>12.6</v>
      </c>
      <c r="L12" s="370">
        <f>+'Comp Detail'!BE15*100</f>
        <v>12.42616482602557</v>
      </c>
      <c r="M12" s="379">
        <f>+'Comp Detail'!BF15*100</f>
        <v>10.090052410764464</v>
      </c>
      <c r="N12" s="379">
        <f>+'Comp Detail'!BG15*100</f>
        <v>11.132312747784438</v>
      </c>
      <c r="O12" s="379">
        <f>+'Comp Detail'!BH15*100</f>
        <v>10.412043662765475</v>
      </c>
      <c r="P12" s="503">
        <f t="shared" si="2"/>
        <v>10.544802940438126</v>
      </c>
      <c r="Q12" s="344">
        <f t="shared" ref="Q12:Q16" si="5">AVERAGE(K12:O12)</f>
        <v>11.332114729467991</v>
      </c>
      <c r="R12" s="344">
        <f t="shared" si="3"/>
        <v>11.526057364733992</v>
      </c>
      <c r="S12" s="344">
        <f t="shared" si="4"/>
        <v>11.466156373892218</v>
      </c>
      <c r="T12">
        <f t="shared" si="1"/>
        <v>0.91638095753289184</v>
      </c>
    </row>
    <row r="13" spans="1:20">
      <c r="A13" s="384" t="s">
        <v>14</v>
      </c>
      <c r="B13" s="384" t="s">
        <v>15</v>
      </c>
      <c r="C13" s="466">
        <v>10.3</v>
      </c>
      <c r="D13" s="466">
        <v>10.4</v>
      </c>
      <c r="E13" s="466">
        <v>8.6999999999999993</v>
      </c>
      <c r="F13" s="466">
        <v>9.1999999999999993</v>
      </c>
      <c r="G13" s="466">
        <v>9.4</v>
      </c>
      <c r="H13" s="466">
        <v>10.1</v>
      </c>
      <c r="I13" s="466">
        <v>10.7</v>
      </c>
      <c r="J13" s="466">
        <v>12.5</v>
      </c>
      <c r="K13" s="466">
        <v>11.4</v>
      </c>
      <c r="L13" s="467">
        <f>+'Comp Detail'!BE16*100</f>
        <v>11.380310708144915</v>
      </c>
      <c r="M13" s="467">
        <f>+'Comp Detail'!BF16*100</f>
        <v>10.484330566540807</v>
      </c>
      <c r="N13" s="467">
        <f>+'Comp Detail'!BG16*100</f>
        <v>8.9431872893596527</v>
      </c>
      <c r="O13" s="467">
        <f>+'Comp Detail'!BH16*100</f>
        <v>8.1653895527213631</v>
      </c>
      <c r="P13" s="504">
        <f t="shared" si="2"/>
        <v>9.1976358028739416</v>
      </c>
      <c r="Q13" s="505">
        <f t="shared" si="5"/>
        <v>10.074643623353348</v>
      </c>
      <c r="R13" s="505">
        <f t="shared" si="3"/>
        <v>10.227321811676674</v>
      </c>
      <c r="S13" s="505">
        <f t="shared" si="4"/>
        <v>10.292165283270403</v>
      </c>
      <c r="T13">
        <f t="shared" si="1"/>
        <v>1.32563319405819</v>
      </c>
    </row>
    <row r="14" spans="1:20">
      <c r="A14" s="384" t="s">
        <v>16</v>
      </c>
      <c r="B14" s="384" t="s">
        <v>17</v>
      </c>
      <c r="C14" s="466">
        <v>12.6</v>
      </c>
      <c r="D14" s="466">
        <v>12</v>
      </c>
      <c r="E14" s="466">
        <v>10.8</v>
      </c>
      <c r="F14" s="466">
        <v>12.2</v>
      </c>
      <c r="G14" s="466">
        <v>12.8</v>
      </c>
      <c r="H14" s="466">
        <v>11.6</v>
      </c>
      <c r="I14" s="466">
        <v>11</v>
      </c>
      <c r="J14" s="466">
        <v>11.9</v>
      </c>
      <c r="K14" s="466">
        <v>12.5</v>
      </c>
      <c r="L14" s="466">
        <f>+'Comp Detail'!BE17*100</f>
        <v>13.236086504847256</v>
      </c>
      <c r="M14" s="466">
        <f>+'Comp Detail'!BF17*100</f>
        <v>14.7111585060641</v>
      </c>
      <c r="N14" s="466">
        <f>+'Comp Detail'!BG17*100</f>
        <v>11.391852730852833</v>
      </c>
      <c r="O14" s="466">
        <f>+'Comp Detail'!BH17*100</f>
        <v>11.669574802045563</v>
      </c>
      <c r="P14" s="504">
        <f t="shared" si="2"/>
        <v>12.5908620129875</v>
      </c>
      <c r="Q14" s="505">
        <f t="shared" si="5"/>
        <v>12.70173450876195</v>
      </c>
      <c r="R14" s="505">
        <f t="shared" si="3"/>
        <v>12.300867254380973</v>
      </c>
      <c r="S14" s="505">
        <f t="shared" si="4"/>
        <v>12.05</v>
      </c>
      <c r="T14">
        <f t="shared" si="1"/>
        <v>1.0828000306456838</v>
      </c>
    </row>
    <row r="15" spans="1:20">
      <c r="A15" s="94" t="s">
        <v>18</v>
      </c>
      <c r="B15" t="s">
        <v>19</v>
      </c>
      <c r="C15" s="370">
        <v>12.7</v>
      </c>
      <c r="D15" s="370">
        <v>12.7</v>
      </c>
      <c r="E15" s="370">
        <v>12.8</v>
      </c>
      <c r="F15" s="370">
        <v>12.9</v>
      </c>
      <c r="G15" s="370">
        <v>13.4</v>
      </c>
      <c r="H15" s="370">
        <v>13.2</v>
      </c>
      <c r="I15" s="370">
        <v>17.3</v>
      </c>
      <c r="J15" s="370">
        <v>13.6</v>
      </c>
      <c r="K15" s="370">
        <v>15.5</v>
      </c>
      <c r="L15" s="370">
        <f>+'Comp Detail'!BE18*100</f>
        <v>10.627584636516554</v>
      </c>
      <c r="M15" s="379">
        <f>+'Comp Detail'!BF18*100</f>
        <v>11.691343753782252</v>
      </c>
      <c r="N15" s="379">
        <f>+'Comp Detail'!BG18*100</f>
        <v>14.306841378337932</v>
      </c>
      <c r="O15" s="379">
        <f>+'Comp Detail'!BH18*100</f>
        <v>12.443121157706862</v>
      </c>
      <c r="P15" s="503">
        <f t="shared" si="2"/>
        <v>12.813768763275682</v>
      </c>
      <c r="Q15" s="344">
        <f t="shared" si="5"/>
        <v>12.913778185268722</v>
      </c>
      <c r="R15" s="344">
        <f t="shared" si="3"/>
        <v>13.496889092634358</v>
      </c>
      <c r="S15" s="344">
        <f t="shared" si="4"/>
        <v>13.3</v>
      </c>
      <c r="T15">
        <f t="shared" si="1"/>
        <v>1.8914984229733827</v>
      </c>
    </row>
    <row r="16" spans="1:20">
      <c r="A16" s="94" t="s">
        <v>138</v>
      </c>
      <c r="B16" t="s">
        <v>139</v>
      </c>
      <c r="C16" s="370">
        <v>7.4</v>
      </c>
      <c r="D16" s="370">
        <v>6.8</v>
      </c>
      <c r="E16" s="370">
        <v>7.6</v>
      </c>
      <c r="F16" s="370">
        <v>6.3</v>
      </c>
      <c r="G16" s="318">
        <v>9.3000000000000007</v>
      </c>
      <c r="H16" s="318">
        <v>6</v>
      </c>
      <c r="I16" s="318">
        <v>10.1</v>
      </c>
      <c r="J16" s="318">
        <v>8.8000000000000007</v>
      </c>
      <c r="K16" s="318">
        <v>6</v>
      </c>
      <c r="L16" s="318">
        <f>+'Comp Detail'!BE19*100</f>
        <v>7.9048277539139411</v>
      </c>
      <c r="M16" s="318">
        <f>+'Comp Detail'!BF19*100</f>
        <v>8.8648975660584952</v>
      </c>
      <c r="N16" s="318">
        <f>+'Comp Detail'!BG19*100</f>
        <v>9.1232793292577909</v>
      </c>
      <c r="O16" s="181">
        <f>+'Comp Detail'!BH19*100</f>
        <v>10.136736930434743</v>
      </c>
      <c r="P16" s="180">
        <f t="shared" si="2"/>
        <v>9.3749712752503438</v>
      </c>
      <c r="Q16" s="344">
        <f t="shared" si="5"/>
        <v>8.405948315932994</v>
      </c>
      <c r="R16" s="181">
        <f t="shared" si="3"/>
        <v>8.2529741579664968</v>
      </c>
      <c r="S16" s="181">
        <f t="shared" si="4"/>
        <v>8.832448783029248</v>
      </c>
      <c r="T16">
        <f t="shared" si="1"/>
        <v>1.6184542512887561</v>
      </c>
    </row>
    <row r="17" spans="1:20">
      <c r="A17" s="94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4"/>
      <c r="N17" s="374"/>
      <c r="O17" s="374"/>
      <c r="P17" s="641"/>
      <c r="Q17" s="643"/>
      <c r="R17" s="643"/>
      <c r="S17" s="522"/>
    </row>
    <row r="18" spans="1:20" ht="14.25">
      <c r="A18" s="323" t="s">
        <v>398</v>
      </c>
      <c r="B18" s="306"/>
      <c r="C18" s="371">
        <f t="shared" ref="C18:S18" si="6">AVERAGE(C10:C16)</f>
        <v>10.371428571428572</v>
      </c>
      <c r="D18" s="371">
        <f t="shared" si="6"/>
        <v>11.114285714285714</v>
      </c>
      <c r="E18" s="371">
        <f t="shared" si="6"/>
        <v>10.385714285714284</v>
      </c>
      <c r="F18" s="371">
        <f t="shared" si="6"/>
        <v>11.414285714285715</v>
      </c>
      <c r="G18" s="371">
        <f t="shared" si="6"/>
        <v>11.1</v>
      </c>
      <c r="H18" s="371">
        <f t="shared" si="6"/>
        <v>10.757142857142856</v>
      </c>
      <c r="I18" s="371">
        <f t="shared" si="6"/>
        <v>12.071428571428569</v>
      </c>
      <c r="J18" s="371">
        <f t="shared" si="6"/>
        <v>11.571428571428571</v>
      </c>
      <c r="K18" s="371">
        <f t="shared" si="6"/>
        <v>11.442857142857141</v>
      </c>
      <c r="L18" s="371">
        <f t="shared" si="6"/>
        <v>10.936139513864918</v>
      </c>
      <c r="M18" s="380">
        <f t="shared" si="6"/>
        <v>11.148028211505533</v>
      </c>
      <c r="N18" s="380">
        <f t="shared" si="6"/>
        <v>9.8933215260630458</v>
      </c>
      <c r="O18" s="380">
        <f t="shared" si="6"/>
        <v>9.9860157727679315</v>
      </c>
      <c r="P18" s="506">
        <f t="shared" si="6"/>
        <v>10.342455170112169</v>
      </c>
      <c r="Q18" s="507">
        <f t="shared" si="6"/>
        <v>10.681272433411712</v>
      </c>
      <c r="R18" s="507">
        <f t="shared" si="6"/>
        <v>11.032064788134429</v>
      </c>
      <c r="S18" s="507">
        <f t="shared" si="6"/>
        <v>11.162281815256749</v>
      </c>
    </row>
    <row r="19" spans="1:20">
      <c r="A19" s="94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4"/>
      <c r="N19" s="374"/>
      <c r="O19" s="374"/>
      <c r="P19" s="503"/>
      <c r="Q19" s="344"/>
      <c r="R19" s="344"/>
      <c r="S19" s="344"/>
    </row>
    <row r="20" spans="1:20" ht="14.25">
      <c r="A20" s="468" t="s">
        <v>79</v>
      </c>
      <c r="B20" s="468"/>
      <c r="C20" s="469">
        <v>9.16</v>
      </c>
      <c r="D20" s="469">
        <v>9.08</v>
      </c>
      <c r="E20" s="469">
        <v>10.46</v>
      </c>
      <c r="F20" s="469">
        <v>6.48</v>
      </c>
      <c r="G20" s="469">
        <v>10.08</v>
      </c>
      <c r="H20" s="469">
        <v>11.36</v>
      </c>
      <c r="I20" s="469">
        <v>11.42</v>
      </c>
      <c r="J20" s="469">
        <v>11.16</v>
      </c>
      <c r="K20" s="469">
        <v>11.09</v>
      </c>
      <c r="L20" s="470">
        <v>10.617660000000001</v>
      </c>
      <c r="M20" s="470">
        <v>10.77961</v>
      </c>
      <c r="N20" s="470">
        <v>10.623340000000001</v>
      </c>
      <c r="O20" s="470">
        <v>10.239100000000001</v>
      </c>
      <c r="P20" s="508">
        <f>AVERAGE(M20:O20)</f>
        <v>10.54735</v>
      </c>
      <c r="Q20" s="509">
        <f>AVERAGE(K20:O20)</f>
        <v>10.669942000000001</v>
      </c>
      <c r="R20" s="509">
        <f>AVERAGE(F20:O20)</f>
        <v>10.384971000000002</v>
      </c>
      <c r="S20" s="509">
        <f>MEDIAN(F20:O20)</f>
        <v>10.701475</v>
      </c>
      <c r="T20">
        <f>STDEV(F20:O20)</f>
        <v>1.4433560615951042</v>
      </c>
    </row>
    <row r="21" spans="1:20"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4"/>
      <c r="N21" s="374"/>
      <c r="O21" s="374"/>
      <c r="P21" s="503"/>
      <c r="Q21" s="344"/>
      <c r="R21" s="344"/>
      <c r="S21" s="344"/>
    </row>
    <row r="22" spans="1:20">
      <c r="A22" s="255" t="s">
        <v>399</v>
      </c>
      <c r="C22" s="370">
        <f t="shared" ref="C22:S22" si="7">+C20-C18</f>
        <v>-1.2114285714285717</v>
      </c>
      <c r="D22" s="370">
        <f t="shared" ref="D22:Q22" si="8">+D20-D18</f>
        <v>-2.0342857142857138</v>
      </c>
      <c r="E22" s="370">
        <f t="shared" si="8"/>
        <v>7.4285714285716509E-2</v>
      </c>
      <c r="F22" s="370">
        <f t="shared" si="8"/>
        <v>-4.9342857142857142</v>
      </c>
      <c r="G22" s="370">
        <f t="shared" si="8"/>
        <v>-1.0199999999999996</v>
      </c>
      <c r="H22" s="370">
        <f t="shared" si="8"/>
        <v>0.6028571428571432</v>
      </c>
      <c r="I22" s="370">
        <f t="shared" si="8"/>
        <v>-0.65142857142856947</v>
      </c>
      <c r="J22" s="370">
        <f t="shared" si="8"/>
        <v>-0.41142857142857103</v>
      </c>
      <c r="K22" s="370">
        <f t="shared" si="8"/>
        <v>-0.35285714285714143</v>
      </c>
      <c r="L22" s="372">
        <f t="shared" si="8"/>
        <v>-0.3184795138649168</v>
      </c>
      <c r="M22" s="374">
        <f t="shared" si="8"/>
        <v>-0.36841821150553322</v>
      </c>
      <c r="N22" s="374">
        <f t="shared" si="8"/>
        <v>0.73001847393695485</v>
      </c>
      <c r="O22" s="374">
        <f t="shared" si="8"/>
        <v>0.25308422723206903</v>
      </c>
      <c r="P22" s="503">
        <f t="shared" si="8"/>
        <v>0.20489482988783081</v>
      </c>
      <c r="Q22" s="344">
        <f t="shared" si="8"/>
        <v>-1.1330433411711027E-2</v>
      </c>
      <c r="R22" s="344">
        <f>+R20-R18</f>
        <v>-0.64709378813442697</v>
      </c>
      <c r="S22" s="344">
        <f t="shared" si="7"/>
        <v>-0.46080681525674905</v>
      </c>
    </row>
    <row r="23" spans="1:20"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4"/>
      <c r="N23" s="374"/>
      <c r="O23" s="374"/>
      <c r="P23" s="180"/>
      <c r="Q23" s="181"/>
      <c r="R23" s="181"/>
      <c r="S23" s="181"/>
    </row>
  </sheetData>
  <mergeCells count="4">
    <mergeCell ref="A3:S3"/>
    <mergeCell ref="A4:S4"/>
    <mergeCell ref="A5:S5"/>
    <mergeCell ref="A7:Q7"/>
  </mergeCells>
  <pageMargins left="0.7" right="0.7" top="0.75" bottom="0.75" header="0.3" footer="0.3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Normal="100" zoomScaleSheetLayoutView="100" workbookViewId="0">
      <selection activeCell="J17" sqref="J17"/>
    </sheetView>
  </sheetViews>
  <sheetFormatPr defaultRowHeight="12.75"/>
  <cols>
    <col min="1" max="1" width="5.5" style="6" customWidth="1"/>
    <col min="2" max="2" width="16.1640625" style="6" customWidth="1"/>
    <col min="3" max="3" width="14.83203125" style="6" customWidth="1"/>
    <col min="4" max="4" width="10.1640625" bestFit="1" customWidth="1"/>
    <col min="5" max="5" width="9.5" bestFit="1" customWidth="1"/>
  </cols>
  <sheetData>
    <row r="2" spans="2:6">
      <c r="B2"/>
      <c r="D2" s="6"/>
      <c r="F2" s="88"/>
    </row>
    <row r="3" spans="2:6">
      <c r="B3"/>
      <c r="D3" s="6"/>
      <c r="E3" s="6"/>
    </row>
    <row r="4" spans="2:6" ht="18.75">
      <c r="B4" s="89" t="s">
        <v>140</v>
      </c>
      <c r="C4" s="33"/>
      <c r="D4" s="33"/>
      <c r="E4" s="33"/>
    </row>
    <row r="5" spans="2:6">
      <c r="B5" s="29" t="s">
        <v>346</v>
      </c>
      <c r="C5" s="33"/>
      <c r="D5" s="33"/>
      <c r="E5" s="33"/>
    </row>
    <row r="6" spans="2:6">
      <c r="B6" s="29" t="s">
        <v>347</v>
      </c>
      <c r="C6" s="33"/>
      <c r="D6" s="33"/>
      <c r="E6" s="33"/>
    </row>
    <row r="7" spans="2:6">
      <c r="B7"/>
      <c r="D7" s="6"/>
      <c r="E7" s="6"/>
    </row>
    <row r="8" spans="2:6" ht="20.25">
      <c r="B8" s="90"/>
      <c r="C8" s="33"/>
      <c r="D8" s="33"/>
      <c r="E8" s="33"/>
    </row>
    <row r="9" spans="2:6">
      <c r="B9" s="91"/>
      <c r="D9" s="6"/>
      <c r="E9" s="6"/>
    </row>
    <row r="10" spans="2:6">
      <c r="B10"/>
      <c r="C10" s="63"/>
      <c r="D10" s="63" t="s">
        <v>141</v>
      </c>
      <c r="E10" s="63" t="s">
        <v>142</v>
      </c>
    </row>
    <row r="11" spans="2:6">
      <c r="B11"/>
      <c r="C11" s="63" t="s">
        <v>143</v>
      </c>
      <c r="D11" s="63" t="s">
        <v>144</v>
      </c>
      <c r="E11" s="63" t="s">
        <v>143</v>
      </c>
    </row>
    <row r="12" spans="2:6" ht="7.5" customHeight="1">
      <c r="B12"/>
      <c r="C12" s="11"/>
      <c r="D12" s="11"/>
      <c r="E12" s="11"/>
    </row>
    <row r="13" spans="2:6">
      <c r="B13" t="s">
        <v>145</v>
      </c>
      <c r="C13" s="6">
        <f>+'1.3 Summary'!S59</f>
        <v>9.4500000000000001E-2</v>
      </c>
      <c r="D13" s="6">
        <f>1-D15</f>
        <v>0.52069999999999994</v>
      </c>
      <c r="E13" s="6">
        <f>C13*D13</f>
        <v>4.9206149999999997E-2</v>
      </c>
    </row>
    <row r="14" spans="2:6" hidden="1">
      <c r="B14" t="s">
        <v>146</v>
      </c>
      <c r="C14" s="6">
        <v>0</v>
      </c>
      <c r="D14" s="6">
        <v>0</v>
      </c>
      <c r="E14" s="6">
        <f>C14*D14</f>
        <v>0</v>
      </c>
    </row>
    <row r="15" spans="2:6">
      <c r="B15" t="s">
        <v>147</v>
      </c>
      <c r="C15" s="102">
        <v>5.2499999999999998E-2</v>
      </c>
      <c r="D15" s="6">
        <v>0.4793</v>
      </c>
      <c r="E15" s="6">
        <f>C15*D15</f>
        <v>2.5163249999999998E-2</v>
      </c>
    </row>
    <row r="16" spans="2:6" ht="7.5" customHeight="1">
      <c r="B16"/>
      <c r="C16" s="11"/>
      <c r="D16" s="11"/>
      <c r="E16" s="11"/>
    </row>
    <row r="17" spans="2:5">
      <c r="B17" t="s">
        <v>148</v>
      </c>
      <c r="D17" s="6">
        <f>SUM(D13:D16)</f>
        <v>1</v>
      </c>
      <c r="E17" s="6">
        <f>SUM(E13:E16)</f>
        <v>7.4369400000000002E-2</v>
      </c>
    </row>
  </sheetData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="160" zoomScaleNormal="160" zoomScaleSheetLayoutView="100" workbookViewId="0">
      <selection activeCell="L5" sqref="L5"/>
    </sheetView>
  </sheetViews>
  <sheetFormatPr defaultRowHeight="12.75"/>
  <cols>
    <col min="1" max="1" width="22" customWidth="1"/>
    <col min="3" max="3" width="5.33203125" customWidth="1"/>
    <col min="4" max="4" width="0" hidden="1" customWidth="1"/>
    <col min="5" max="5" width="10.33203125" customWidth="1"/>
    <col min="6" max="7" width="10.6640625" bestFit="1" customWidth="1"/>
    <col min="8" max="8" width="5.33203125" customWidth="1"/>
  </cols>
  <sheetData>
    <row r="1" spans="1:11">
      <c r="J1" s="87"/>
    </row>
    <row r="3" spans="1:11" ht="20.25">
      <c r="A3" s="111" t="s">
        <v>90</v>
      </c>
      <c r="B3" s="111"/>
      <c r="C3" s="111"/>
      <c r="D3" s="111"/>
      <c r="E3" s="29"/>
      <c r="F3" s="111"/>
      <c r="G3" s="111"/>
      <c r="H3" s="111"/>
      <c r="I3" s="33"/>
      <c r="J3" s="29"/>
    </row>
    <row r="4" spans="1:11" ht="15.75">
      <c r="A4" s="112" t="s">
        <v>171</v>
      </c>
      <c r="B4" s="112"/>
      <c r="C4" s="112"/>
      <c r="D4" s="112"/>
      <c r="E4" s="29"/>
      <c r="F4" s="112"/>
      <c r="G4" s="112"/>
      <c r="H4" s="112"/>
      <c r="I4" s="112"/>
      <c r="J4" s="29"/>
    </row>
    <row r="5" spans="1:11" ht="15.75">
      <c r="A5" s="530">
        <v>41547</v>
      </c>
      <c r="B5" s="530"/>
      <c r="C5" s="530"/>
      <c r="D5" s="530"/>
      <c r="E5" s="531"/>
      <c r="F5" s="532"/>
      <c r="G5" s="532"/>
      <c r="H5" s="33"/>
      <c r="I5" s="33"/>
      <c r="J5" s="29"/>
    </row>
    <row r="6" spans="1:11">
      <c r="A6" s="38"/>
      <c r="B6" s="106"/>
      <c r="C6" s="106"/>
      <c r="D6" s="106"/>
      <c r="E6" s="106"/>
      <c r="F6" s="106"/>
      <c r="G6" s="106"/>
      <c r="H6" s="106"/>
      <c r="I6" s="106"/>
      <c r="J6" s="106"/>
    </row>
    <row r="7" spans="1:11">
      <c r="B7" s="289"/>
      <c r="C7" s="289"/>
      <c r="D7" s="289"/>
      <c r="E7" s="289"/>
      <c r="F7" s="859"/>
      <c r="G7" s="859"/>
      <c r="H7" s="289"/>
      <c r="I7" s="289"/>
      <c r="J7" s="289"/>
    </row>
    <row r="8" spans="1:11">
      <c r="B8" s="63"/>
      <c r="C8" s="63"/>
      <c r="D8" s="63"/>
      <c r="E8" s="63"/>
      <c r="F8" s="63"/>
      <c r="G8" s="63"/>
      <c r="H8" s="63"/>
      <c r="I8" s="63"/>
      <c r="J8" s="63"/>
    </row>
    <row r="9" spans="1:11">
      <c r="B9" s="63" t="s">
        <v>52</v>
      </c>
      <c r="C9" s="63"/>
      <c r="D9" s="63"/>
      <c r="E9" s="65"/>
      <c r="F9" s="63"/>
      <c r="G9" s="63" t="s">
        <v>31</v>
      </c>
      <c r="H9" s="63"/>
      <c r="I9" s="63"/>
      <c r="J9" s="63"/>
    </row>
    <row r="10" spans="1:11">
      <c r="A10" t="s">
        <v>3</v>
      </c>
      <c r="B10" s="63" t="s">
        <v>29</v>
      </c>
      <c r="C10" s="63"/>
      <c r="D10" s="63" t="s">
        <v>55</v>
      </c>
      <c r="E10" s="63" t="s">
        <v>33</v>
      </c>
      <c r="F10" s="63" t="s">
        <v>30</v>
      </c>
      <c r="G10" s="63" t="s">
        <v>32</v>
      </c>
      <c r="H10" s="63"/>
      <c r="I10" s="63" t="s">
        <v>38</v>
      </c>
      <c r="J10" s="63" t="s">
        <v>21</v>
      </c>
      <c r="K10" s="63"/>
    </row>
    <row r="11" spans="1:11">
      <c r="A11" s="3"/>
      <c r="B11" s="11"/>
      <c r="C11" s="11"/>
      <c r="D11" s="11"/>
      <c r="E11" s="11"/>
      <c r="F11" s="11"/>
      <c r="G11" s="11"/>
      <c r="H11" s="11"/>
      <c r="I11" s="11"/>
      <c r="J11" s="11"/>
    </row>
    <row r="12" spans="1:11">
      <c r="A12" s="36" t="s">
        <v>5</v>
      </c>
      <c r="B12" s="94">
        <f>+'1.7 Growth &amp; Beta'!B29</f>
        <v>0.75</v>
      </c>
      <c r="C12" s="94"/>
      <c r="D12" s="94"/>
      <c r="E12" s="94">
        <f>+'1.7 Growth &amp; Beta'!D29</f>
        <v>0.51</v>
      </c>
      <c r="F12" s="94">
        <f>+'1.7 Growth &amp; Beta'!E29</f>
        <v>0.42</v>
      </c>
      <c r="G12" s="94">
        <f>+'1.7 Growth &amp; Beta'!F29</f>
        <v>0.36</v>
      </c>
      <c r="H12" s="94"/>
      <c r="I12">
        <f>+AVERAGE(D12:G12)</f>
        <v>0.43</v>
      </c>
      <c r="J12">
        <f>+MEDIAN(D12:G12)</f>
        <v>0.42</v>
      </c>
    </row>
    <row r="13" spans="1:11">
      <c r="A13" s="36" t="s">
        <v>7</v>
      </c>
      <c r="B13" s="94">
        <f>+'1.7 Growth &amp; Beta'!B30</f>
        <v>0.7</v>
      </c>
      <c r="C13" s="94"/>
      <c r="D13" s="94"/>
      <c r="E13" s="94">
        <f>+'1.7 Growth &amp; Beta'!D30</f>
        <v>0.53</v>
      </c>
      <c r="F13" s="94">
        <f>+'1.7 Growth &amp; Beta'!E30</f>
        <v>0.51</v>
      </c>
      <c r="G13" s="94">
        <f>+'1.7 Growth &amp; Beta'!F30</f>
        <v>0.54</v>
      </c>
      <c r="H13" s="94"/>
      <c r="I13">
        <f t="shared" ref="I13:I18" si="0">+AVERAGE(D13:G13)</f>
        <v>0.52666666666666673</v>
      </c>
      <c r="J13">
        <f t="shared" ref="J13:J18" si="1">+MEDIAN(D13:G13)</f>
        <v>0.53</v>
      </c>
    </row>
    <row r="14" spans="1:11">
      <c r="A14" s="36" t="s">
        <v>10</v>
      </c>
      <c r="B14" s="94">
        <f>+'1.7 Growth &amp; Beta'!B31</f>
        <v>0.6</v>
      </c>
      <c r="C14" s="94"/>
      <c r="D14" s="94"/>
      <c r="E14" s="94">
        <f>+'1.7 Growth &amp; Beta'!D31</f>
        <v>0.28000000000000003</v>
      </c>
      <c r="F14" s="94">
        <f>+'1.7 Growth &amp; Beta'!E31</f>
        <v>0.15</v>
      </c>
      <c r="G14" s="94">
        <f>+'1.7 Growth &amp; Beta'!F31</f>
        <v>0.35</v>
      </c>
      <c r="H14" s="94"/>
      <c r="I14">
        <f t="shared" si="0"/>
        <v>0.26</v>
      </c>
      <c r="J14">
        <f t="shared" si="1"/>
        <v>0.28000000000000003</v>
      </c>
    </row>
    <row r="15" spans="1:11">
      <c r="A15" s="36" t="s">
        <v>14</v>
      </c>
      <c r="B15" s="94">
        <f>+'1.7 Growth &amp; Beta'!B32</f>
        <v>0.6</v>
      </c>
      <c r="C15" s="94"/>
      <c r="D15" s="94"/>
      <c r="E15" s="94">
        <f>+'1.7 Growth &amp; Beta'!D32</f>
        <v>0.36</v>
      </c>
      <c r="F15" s="94">
        <f>+'1.7 Growth &amp; Beta'!E32</f>
        <v>0.32</v>
      </c>
      <c r="G15" s="94">
        <f>+'1.7 Growth &amp; Beta'!F32</f>
        <v>0.27</v>
      </c>
      <c r="H15" s="94"/>
      <c r="I15">
        <f t="shared" si="0"/>
        <v>0.31666666666666665</v>
      </c>
      <c r="J15">
        <f t="shared" si="1"/>
        <v>0.32</v>
      </c>
    </row>
    <row r="16" spans="1:11">
      <c r="A16" s="36" t="s">
        <v>16</v>
      </c>
      <c r="B16" s="94">
        <f>+'1.7 Growth &amp; Beta'!B33</f>
        <v>0.7</v>
      </c>
      <c r="C16" s="94"/>
      <c r="D16" s="94"/>
      <c r="E16" s="94">
        <f>+'1.7 Growth &amp; Beta'!D33</f>
        <v>0.51</v>
      </c>
      <c r="F16" s="94">
        <f>+'1.7 Growth &amp; Beta'!E33</f>
        <v>0.39</v>
      </c>
      <c r="G16" s="94">
        <f>+'1.7 Growth &amp; Beta'!F33</f>
        <v>0.48</v>
      </c>
      <c r="H16" s="94"/>
      <c r="I16">
        <f t="shared" si="0"/>
        <v>0.45999999999999996</v>
      </c>
      <c r="J16">
        <f t="shared" si="1"/>
        <v>0.48</v>
      </c>
    </row>
    <row r="17" spans="1:10">
      <c r="A17" s="36" t="s">
        <v>18</v>
      </c>
      <c r="B17" s="94">
        <f>+'1.7 Growth &amp; Beta'!B34</f>
        <v>0.65</v>
      </c>
      <c r="C17" s="94"/>
      <c r="D17" s="94"/>
      <c r="E17" s="94">
        <f>+'1.7 Growth &amp; Beta'!D34</f>
        <v>0.35</v>
      </c>
      <c r="F17" s="94">
        <f>+'1.7 Growth &amp; Beta'!E34</f>
        <v>0.35</v>
      </c>
      <c r="G17" s="94">
        <f>+'1.7 Growth &amp; Beta'!F34</f>
        <v>0.7</v>
      </c>
      <c r="H17" s="94"/>
      <c r="I17">
        <f t="shared" si="0"/>
        <v>0.46666666666666662</v>
      </c>
      <c r="J17">
        <f t="shared" si="1"/>
        <v>0.35</v>
      </c>
    </row>
    <row r="18" spans="1:10">
      <c r="A18" s="36" t="s">
        <v>138</v>
      </c>
      <c r="B18" s="94">
        <f>+'1.7 Growth &amp; Beta'!B35</f>
        <v>0.75</v>
      </c>
      <c r="C18" s="94"/>
      <c r="D18" s="94"/>
      <c r="E18" s="94">
        <f>+'1.7 Growth &amp; Beta'!D35</f>
        <v>0.72</v>
      </c>
      <c r="F18" s="94">
        <f>+'1.7 Growth &amp; Beta'!E35</f>
        <v>0.72</v>
      </c>
      <c r="G18" s="94">
        <f>+'1.7 Growth &amp; Beta'!F35</f>
        <v>0.64</v>
      </c>
      <c r="H18" s="94"/>
      <c r="I18">
        <f t="shared" si="0"/>
        <v>0.69333333333333336</v>
      </c>
      <c r="J18">
        <f t="shared" si="1"/>
        <v>0.72</v>
      </c>
    </row>
    <row r="19" spans="1:10">
      <c r="A19" s="36"/>
    </row>
    <row r="20" spans="1:10">
      <c r="A20" s="5" t="s">
        <v>80</v>
      </c>
      <c r="B20">
        <f>AVERAGE(B12:B18)</f>
        <v>0.6785714285714286</v>
      </c>
      <c r="E20">
        <f>AVERAGE(E12:E18)</f>
        <v>0.4657142857142858</v>
      </c>
      <c r="F20">
        <f>AVERAGE(F12:F18)</f>
        <v>0.40857142857142864</v>
      </c>
      <c r="G20">
        <f>AVERAGE(G12:G18)</f>
        <v>0.4771428571428572</v>
      </c>
      <c r="I20">
        <f>AVERAGE(I12:I18)</f>
        <v>0.45047619047619047</v>
      </c>
      <c r="J20">
        <f>AVERAGE(J12:J18)</f>
        <v>0.44285714285714295</v>
      </c>
    </row>
    <row r="21" spans="1:10">
      <c r="A21" s="5" t="s">
        <v>21</v>
      </c>
      <c r="B21">
        <f>MEDIAN(B12:B18)</f>
        <v>0.7</v>
      </c>
      <c r="E21">
        <f>MEDIAN(E12:E18)</f>
        <v>0.51</v>
      </c>
      <c r="F21">
        <f>MEDIAN(F12:F18)</f>
        <v>0.39</v>
      </c>
      <c r="G21">
        <f>MEDIAN(G12:G18)</f>
        <v>0.48</v>
      </c>
      <c r="I21">
        <f>MEDIAN(I12:I18)</f>
        <v>0.45999999999999996</v>
      </c>
      <c r="J21">
        <f>MEDIAN(J12:J18)</f>
        <v>0.42</v>
      </c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F7:G7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E48"/>
  <sheetViews>
    <sheetView view="pageBreakPreview" zoomScale="110" zoomScaleNormal="100" zoomScaleSheetLayoutView="110" workbookViewId="0">
      <pane xSplit="1" topLeftCell="B1" activePane="topRight" state="frozen"/>
      <selection pane="topRight" activeCell="BT19" sqref="BT19"/>
    </sheetView>
  </sheetViews>
  <sheetFormatPr defaultRowHeight="12.75"/>
  <cols>
    <col min="1" max="1" width="20.1640625" customWidth="1"/>
    <col min="2" max="2" width="8.1640625" customWidth="1"/>
    <col min="3" max="3" width="7.6640625" hidden="1" customWidth="1"/>
    <col min="5" max="5" width="8.6640625" hidden="1" customWidth="1"/>
    <col min="6" max="6" width="8.33203125" customWidth="1"/>
    <col min="8" max="11" width="8.83203125" hidden="1" customWidth="1"/>
    <col min="12" max="12" width="9.1640625" customWidth="1"/>
    <col min="13" max="17" width="8.83203125" customWidth="1"/>
    <col min="18" max="19" width="9.83203125" customWidth="1"/>
    <col min="20" max="22" width="10.83203125" hidden="1" customWidth="1"/>
    <col min="23" max="25" width="10.83203125" customWidth="1"/>
    <col min="26" max="27" width="10.83203125" hidden="1" customWidth="1"/>
    <col min="28" max="28" width="11.33203125" hidden="1" customWidth="1"/>
    <col min="29" max="30" width="11.33203125" customWidth="1"/>
    <col min="31" max="31" width="13.5" hidden="1" customWidth="1"/>
    <col min="32" max="34" width="14.33203125" hidden="1" customWidth="1"/>
    <col min="35" max="35" width="14.33203125" customWidth="1"/>
    <col min="36" max="38" width="10.5" hidden="1" customWidth="1"/>
    <col min="39" max="40" width="10.5" customWidth="1"/>
    <col min="41" max="43" width="10.33203125" hidden="1" customWidth="1"/>
    <col min="44" max="45" width="10.33203125" customWidth="1"/>
    <col min="46" max="46" width="10.5" hidden="1" customWidth="1"/>
    <col min="47" max="48" width="9.83203125" hidden="1" customWidth="1"/>
    <col min="49" max="50" width="9.83203125" customWidth="1"/>
    <col min="51" max="51" width="10.6640625" hidden="1" customWidth="1"/>
    <col min="52" max="53" width="9.5" hidden="1" customWidth="1"/>
    <col min="54" max="55" width="9.5" customWidth="1"/>
    <col min="56" max="56" width="11.33203125" hidden="1" customWidth="1"/>
    <col min="57" max="58" width="11.1640625" hidden="1" customWidth="1"/>
    <col min="59" max="61" width="11.1640625" customWidth="1"/>
    <col min="62" max="62" width="11.1640625" hidden="1" customWidth="1"/>
    <col min="63" max="63" width="10.83203125" customWidth="1"/>
    <col min="64" max="64" width="11.33203125" customWidth="1"/>
    <col min="65" max="69" width="9.83203125" hidden="1" customWidth="1"/>
    <col min="70" max="70" width="9.83203125" customWidth="1"/>
    <col min="71" max="71" width="9.83203125" style="119" customWidth="1"/>
    <col min="72" max="78" width="9.1640625" style="119" customWidth="1"/>
    <col min="79" max="79" width="9.1640625" customWidth="1"/>
    <col min="80" max="81" width="11.83203125" customWidth="1"/>
    <col min="82" max="83" width="10.1640625" bestFit="1" customWidth="1"/>
  </cols>
  <sheetData>
    <row r="2" spans="1:83">
      <c r="L2" s="38"/>
      <c r="M2" s="38"/>
      <c r="N2" s="38"/>
      <c r="O2" s="38"/>
      <c r="P2" s="38"/>
      <c r="Q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V2" s="580"/>
      <c r="AW2" s="580"/>
      <c r="AX2" s="580"/>
      <c r="BF2" s="582"/>
      <c r="BG2" s="582"/>
      <c r="BH2" s="582"/>
      <c r="BI2" s="582"/>
      <c r="BJ2" s="582"/>
      <c r="BK2" s="582"/>
      <c r="BL2" s="582"/>
    </row>
    <row r="3" spans="1:83" ht="18.75">
      <c r="B3" s="821" t="s">
        <v>90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 t="s">
        <v>90</v>
      </c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821"/>
      <c r="AN3" s="821"/>
      <c r="AO3" s="821"/>
      <c r="AP3" s="821"/>
      <c r="AQ3" s="376"/>
      <c r="AR3" s="376"/>
      <c r="AS3" s="376"/>
      <c r="AT3" s="821" t="s">
        <v>90</v>
      </c>
      <c r="AU3" s="821"/>
      <c r="AV3" s="821"/>
      <c r="AW3" s="821"/>
      <c r="AX3" s="821"/>
      <c r="AY3" s="821"/>
      <c r="AZ3" s="821"/>
      <c r="BA3" s="821"/>
      <c r="BB3" s="821"/>
      <c r="BC3" s="821"/>
      <c r="BD3" s="821"/>
      <c r="BE3" s="821"/>
      <c r="BF3" s="821"/>
      <c r="BG3" s="821"/>
      <c r="BH3" s="821"/>
      <c r="BI3" s="821"/>
      <c r="BJ3" s="821"/>
      <c r="BK3" s="821"/>
      <c r="BL3" s="821"/>
      <c r="BM3" s="821"/>
      <c r="BN3" s="821"/>
      <c r="BO3" s="376"/>
      <c r="BP3" s="376"/>
      <c r="BQ3" s="376"/>
      <c r="BR3" s="376"/>
      <c r="BS3" s="417"/>
    </row>
    <row r="4" spans="1:83" ht="15.75">
      <c r="B4" s="822" t="s">
        <v>387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 t="s">
        <v>387</v>
      </c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377"/>
      <c r="AR4" s="377"/>
      <c r="AS4" s="377"/>
      <c r="AT4" s="822" t="s">
        <v>387</v>
      </c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2"/>
      <c r="BJ4" s="822"/>
      <c r="BK4" s="822"/>
      <c r="BL4" s="822"/>
      <c r="BM4" s="822"/>
      <c r="BN4" s="822"/>
      <c r="BO4" s="377"/>
      <c r="BP4" s="377"/>
      <c r="BQ4" s="377"/>
      <c r="BR4" s="377"/>
      <c r="BS4" s="418"/>
    </row>
    <row r="5" spans="1:83" ht="15.75">
      <c r="A5" s="15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  <c r="AQ5" s="378"/>
      <c r="AR5" s="378"/>
      <c r="AS5" s="378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378"/>
      <c r="BP5" s="378"/>
      <c r="BQ5" s="378"/>
      <c r="BR5" s="378"/>
      <c r="BS5" s="419"/>
      <c r="BT5" s="420"/>
      <c r="BU5" s="420"/>
      <c r="BV5" s="420"/>
      <c r="BW5" s="420"/>
      <c r="BX5" s="420"/>
      <c r="BY5" s="420"/>
      <c r="BZ5" s="420"/>
      <c r="CA5" s="94"/>
      <c r="CB5" s="94"/>
      <c r="CC5" s="94"/>
      <c r="CD5" s="94"/>
    </row>
    <row r="6" spans="1:83" ht="15.75">
      <c r="A6" s="158"/>
      <c r="B6" s="49"/>
      <c r="C6" s="94"/>
      <c r="D6" s="94"/>
      <c r="E6" s="94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356" t="s">
        <v>176</v>
      </c>
      <c r="T6" s="49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Q6" s="356"/>
      <c r="AR6" s="356"/>
      <c r="AS6" s="356" t="s">
        <v>175</v>
      </c>
      <c r="AT6" s="49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94"/>
      <c r="BN6" s="5" t="s">
        <v>174</v>
      </c>
      <c r="BO6" s="5"/>
      <c r="BP6" s="5"/>
      <c r="BQ6" s="5"/>
      <c r="BR6" s="5"/>
      <c r="BS6" s="421"/>
      <c r="BT6" s="420"/>
      <c r="BU6" s="420"/>
      <c r="BV6" s="420"/>
      <c r="BW6" s="420"/>
      <c r="BX6" s="420"/>
      <c r="BY6" s="420"/>
      <c r="BZ6" s="420"/>
      <c r="CA6" s="94"/>
      <c r="CB6" s="94"/>
      <c r="CC6" s="94"/>
      <c r="CD6" s="94"/>
    </row>
    <row r="7" spans="1:83" ht="15.75">
      <c r="A7" s="158"/>
      <c r="B7" s="49"/>
      <c r="C7" s="94"/>
      <c r="D7" s="94"/>
      <c r="E7" s="94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49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O7" s="158"/>
      <c r="AP7" s="158"/>
      <c r="AQ7" s="158"/>
      <c r="AR7" s="158"/>
      <c r="AS7" s="158"/>
      <c r="AT7" s="49"/>
      <c r="AU7" s="158"/>
      <c r="AY7" s="158"/>
      <c r="AZ7" s="158"/>
      <c r="BA7" s="158"/>
      <c r="BB7" s="158"/>
      <c r="BC7" s="158"/>
      <c r="BD7" s="158"/>
      <c r="BE7" s="158"/>
      <c r="BM7" s="94"/>
      <c r="BT7" s="420"/>
      <c r="BU7" s="420"/>
      <c r="BV7" s="420"/>
      <c r="BW7" s="420"/>
      <c r="BX7" s="420"/>
      <c r="BY7" s="420"/>
      <c r="BZ7" s="420"/>
      <c r="CA7" s="94"/>
      <c r="CB7" s="94"/>
      <c r="CC7" s="94"/>
      <c r="CD7" s="94"/>
    </row>
    <row r="8" spans="1:83">
      <c r="B8" s="267"/>
      <c r="C8" s="227"/>
      <c r="D8" s="268"/>
      <c r="E8" s="3"/>
      <c r="F8" s="268"/>
      <c r="G8" s="227"/>
      <c r="H8" s="267"/>
      <c r="I8" s="3"/>
      <c r="J8" s="314"/>
      <c r="K8" s="315"/>
      <c r="L8" s="314"/>
      <c r="M8" s="314"/>
      <c r="N8" s="314"/>
      <c r="O8" s="314"/>
      <c r="P8" s="314"/>
      <c r="Q8" s="314"/>
      <c r="R8" s="877" t="s">
        <v>179</v>
      </c>
      <c r="S8" s="878"/>
      <c r="T8" s="267"/>
      <c r="U8" s="3"/>
      <c r="V8" s="3"/>
      <c r="W8" s="3"/>
      <c r="X8" s="3"/>
      <c r="Y8" s="227"/>
      <c r="Z8" s="320"/>
      <c r="AA8" s="227"/>
      <c r="AB8" s="3"/>
      <c r="AC8" s="3"/>
      <c r="AD8" s="227"/>
      <c r="AE8" s="267"/>
      <c r="AF8" s="227"/>
      <c r="AG8" s="267"/>
      <c r="AH8" s="3"/>
      <c r="AI8" s="227"/>
      <c r="AJ8" s="267"/>
      <c r="AK8" s="227"/>
      <c r="AL8" s="3"/>
      <c r="AM8" s="3"/>
      <c r="AN8" s="227"/>
      <c r="AO8" s="267"/>
      <c r="AP8" s="227"/>
      <c r="AQ8" s="3"/>
      <c r="AR8" s="3"/>
      <c r="AS8" s="3"/>
      <c r="AT8" s="267"/>
      <c r="AU8" s="227"/>
      <c r="AV8" s="3"/>
      <c r="AW8" s="3"/>
      <c r="AX8" s="3"/>
      <c r="AY8" s="267"/>
      <c r="AZ8" s="227"/>
      <c r="BA8" s="3"/>
      <c r="BB8" s="3"/>
      <c r="BC8" s="3"/>
      <c r="BD8" s="880"/>
      <c r="BE8" s="881"/>
      <c r="BF8" s="881"/>
      <c r="BG8" s="881"/>
      <c r="BH8" s="881"/>
      <c r="BI8" s="881"/>
      <c r="BJ8" s="881"/>
      <c r="BK8" s="881"/>
      <c r="BL8" s="882"/>
      <c r="BM8" s="267"/>
      <c r="BN8" s="227"/>
      <c r="BO8" s="36"/>
      <c r="BP8" s="36"/>
      <c r="BQ8" s="36"/>
      <c r="BR8" s="36"/>
      <c r="BS8" s="422"/>
    </row>
    <row r="9" spans="1:83">
      <c r="B9" s="177"/>
      <c r="C9" s="344"/>
      <c r="D9" s="265" t="s">
        <v>54</v>
      </c>
      <c r="E9" s="316" t="s">
        <v>55</v>
      </c>
      <c r="F9" s="265" t="s">
        <v>55</v>
      </c>
      <c r="G9" s="317" t="s">
        <v>84</v>
      </c>
      <c r="H9" s="874" t="s">
        <v>280</v>
      </c>
      <c r="I9" s="875"/>
      <c r="J9" s="875"/>
      <c r="K9" s="875"/>
      <c r="L9" s="875"/>
      <c r="M9" s="875"/>
      <c r="N9" s="875"/>
      <c r="O9" s="875"/>
      <c r="P9" s="875"/>
      <c r="Q9" s="876"/>
      <c r="R9" s="860" t="s">
        <v>83</v>
      </c>
      <c r="S9" s="879"/>
      <c r="T9" s="869" t="s">
        <v>223</v>
      </c>
      <c r="U9" s="870"/>
      <c r="V9" s="870"/>
      <c r="W9" s="870"/>
      <c r="X9" s="870"/>
      <c r="Y9" s="871"/>
      <c r="Z9" s="869" t="s">
        <v>224</v>
      </c>
      <c r="AA9" s="870"/>
      <c r="AB9" s="870"/>
      <c r="AC9" s="870"/>
      <c r="AD9" s="871"/>
      <c r="AE9" s="860" t="s">
        <v>225</v>
      </c>
      <c r="AF9" s="861"/>
      <c r="AG9" s="861"/>
      <c r="AH9" s="861"/>
      <c r="AI9" s="879"/>
      <c r="AJ9" s="860" t="s">
        <v>226</v>
      </c>
      <c r="AK9" s="861"/>
      <c r="AL9" s="861"/>
      <c r="AM9" s="861"/>
      <c r="AN9" s="879"/>
      <c r="AO9" s="860" t="s">
        <v>227</v>
      </c>
      <c r="AP9" s="861"/>
      <c r="AQ9" s="861"/>
      <c r="AR9" s="861"/>
      <c r="AS9" s="879"/>
      <c r="AT9" s="860" t="s">
        <v>323</v>
      </c>
      <c r="AU9" s="861"/>
      <c r="AV9" s="861"/>
      <c r="AW9" s="861"/>
      <c r="AX9" s="879"/>
      <c r="AY9" s="860" t="s">
        <v>324</v>
      </c>
      <c r="AZ9" s="861"/>
      <c r="BA9" s="861"/>
      <c r="BB9" s="861"/>
      <c r="BC9" s="879"/>
      <c r="BE9" s="404"/>
      <c r="BF9" s="404"/>
      <c r="BG9" s="860" t="s">
        <v>258</v>
      </c>
      <c r="BH9" s="861"/>
      <c r="BI9" s="861"/>
      <c r="BJ9" s="447"/>
      <c r="BK9" s="404"/>
      <c r="BL9" s="403"/>
      <c r="BM9" s="872" t="s">
        <v>288</v>
      </c>
      <c r="BN9" s="873"/>
      <c r="BO9" s="873"/>
      <c r="BP9" s="873"/>
      <c r="BQ9" s="873"/>
      <c r="BR9" s="260"/>
      <c r="BS9" s="862" t="s">
        <v>126</v>
      </c>
      <c r="BT9" s="863"/>
      <c r="BU9" s="863"/>
      <c r="BV9" s="864"/>
      <c r="BW9" s="865" t="s">
        <v>150</v>
      </c>
      <c r="BX9" s="866"/>
      <c r="BY9" s="866"/>
      <c r="BZ9" s="867"/>
      <c r="CA9" s="277"/>
      <c r="CB9" s="260" t="s">
        <v>238</v>
      </c>
      <c r="CC9" s="260" t="s">
        <v>88</v>
      </c>
    </row>
    <row r="10" spans="1:83">
      <c r="B10" s="345" t="s">
        <v>20</v>
      </c>
      <c r="C10" s="344"/>
      <c r="D10" s="265" t="s">
        <v>35</v>
      </c>
      <c r="E10" s="316" t="s">
        <v>207</v>
      </c>
      <c r="F10" s="265" t="s">
        <v>56</v>
      </c>
      <c r="G10" s="317" t="s">
        <v>56</v>
      </c>
      <c r="H10" s="887">
        <v>2008</v>
      </c>
      <c r="I10" s="883"/>
      <c r="J10" s="883">
        <v>2009</v>
      </c>
      <c r="K10" s="883"/>
      <c r="L10" s="883">
        <f>+J10+1</f>
        <v>2010</v>
      </c>
      <c r="M10" s="883"/>
      <c r="N10" s="883">
        <f>+L10+1</f>
        <v>2011</v>
      </c>
      <c r="O10" s="883"/>
      <c r="P10" s="883">
        <f>+N10+1</f>
        <v>2012</v>
      </c>
      <c r="Q10" s="883"/>
      <c r="R10" s="265" t="s">
        <v>191</v>
      </c>
      <c r="S10" s="265" t="s">
        <v>23</v>
      </c>
      <c r="T10" s="282">
        <v>2008</v>
      </c>
      <c r="U10" s="283">
        <v>2009</v>
      </c>
      <c r="V10" s="283">
        <v>2010</v>
      </c>
      <c r="W10" s="283">
        <v>2011</v>
      </c>
      <c r="X10" s="283">
        <v>2012</v>
      </c>
      <c r="Y10" s="284" t="s">
        <v>281</v>
      </c>
      <c r="Z10" s="555">
        <v>2008</v>
      </c>
      <c r="AA10" s="163">
        <v>2009</v>
      </c>
      <c r="AB10" s="553">
        <f>+AA10+1</f>
        <v>2010</v>
      </c>
      <c r="AC10" s="553">
        <f t="shared" ref="AC10:AD10" si="0">+AB10+1</f>
        <v>2011</v>
      </c>
      <c r="AD10" s="163">
        <f t="shared" si="0"/>
        <v>2012</v>
      </c>
      <c r="AE10" s="555">
        <v>2008</v>
      </c>
      <c r="AF10" s="163">
        <v>2009</v>
      </c>
      <c r="AG10" s="282">
        <f>+AF10+1</f>
        <v>2010</v>
      </c>
      <c r="AH10" s="553">
        <f t="shared" ref="AH10:AI10" si="1">+AG10+1</f>
        <v>2011</v>
      </c>
      <c r="AI10" s="163">
        <f t="shared" si="1"/>
        <v>2012</v>
      </c>
      <c r="AJ10" s="555">
        <v>2008</v>
      </c>
      <c r="AK10" s="163">
        <v>2009</v>
      </c>
      <c r="AL10" s="553">
        <f>+AK10+1</f>
        <v>2010</v>
      </c>
      <c r="AM10" s="553">
        <f t="shared" ref="AM10:AN10" si="2">+AL10+1</f>
        <v>2011</v>
      </c>
      <c r="AN10" s="163">
        <f t="shared" si="2"/>
        <v>2012</v>
      </c>
      <c r="AO10" s="162">
        <v>2008</v>
      </c>
      <c r="AP10" s="163">
        <v>2009</v>
      </c>
      <c r="AQ10" s="282">
        <f>+AP10+1</f>
        <v>2010</v>
      </c>
      <c r="AR10" s="375">
        <f t="shared" ref="AR10:AS10" si="3">+AQ10+1</f>
        <v>2011</v>
      </c>
      <c r="AS10" s="375">
        <f t="shared" si="3"/>
        <v>2012</v>
      </c>
      <c r="AT10" s="877" t="s">
        <v>322</v>
      </c>
      <c r="AU10" s="886"/>
      <c r="AV10" s="886"/>
      <c r="AW10" s="886"/>
      <c r="AX10" s="878"/>
      <c r="AY10" s="877" t="s">
        <v>322</v>
      </c>
      <c r="AZ10" s="886"/>
      <c r="BA10" s="886"/>
      <c r="BB10" s="886"/>
      <c r="BC10" s="878"/>
      <c r="BD10" s="884"/>
      <c r="BE10" s="885"/>
      <c r="BF10" s="77"/>
      <c r="BG10" s="77"/>
      <c r="BH10" s="77"/>
      <c r="BI10" s="554" t="s">
        <v>336</v>
      </c>
      <c r="BJ10" s="451" t="s">
        <v>334</v>
      </c>
      <c r="BK10" s="261" t="s">
        <v>289</v>
      </c>
      <c r="BL10" s="262" t="s">
        <v>290</v>
      </c>
      <c r="BM10" s="267"/>
      <c r="BN10" s="227"/>
      <c r="BO10" s="36"/>
      <c r="BP10" s="36"/>
      <c r="BQ10" s="36"/>
      <c r="BR10" s="36"/>
      <c r="BS10" s="423"/>
      <c r="BT10" s="424"/>
      <c r="BU10" s="424"/>
      <c r="BV10" s="425"/>
      <c r="BW10" s="426"/>
      <c r="BX10" s="424"/>
      <c r="BY10" s="424"/>
      <c r="BZ10" s="425"/>
      <c r="CA10" s="277"/>
      <c r="CB10" s="260" t="s">
        <v>239</v>
      </c>
      <c r="CC10" s="260" t="s">
        <v>239</v>
      </c>
    </row>
    <row r="11" spans="1:83">
      <c r="A11" s="2" t="s">
        <v>3</v>
      </c>
      <c r="B11" s="345" t="s">
        <v>73</v>
      </c>
      <c r="C11" s="181" t="s">
        <v>199</v>
      </c>
      <c r="D11" s="266" t="s">
        <v>36</v>
      </c>
      <c r="E11" s="318" t="s">
        <v>36</v>
      </c>
      <c r="F11" s="266" t="s">
        <v>57</v>
      </c>
      <c r="G11" s="319" t="s">
        <v>57</v>
      </c>
      <c r="H11" s="164" t="s">
        <v>81</v>
      </c>
      <c r="I11" s="165" t="s">
        <v>162</v>
      </c>
      <c r="J11" s="165" t="s">
        <v>81</v>
      </c>
      <c r="K11" s="165" t="s">
        <v>162</v>
      </c>
      <c r="L11" s="165" t="s">
        <v>190</v>
      </c>
      <c r="M11" s="165" t="s">
        <v>162</v>
      </c>
      <c r="N11" s="165" t="s">
        <v>190</v>
      </c>
      <c r="O11" s="165" t="s">
        <v>162</v>
      </c>
      <c r="P11" s="165" t="s">
        <v>190</v>
      </c>
      <c r="Q11" s="165" t="s">
        <v>162</v>
      </c>
      <c r="R11" s="266" t="s">
        <v>26</v>
      </c>
      <c r="S11" s="266" t="s">
        <v>26</v>
      </c>
      <c r="T11" s="869" t="s">
        <v>94</v>
      </c>
      <c r="U11" s="870"/>
      <c r="V11" s="870"/>
      <c r="W11" s="870"/>
      <c r="X11" s="870"/>
      <c r="Y11" s="256" t="s">
        <v>282</v>
      </c>
      <c r="Z11" s="869" t="s">
        <v>94</v>
      </c>
      <c r="AA11" s="870"/>
      <c r="AB11" s="870"/>
      <c r="AC11" s="870"/>
      <c r="AD11" s="871"/>
      <c r="AE11" s="869" t="s">
        <v>94</v>
      </c>
      <c r="AF11" s="870"/>
      <c r="AG11" s="870"/>
      <c r="AH11" s="870"/>
      <c r="AI11" s="871"/>
      <c r="AJ11" s="180"/>
      <c r="AK11" s="181"/>
      <c r="AL11" s="318"/>
      <c r="AM11" s="318"/>
      <c r="AN11" s="181"/>
      <c r="AO11" s="180"/>
      <c r="AP11" s="181"/>
      <c r="AQ11" s="180"/>
      <c r="AR11" s="318"/>
      <c r="AS11" s="318"/>
      <c r="AT11" s="257">
        <v>2008</v>
      </c>
      <c r="AU11" s="258">
        <v>2009</v>
      </c>
      <c r="AV11" s="401">
        <f>+AU11+1</f>
        <v>2010</v>
      </c>
      <c r="AW11" s="401">
        <f t="shared" ref="AW11:AX11" si="4">+AV11+1</f>
        <v>2011</v>
      </c>
      <c r="AX11" s="401">
        <f t="shared" si="4"/>
        <v>2012</v>
      </c>
      <c r="AY11" s="257">
        <v>2008</v>
      </c>
      <c r="AZ11" s="258">
        <v>2009</v>
      </c>
      <c r="BA11" s="401">
        <f>+AZ11+1</f>
        <v>2010</v>
      </c>
      <c r="BB11" s="401">
        <f t="shared" ref="BB11:BC11" si="5">+BA11+1</f>
        <v>2011</v>
      </c>
      <c r="BC11" s="401">
        <f t="shared" si="5"/>
        <v>2012</v>
      </c>
      <c r="BD11" s="257">
        <v>2008</v>
      </c>
      <c r="BE11" s="258">
        <v>2009</v>
      </c>
      <c r="BF11" s="401">
        <f>+BE11+1</f>
        <v>2010</v>
      </c>
      <c r="BG11" s="401">
        <f t="shared" ref="BG11:BH11" si="6">+BF11+1</f>
        <v>2011</v>
      </c>
      <c r="BH11" s="401">
        <f t="shared" si="6"/>
        <v>2012</v>
      </c>
      <c r="BI11" s="583" t="s">
        <v>335</v>
      </c>
      <c r="BJ11" s="452" t="s">
        <v>335</v>
      </c>
      <c r="BK11" s="263" t="s">
        <v>196</v>
      </c>
      <c r="BL11" s="264" t="s">
        <v>291</v>
      </c>
      <c r="BM11" s="257">
        <v>2008</v>
      </c>
      <c r="BN11" s="258">
        <v>2009</v>
      </c>
      <c r="BO11" s="375">
        <f>+BN11+1</f>
        <v>2010</v>
      </c>
      <c r="BP11" s="375">
        <f t="shared" ref="BP11:BQ11" si="7">+BO11+1</f>
        <v>2011</v>
      </c>
      <c r="BQ11" s="375">
        <f t="shared" si="7"/>
        <v>2012</v>
      </c>
      <c r="BR11" s="375"/>
      <c r="BS11" s="438">
        <v>2009</v>
      </c>
      <c r="BT11" s="439">
        <f>+BS11+1</f>
        <v>2010</v>
      </c>
      <c r="BU11" s="439">
        <f>+BT11+1</f>
        <v>2011</v>
      </c>
      <c r="BV11" s="440">
        <f>+BU11+1</f>
        <v>2012</v>
      </c>
      <c r="BW11" s="438">
        <f>+BS11</f>
        <v>2009</v>
      </c>
      <c r="BX11" s="439">
        <f>+BW11+1</f>
        <v>2010</v>
      </c>
      <c r="BY11" s="439">
        <f t="shared" ref="BY11:BZ11" si="8">+BX11+1</f>
        <v>2011</v>
      </c>
      <c r="BZ11" s="440">
        <f t="shared" si="8"/>
        <v>2012</v>
      </c>
      <c r="CA11" s="416"/>
      <c r="CB11" s="260" t="s">
        <v>240</v>
      </c>
      <c r="CC11" s="260" t="s">
        <v>240</v>
      </c>
      <c r="CD11" s="416"/>
      <c r="CE11" s="416"/>
    </row>
    <row r="12" spans="1:83">
      <c r="A12" s="3"/>
      <c r="B12" s="267"/>
      <c r="C12" s="176"/>
      <c r="D12" s="338"/>
      <c r="E12" s="3"/>
      <c r="F12" s="19"/>
      <c r="G12" s="339"/>
      <c r="H12" s="166"/>
      <c r="I12" s="59"/>
      <c r="J12" s="59"/>
      <c r="K12" s="59"/>
      <c r="L12" s="59"/>
      <c r="M12" s="59"/>
      <c r="N12" s="166"/>
      <c r="O12" s="59"/>
      <c r="P12" s="166"/>
      <c r="Q12" s="59"/>
      <c r="R12" s="268"/>
      <c r="S12" s="268"/>
      <c r="T12" s="285"/>
      <c r="U12" s="281"/>
      <c r="V12" s="281"/>
      <c r="W12" s="281"/>
      <c r="X12" s="281"/>
      <c r="Y12" s="286"/>
      <c r="Z12" s="41"/>
      <c r="AA12" s="176"/>
      <c r="AB12" s="36"/>
      <c r="AC12" s="36"/>
      <c r="AD12" s="36"/>
      <c r="AE12" s="177"/>
      <c r="AF12" s="176"/>
      <c r="AG12" s="267"/>
      <c r="AH12" s="36"/>
      <c r="AI12" s="36"/>
      <c r="AJ12" s="177"/>
      <c r="AK12" s="176"/>
      <c r="AL12" s="36"/>
      <c r="AM12" s="36"/>
      <c r="AN12" s="36"/>
      <c r="AO12" s="178"/>
      <c r="AP12" s="179"/>
      <c r="AQ12" s="464"/>
      <c r="AR12" s="400"/>
      <c r="AS12" s="400"/>
      <c r="AT12" s="177"/>
      <c r="AU12" s="176"/>
      <c r="AV12" s="36"/>
      <c r="AW12" s="36"/>
      <c r="AX12" s="36"/>
      <c r="AY12" s="177"/>
      <c r="AZ12" s="176"/>
      <c r="BA12" s="36"/>
      <c r="BB12" s="36"/>
      <c r="BC12" s="36"/>
      <c r="BD12" s="177"/>
      <c r="BE12" s="36"/>
      <c r="BF12" s="36"/>
      <c r="BG12" s="36"/>
      <c r="BH12" s="36"/>
      <c r="BI12" s="110"/>
      <c r="BJ12" s="453"/>
      <c r="BK12" s="267"/>
      <c r="BL12" s="227"/>
      <c r="BM12" s="267"/>
      <c r="BN12" s="227"/>
      <c r="BO12" s="36"/>
      <c r="BP12" s="36"/>
      <c r="BQ12" s="36"/>
      <c r="BR12" s="36"/>
      <c r="BS12" s="423"/>
      <c r="BT12" s="422"/>
      <c r="BU12" s="422"/>
      <c r="BV12" s="427"/>
      <c r="BW12" s="423"/>
      <c r="BX12" s="422"/>
      <c r="BY12" s="422"/>
      <c r="BZ12" s="427"/>
    </row>
    <row r="13" spans="1:83">
      <c r="A13" s="94" t="s">
        <v>5</v>
      </c>
      <c r="B13" s="177" t="s">
        <v>118</v>
      </c>
      <c r="C13" s="346">
        <v>8</v>
      </c>
      <c r="D13" s="340" t="str">
        <f>+'Value Line'!E20</f>
        <v>A</v>
      </c>
      <c r="E13" s="446">
        <v>68</v>
      </c>
      <c r="F13" s="342" t="str">
        <f>+'1.6 Comps'!K12</f>
        <v>BBB+</v>
      </c>
      <c r="G13" s="343" t="str">
        <f>+'1.6 Comps'!L12</f>
        <v>Baa1</v>
      </c>
      <c r="H13" s="167">
        <v>0.63</v>
      </c>
      <c r="I13" s="168">
        <v>0.71</v>
      </c>
      <c r="J13" s="168">
        <v>0.63959999999999995</v>
      </c>
      <c r="K13" s="168">
        <v>0.67200000000000004</v>
      </c>
      <c r="L13" s="445">
        <f>1349/2373</f>
        <v>0.56847871892119684</v>
      </c>
      <c r="M13" s="445">
        <f>352/499</f>
        <v>0.70541082164328661</v>
      </c>
      <c r="N13" s="492">
        <f>1451/2338</f>
        <v>0.62061591103507274</v>
      </c>
      <c r="O13" s="445">
        <f>412/447</f>
        <v>0.92170022371364657</v>
      </c>
      <c r="P13" s="492">
        <f>2710/3922</f>
        <v>0.69097399286078531</v>
      </c>
      <c r="Q13" s="445">
        <f>532/634</f>
        <v>0.83911671924290221</v>
      </c>
      <c r="R13" s="269">
        <f>+'1.7 Growth &amp; Beta'!B12</f>
        <v>0.09</v>
      </c>
      <c r="S13" s="269">
        <f>+Dividends!L22</f>
        <v>4.4999999999999998E-2</v>
      </c>
      <c r="T13" s="170">
        <v>2800</v>
      </c>
      <c r="U13" s="280">
        <v>2317</v>
      </c>
      <c r="V13" s="190">
        <v>2373</v>
      </c>
      <c r="W13" s="190">
        <v>2338</v>
      </c>
      <c r="X13" s="190">
        <v>3922</v>
      </c>
      <c r="Y13" s="287">
        <f>(+X13-W13)/W13</f>
        <v>0.67750213857998287</v>
      </c>
      <c r="Z13" s="190">
        <v>3816</v>
      </c>
      <c r="AA13" s="183">
        <v>4146</v>
      </c>
      <c r="AB13" s="190">
        <v>4405</v>
      </c>
      <c r="AC13" s="190">
        <v>7900</v>
      </c>
      <c r="AD13" s="190">
        <v>8347</v>
      </c>
      <c r="AE13" s="182">
        <v>2410.8000000000002</v>
      </c>
      <c r="AF13" s="188">
        <v>2826.4</v>
      </c>
      <c r="AG13" s="462">
        <v>2800</v>
      </c>
      <c r="AH13" s="402">
        <v>4946.3</v>
      </c>
      <c r="AI13" s="412">
        <v>5038.3</v>
      </c>
      <c r="AJ13" s="185">
        <v>2.84</v>
      </c>
      <c r="AK13" s="184">
        <v>2.88</v>
      </c>
      <c r="AL13" s="411">
        <v>3.02</v>
      </c>
      <c r="AM13" s="411">
        <v>2.14</v>
      </c>
      <c r="AN13" s="411">
        <v>2.3199999999999998</v>
      </c>
      <c r="AO13" s="405">
        <f>1.68/2.84</f>
        <v>0.59154929577464788</v>
      </c>
      <c r="AP13" s="406">
        <f>1.72/2.88</f>
        <v>0.59722222222222221</v>
      </c>
      <c r="AQ13" s="405">
        <f>+Dividends!H5/'Comp Detail'!AL13</f>
        <v>0.58278145695364236</v>
      </c>
      <c r="AR13" s="407">
        <f>+Dividends!I5/'Comp Detail'!AM13</f>
        <v>0.88738317757009344</v>
      </c>
      <c r="AS13" s="407">
        <f>+Dividends!J5/'Comp Detail'!AN13</f>
        <v>0.75043103448275861</v>
      </c>
      <c r="AT13" s="186">
        <f>1675/3327</f>
        <v>0.50345656747820855</v>
      </c>
      <c r="AU13" s="187">
        <f>1974/3754</f>
        <v>0.52583910495471498</v>
      </c>
      <c r="AV13" s="189">
        <f>1671/(1671+1813)</f>
        <v>0.47962112514351318</v>
      </c>
      <c r="AW13" s="189">
        <f>3561/(3561+3318)</f>
        <v>0.5176624509376363</v>
      </c>
      <c r="AX13" s="189">
        <f>3327/(3327+3413)</f>
        <v>0.49362017804154301</v>
      </c>
      <c r="AY13" s="186">
        <f>1682/3327</f>
        <v>0.50556056507363989</v>
      </c>
      <c r="AZ13" s="187">
        <f>1819/3754</f>
        <v>0.48454981353223231</v>
      </c>
      <c r="BA13" s="189">
        <f>1-AV13</f>
        <v>0.52037887485648682</v>
      </c>
      <c r="BB13" s="189">
        <f t="shared" ref="BB13:BC13" si="9">1-AW13</f>
        <v>0.4823375490623637</v>
      </c>
      <c r="BC13" s="189">
        <f t="shared" si="9"/>
        <v>0.50637982195845699</v>
      </c>
      <c r="BD13" s="186">
        <f>217/1652</f>
        <v>0.13135593220338984</v>
      </c>
      <c r="BE13" s="189">
        <f>+BS13/BW13</f>
        <v>0.12204507971412865</v>
      </c>
      <c r="BF13" s="189">
        <f t="shared" ref="BF13:BH19" si="10">+BT13/BX13</f>
        <v>0.12745098039215685</v>
      </c>
      <c r="BG13" s="189">
        <f t="shared" si="10"/>
        <v>5.151242887091944E-2</v>
      </c>
      <c r="BH13" s="189">
        <f t="shared" si="10"/>
        <v>7.889374090247453E-2</v>
      </c>
      <c r="BI13" s="189">
        <f>AVERAGE(BF13:BH13)</f>
        <v>8.5952383388516948E-2</v>
      </c>
      <c r="BJ13" s="413">
        <f>AVERAGE(BD13:BH13)</f>
        <v>0.10225163241661388</v>
      </c>
      <c r="BK13" s="442">
        <v>10.42</v>
      </c>
      <c r="BL13" s="443">
        <v>40897</v>
      </c>
      <c r="BM13" s="337">
        <f t="shared" ref="BM13:BN19" si="11">1-AO13</f>
        <v>0.40845070422535212</v>
      </c>
      <c r="BN13" s="287">
        <f>1-AP13</f>
        <v>0.40277777777777779</v>
      </c>
      <c r="BO13" s="287">
        <f t="shared" ref="BO13:BQ19" si="12">1-AQ13</f>
        <v>0.41721854304635764</v>
      </c>
      <c r="BP13" s="287">
        <f t="shared" si="12"/>
        <v>0.11261682242990656</v>
      </c>
      <c r="BQ13" s="287">
        <f t="shared" si="12"/>
        <v>0.24956896551724139</v>
      </c>
      <c r="BR13" s="223"/>
      <c r="BS13" s="423">
        <v>222</v>
      </c>
      <c r="BT13" s="422">
        <v>234</v>
      </c>
      <c r="BU13" s="422">
        <v>172</v>
      </c>
      <c r="BV13" s="427">
        <v>271</v>
      </c>
      <c r="BW13" s="423">
        <v>1819</v>
      </c>
      <c r="BX13" s="422">
        <v>1836</v>
      </c>
      <c r="BY13" s="422">
        <v>3339</v>
      </c>
      <c r="BZ13" s="427">
        <v>3435</v>
      </c>
      <c r="CB13">
        <f t="shared" ref="CB13:CB19" si="13">+AE13/AE$24</f>
        <v>3.1948051948051948</v>
      </c>
      <c r="CC13">
        <f t="shared" ref="CC13:CC19" si="14">+Z13/Z$24</f>
        <v>3.8564931783729155</v>
      </c>
      <c r="CD13" s="6"/>
    </row>
    <row r="14" spans="1:83">
      <c r="A14" s="94" t="s">
        <v>7</v>
      </c>
      <c r="B14" s="177" t="s">
        <v>8</v>
      </c>
      <c r="C14" s="441">
        <v>8</v>
      </c>
      <c r="D14" s="340" t="str">
        <f>+'Value Line'!E21</f>
        <v>B++</v>
      </c>
      <c r="E14" s="446">
        <v>67</v>
      </c>
      <c r="F14" s="342" t="str">
        <f>+'1.6 Comps'!K13</f>
        <v>A-</v>
      </c>
      <c r="G14" s="343" t="str">
        <f>+'1.6 Comps'!L13</f>
        <v>Baa1</v>
      </c>
      <c r="H14" s="167">
        <f>0.5062+0.0271</f>
        <v>0.5333</v>
      </c>
      <c r="I14" s="168">
        <f>0.5138+0.2297</f>
        <v>0.74350000000000005</v>
      </c>
      <c r="J14" s="169">
        <f>0.6007+0.0422</f>
        <v>0.64290000000000003</v>
      </c>
      <c r="K14" s="168">
        <f>0.6116+0.215</f>
        <v>0.8266</v>
      </c>
      <c r="L14" s="445">
        <f>2783863/4661060</f>
        <v>0.59725963622008726</v>
      </c>
      <c r="M14" s="445">
        <f>125949/205839</f>
        <v>0.61188113039802949</v>
      </c>
      <c r="N14" s="492">
        <f>2470664/4286435</f>
        <v>0.57639133685685195</v>
      </c>
      <c r="O14" s="445">
        <f>162718/207601</f>
        <v>0.7838016194527001</v>
      </c>
      <c r="P14" s="492">
        <f>2144376/3438483</f>
        <v>0.62364013432667842</v>
      </c>
      <c r="Q14" s="445">
        <f>148369/216717</f>
        <v>0.68462095728530759</v>
      </c>
      <c r="R14" s="269">
        <f>+'1.7 Growth &amp; Beta'!B13</f>
        <v>5.5E-2</v>
      </c>
      <c r="S14" s="269">
        <f>+Dividends!L23</f>
        <v>1.4999999999999999E-2</v>
      </c>
      <c r="T14" s="170">
        <v>7221.3</v>
      </c>
      <c r="U14" s="280">
        <v>4839.1109999999999</v>
      </c>
      <c r="V14" s="190">
        <v>4661.0600000000004</v>
      </c>
      <c r="W14" s="190">
        <v>4286.4350000000004</v>
      </c>
      <c r="X14" s="190">
        <v>3438.4830000000002</v>
      </c>
      <c r="Y14" s="287">
        <f t="shared" ref="Y14:Y19" si="15">(+X14-W14)/W14</f>
        <v>-0.19782219956677288</v>
      </c>
      <c r="Z14" s="190">
        <v>4136.8590000000004</v>
      </c>
      <c r="AA14" s="183">
        <v>4439.1030000000001</v>
      </c>
      <c r="AB14" s="190">
        <v>4793.0749999999998</v>
      </c>
      <c r="AC14" s="190">
        <v>5147.9179999999997</v>
      </c>
      <c r="AD14" s="190">
        <v>5475.6040000000003</v>
      </c>
      <c r="AE14" s="182">
        <v>4172.2839999999997</v>
      </c>
      <c r="AF14" s="188">
        <v>4346.1610000000001</v>
      </c>
      <c r="AG14" s="463"/>
      <c r="AH14" s="444"/>
      <c r="AI14" s="412">
        <v>3888.6</v>
      </c>
      <c r="AJ14" s="185">
        <v>2</v>
      </c>
      <c r="AK14" s="184">
        <v>2.08</v>
      </c>
      <c r="AL14" s="411">
        <v>2.2000000000000002</v>
      </c>
      <c r="AM14" s="411">
        <v>2.27</v>
      </c>
      <c r="AN14" s="411">
        <v>2.37</v>
      </c>
      <c r="AO14" s="186">
        <f>117.288/180.331</f>
        <v>0.65040397934908589</v>
      </c>
      <c r="AP14" s="187">
        <f>121.46/190.978</f>
        <v>0.63598948569992353</v>
      </c>
      <c r="AQ14" s="405">
        <f>+Dividends!H6/'Comp Detail'!AL14</f>
        <v>0.61136363636363644</v>
      </c>
      <c r="AR14" s="407">
        <f>+Dividends!I6/'Comp Detail'!AM14</f>
        <v>0.60132158590308371</v>
      </c>
      <c r="AS14" s="407">
        <f>+Dividends!J6/'Comp Detail'!AN14</f>
        <v>0.5843881856540083</v>
      </c>
      <c r="AT14" s="186">
        <f>2119.792/4172.284</f>
        <v>0.50806512691849359</v>
      </c>
      <c r="AU14" s="187">
        <f>2169.4/4346.161</f>
        <v>0.49915316068594789</v>
      </c>
      <c r="AV14" s="189">
        <f>1809551/3987899</f>
        <v>0.45376048891910253</v>
      </c>
      <c r="AW14" s="189">
        <f>2206117/4461538</f>
        <v>0.4944745511525398</v>
      </c>
      <c r="AX14" s="189">
        <f>1956305/4315548</f>
        <v>0.45331554648447892</v>
      </c>
      <c r="AY14" s="186">
        <f>2052.492/4172.284</f>
        <v>0.49193487308150652</v>
      </c>
      <c r="AZ14" s="187">
        <f>2176.761/4346.161</f>
        <v>0.50084683931405205</v>
      </c>
      <c r="BA14" s="189">
        <f t="shared" ref="BA14:BA19" si="16">1-AV14</f>
        <v>0.54623951108089752</v>
      </c>
      <c r="BB14" s="189">
        <f t="shared" ref="BB14:BB19" si="17">1-AW14</f>
        <v>0.5055254488474602</v>
      </c>
      <c r="BC14" s="189">
        <f t="shared" ref="BC14:BC19" si="18">1-AX14</f>
        <v>0.54668445351552108</v>
      </c>
      <c r="BD14" s="186">
        <f>180.331/2052.492</f>
        <v>8.785953855118557E-2</v>
      </c>
      <c r="BE14" s="189">
        <f t="shared" ref="BE14:BE19" si="19">+BS14/BW14</f>
        <v>8.7734941961933349E-2</v>
      </c>
      <c r="BF14" s="189">
        <f t="shared" si="10"/>
        <v>9.4493166381129187E-2</v>
      </c>
      <c r="BG14" s="189">
        <f t="shared" si="10"/>
        <v>9.2045343197567117E-2</v>
      </c>
      <c r="BH14" s="189">
        <f t="shared" si="10"/>
        <v>9.1858702134540615E-2</v>
      </c>
      <c r="BI14" s="189">
        <f t="shared" ref="BI14:BI19" si="20">AVERAGE(BF14:BH14)</f>
        <v>9.2799070571078987E-2</v>
      </c>
      <c r="BJ14" s="413">
        <f t="shared" ref="BJ14:BJ19" si="21">AVERAGE(BD14:BH14)</f>
        <v>9.0798338445271173E-2</v>
      </c>
      <c r="BK14" s="442">
        <v>10.292999999999999</v>
      </c>
      <c r="BL14" s="443">
        <v>41247</v>
      </c>
      <c r="BM14" s="337">
        <f t="shared" si="11"/>
        <v>0.34959602065091411</v>
      </c>
      <c r="BN14" s="287">
        <f t="shared" si="11"/>
        <v>0.36401051430007647</v>
      </c>
      <c r="BO14" s="287">
        <f t="shared" si="12"/>
        <v>0.38863636363636356</v>
      </c>
      <c r="BP14" s="287">
        <f t="shared" si="12"/>
        <v>0.39867841409691629</v>
      </c>
      <c r="BQ14" s="287">
        <f t="shared" si="12"/>
        <v>0.4156118143459917</v>
      </c>
      <c r="BR14" s="223"/>
      <c r="BS14" s="423">
        <v>190.97800000000001</v>
      </c>
      <c r="BT14" s="422">
        <v>205.839</v>
      </c>
      <c r="BU14" s="422">
        <v>207.601</v>
      </c>
      <c r="BV14" s="427">
        <v>216.71700000000001</v>
      </c>
      <c r="BW14" s="423">
        <v>2176.761</v>
      </c>
      <c r="BX14" s="422">
        <v>2178.348</v>
      </c>
      <c r="BY14" s="422">
        <v>2255.4209999999998</v>
      </c>
      <c r="BZ14" s="427">
        <v>2359.2429999999999</v>
      </c>
      <c r="CB14">
        <f t="shared" si="13"/>
        <v>5.5291333156639269</v>
      </c>
      <c r="CC14">
        <f t="shared" si="14"/>
        <v>4.1807569479535118</v>
      </c>
    </row>
    <row r="15" spans="1:83">
      <c r="A15" s="94" t="s">
        <v>10</v>
      </c>
      <c r="B15" s="177" t="s">
        <v>11</v>
      </c>
      <c r="C15" s="346">
        <v>5</v>
      </c>
      <c r="D15" s="340" t="str">
        <f>+'Value Line'!E22</f>
        <v>B++</v>
      </c>
      <c r="E15" s="446">
        <v>73</v>
      </c>
      <c r="F15" s="342" t="str">
        <f>+'1.6 Comps'!K14</f>
        <v>A-</v>
      </c>
      <c r="G15" s="343" t="str">
        <f>+'1.6 Comps'!L14</f>
        <v>Baa2</v>
      </c>
      <c r="H15" s="167">
        <v>0.51</v>
      </c>
      <c r="I15" s="168">
        <v>0.68</v>
      </c>
      <c r="J15" s="168">
        <v>0.56000000000000005</v>
      </c>
      <c r="K15" s="168">
        <v>0.52</v>
      </c>
      <c r="L15" s="445">
        <f>864297/1735029</f>
        <v>0.49814556413754468</v>
      </c>
      <c r="M15" s="445">
        <f>36141/56165</f>
        <v>0.6434790349862014</v>
      </c>
      <c r="N15" s="492">
        <f>913190/1603307</f>
        <v>0.56956652718412626</v>
      </c>
      <c r="O15" s="445">
        <f>46952/62410</f>
        <v>0.75231533408107676</v>
      </c>
      <c r="P15" s="492">
        <f>763447/1125475</f>
        <v>0.67833314822630442</v>
      </c>
      <c r="Q15" s="445">
        <f>48089/62612</f>
        <v>0.76804765859579638</v>
      </c>
      <c r="R15" s="269">
        <f>+'1.7 Growth &amp; Beta'!B14</f>
        <v>0.06</v>
      </c>
      <c r="S15" s="269">
        <f>+Dividends!L24</f>
        <v>3.5000000000000003E-2</v>
      </c>
      <c r="T15" s="170">
        <v>2209</v>
      </c>
      <c r="U15" s="280">
        <v>1895.2</v>
      </c>
      <c r="V15" s="280">
        <v>1735.029</v>
      </c>
      <c r="W15" s="280">
        <v>1603.307</v>
      </c>
      <c r="X15" s="280">
        <v>1125.4749999999999</v>
      </c>
      <c r="Y15" s="287">
        <f t="shared" si="15"/>
        <v>-0.29802901128729564</v>
      </c>
      <c r="Z15" s="190">
        <v>823.197</v>
      </c>
      <c r="AA15" s="183">
        <v>855.92899999999997</v>
      </c>
      <c r="AB15" s="190">
        <v>884.08399999999995</v>
      </c>
      <c r="AC15" s="190">
        <v>928.68299999999999</v>
      </c>
      <c r="AD15" s="190">
        <v>1019.299</v>
      </c>
      <c r="AE15" s="182">
        <v>876.12699999999995</v>
      </c>
      <c r="AF15" s="188">
        <v>906.27</v>
      </c>
      <c r="AG15" s="463"/>
      <c r="AH15" s="444"/>
      <c r="AI15" s="412">
        <v>998.2</v>
      </c>
      <c r="AJ15" s="185">
        <v>2.64</v>
      </c>
      <c r="AK15" s="184">
        <v>2.92</v>
      </c>
      <c r="AL15" s="411">
        <v>2.4300000000000002</v>
      </c>
      <c r="AM15" s="411">
        <v>2.87</v>
      </c>
      <c r="AN15" s="411">
        <v>2.8</v>
      </c>
      <c r="AO15" s="186">
        <f>32.43/57.526</f>
        <v>0.56374508917706767</v>
      </c>
      <c r="AP15" s="187">
        <f>33.806/64.247</f>
        <v>0.52618799321369092</v>
      </c>
      <c r="AQ15" s="405">
        <f>+Dividends!H7/'Comp Detail'!AL15</f>
        <v>0.65432098765432101</v>
      </c>
      <c r="AR15" s="407">
        <f>+Dividends!I7/'Comp Detail'!AM15</f>
        <v>0.56794425087108014</v>
      </c>
      <c r="AS15" s="407">
        <f>+Dividends!J7/'Comp Detail'!AN15</f>
        <v>0.59642857142857142</v>
      </c>
      <c r="AT15" s="186">
        <f>389.181/876.127</f>
        <v>0.44420614819541004</v>
      </c>
      <c r="AU15" s="187">
        <f>389.24/906.27</f>
        <v>0.42949672834806407</v>
      </c>
      <c r="AV15" s="189">
        <f>364298/899875</f>
        <v>0.40483178219197113</v>
      </c>
      <c r="AW15" s="189">
        <f>364357/937688</f>
        <v>0.38856954552047163</v>
      </c>
      <c r="AX15" s="189">
        <f>339416/941027</f>
        <v>0.36068678156949802</v>
      </c>
      <c r="AY15" s="186">
        <f>486.479/876.127</f>
        <v>0.55526082405861255</v>
      </c>
      <c r="AZ15" s="187">
        <f>517.03/906.27</f>
        <v>0.57050327165193593</v>
      </c>
      <c r="BA15" s="189">
        <f t="shared" si="16"/>
        <v>0.59516821780802887</v>
      </c>
      <c r="BB15" s="189">
        <f t="shared" si="17"/>
        <v>0.61143045447952837</v>
      </c>
      <c r="BC15" s="189">
        <f t="shared" si="18"/>
        <v>0.63931321843050193</v>
      </c>
      <c r="BD15" s="186">
        <f>57.526/486.479</f>
        <v>0.11824970862051601</v>
      </c>
      <c r="BE15" s="189">
        <f t="shared" si="19"/>
        <v>0.12426164826025569</v>
      </c>
      <c r="BF15" s="189">
        <f t="shared" si="10"/>
        <v>0.10090052410764465</v>
      </c>
      <c r="BG15" s="189">
        <f t="shared" si="10"/>
        <v>0.11132312747784438</v>
      </c>
      <c r="BH15" s="189">
        <f t="shared" si="10"/>
        <v>0.10412043662765474</v>
      </c>
      <c r="BI15" s="189">
        <f t="shared" si="20"/>
        <v>0.10544802940438125</v>
      </c>
      <c r="BJ15" s="413">
        <f t="shared" si="21"/>
        <v>0.1117710890187831</v>
      </c>
      <c r="BK15" s="442" t="s">
        <v>228</v>
      </c>
      <c r="BL15" s="443">
        <v>41346</v>
      </c>
      <c r="BM15" s="337">
        <f t="shared" si="11"/>
        <v>0.43625491082293233</v>
      </c>
      <c r="BN15" s="287">
        <f t="shared" si="11"/>
        <v>0.47381200678630908</v>
      </c>
      <c r="BO15" s="287">
        <f t="shared" si="12"/>
        <v>0.34567901234567899</v>
      </c>
      <c r="BP15" s="287">
        <f t="shared" si="12"/>
        <v>0.43205574912891986</v>
      </c>
      <c r="BQ15" s="287">
        <f t="shared" si="12"/>
        <v>0.40357142857142858</v>
      </c>
      <c r="BR15" s="223"/>
      <c r="BS15" s="423">
        <v>64.247</v>
      </c>
      <c r="BT15" s="422">
        <v>54.04</v>
      </c>
      <c r="BU15" s="422">
        <v>63.825000000000003</v>
      </c>
      <c r="BV15" s="427">
        <v>62.64</v>
      </c>
      <c r="BW15" s="423">
        <v>517.03</v>
      </c>
      <c r="BX15" s="422">
        <v>535.577</v>
      </c>
      <c r="BY15" s="422">
        <v>573.33100000000002</v>
      </c>
      <c r="BZ15" s="427">
        <v>601.61099999999999</v>
      </c>
      <c r="CB15">
        <f t="shared" si="13"/>
        <v>1.1610482374768087</v>
      </c>
      <c r="CC15">
        <f t="shared" si="14"/>
        <v>0.83193228903486605</v>
      </c>
    </row>
    <row r="16" spans="1:83" s="122" customFormat="1">
      <c r="A16" s="384" t="s">
        <v>14</v>
      </c>
      <c r="B16" s="385" t="s">
        <v>15</v>
      </c>
      <c r="C16" s="386">
        <v>7</v>
      </c>
      <c r="D16" s="387" t="str">
        <f>+'Value Line'!E23</f>
        <v>A</v>
      </c>
      <c r="E16" s="446">
        <v>65</v>
      </c>
      <c r="F16" s="578" t="str">
        <f>+'1.6 Comps'!K15</f>
        <v>A+</v>
      </c>
      <c r="G16" s="505" t="str">
        <f>+'1.6 Comps'!L15</f>
        <v>A3</v>
      </c>
      <c r="H16" s="388">
        <f>337596/356215</f>
        <v>0.94773100515138331</v>
      </c>
      <c r="I16" s="389">
        <f>58739/69525</f>
        <v>0.84486156058971595</v>
      </c>
      <c r="J16" s="389">
        <f>357005/376887</f>
        <v>0.94724678749864022</v>
      </c>
      <c r="K16" s="389">
        <f>65960/75122</f>
        <v>0.8780383908841618</v>
      </c>
      <c r="L16" s="389">
        <f>770642/792115</f>
        <v>0.97289156246252118</v>
      </c>
      <c r="M16" s="389">
        <f>66.262/72.667</f>
        <v>0.91185820248530969</v>
      </c>
      <c r="N16" s="388">
        <f>801478/828055</f>
        <v>0.96790430587340215</v>
      </c>
      <c r="O16" s="389">
        <f>60.527/63.898</f>
        <v>0.94724404519703276</v>
      </c>
      <c r="P16" s="388">
        <f>699862/730607</f>
        <v>0.95791855265553161</v>
      </c>
      <c r="Q16" s="389">
        <f>55.125/59.855</f>
        <v>0.92097569125386358</v>
      </c>
      <c r="R16" s="390">
        <f>+'1.7 Growth &amp; Beta'!B15</f>
        <v>4.4999999999999998E-2</v>
      </c>
      <c r="S16" s="390">
        <f>+Dividends!L25</f>
        <v>2.5000000000000001E-2</v>
      </c>
      <c r="T16" s="391">
        <v>1037.9000000000001</v>
      </c>
      <c r="U16" s="392">
        <v>1012.711</v>
      </c>
      <c r="V16" s="392">
        <v>792.11500000000001</v>
      </c>
      <c r="W16" s="392">
        <v>828.05499999999995</v>
      </c>
      <c r="X16" s="392">
        <v>730.60699999999997</v>
      </c>
      <c r="Y16" s="393">
        <f t="shared" si="15"/>
        <v>-0.11768300414827515</v>
      </c>
      <c r="Z16" s="392">
        <v>1549.057</v>
      </c>
      <c r="AA16" s="394">
        <v>1670.134</v>
      </c>
      <c r="AB16" s="392">
        <v>1854.163</v>
      </c>
      <c r="AC16" s="392">
        <v>1893.876</v>
      </c>
      <c r="AD16" s="392">
        <v>1973.6120000000001</v>
      </c>
      <c r="AE16" s="391">
        <v>1140.373</v>
      </c>
      <c r="AF16" s="395">
        <v>1261.8050000000001</v>
      </c>
      <c r="AG16" s="463"/>
      <c r="AH16" s="444"/>
      <c r="AI16" s="581">
        <v>1188.8</v>
      </c>
      <c r="AJ16" s="385">
        <v>2.61</v>
      </c>
      <c r="AK16" s="396">
        <v>2.83</v>
      </c>
      <c r="AL16" s="458">
        <v>2.73</v>
      </c>
      <c r="AM16" s="458">
        <v>2.39</v>
      </c>
      <c r="AN16" s="458">
        <v>2.2200000000000002</v>
      </c>
      <c r="AO16" s="397">
        <f>40.178/69.525</f>
        <v>0.57789284430061116</v>
      </c>
      <c r="AP16" s="393">
        <f>42.415/75.122</f>
        <v>0.56461489310721225</v>
      </c>
      <c r="AQ16" s="465">
        <f>+Dividends!H8/'Comp Detail'!AL16</f>
        <v>0.61538461538461542</v>
      </c>
      <c r="AR16" s="415">
        <f>+Dividends!I8/'Comp Detail'!AM16</f>
        <v>0.73221757322175729</v>
      </c>
      <c r="AS16" s="415">
        <f>+Dividends!J8/'Comp Detail'!AN16</f>
        <v>0.80630630630630629</v>
      </c>
      <c r="AT16" s="397">
        <f>512/1140.373</f>
        <v>0.4489759052520535</v>
      </c>
      <c r="AU16" s="393">
        <f>601.7/1261.805</f>
        <v>0.47685656658516967</v>
      </c>
      <c r="AV16" s="398">
        <f>591700/1284801</f>
        <v>0.46053824677907318</v>
      </c>
      <c r="AW16" s="398">
        <f>641700/(641700+714488)</f>
        <v>0.47316448751942947</v>
      </c>
      <c r="AX16" s="398">
        <f>691700/(671700+733033)</f>
        <v>0.49240674206415025</v>
      </c>
      <c r="AY16" s="397">
        <f>628.373/1140.373</f>
        <v>0.55102409474794656</v>
      </c>
      <c r="AZ16" s="393">
        <f>660.105/1261.805</f>
        <v>0.52314343341483038</v>
      </c>
      <c r="BA16" s="398">
        <f t="shared" si="16"/>
        <v>0.53946175322092682</v>
      </c>
      <c r="BB16" s="398">
        <f t="shared" si="17"/>
        <v>0.52683551248057059</v>
      </c>
      <c r="BC16" s="398">
        <f t="shared" si="18"/>
        <v>0.50759325793584975</v>
      </c>
      <c r="BD16" s="397">
        <f>69.525/628.373</f>
        <v>0.11064288249176843</v>
      </c>
      <c r="BE16" s="398">
        <f t="shared" si="19"/>
        <v>0.11380310708144915</v>
      </c>
      <c r="BF16" s="398">
        <f t="shared" si="10"/>
        <v>0.10484330566540807</v>
      </c>
      <c r="BG16" s="398">
        <f t="shared" si="10"/>
        <v>8.9431872893596526E-2</v>
      </c>
      <c r="BH16" s="398">
        <f t="shared" si="10"/>
        <v>8.1653895527213638E-2</v>
      </c>
      <c r="BI16" s="398">
        <f t="shared" si="20"/>
        <v>9.1976358028739422E-2</v>
      </c>
      <c r="BJ16" s="398">
        <f t="shared" si="21"/>
        <v>0.10007501273188715</v>
      </c>
      <c r="BK16" s="814" t="s">
        <v>338</v>
      </c>
      <c r="BL16" s="584">
        <v>41208</v>
      </c>
      <c r="BM16" s="397">
        <f t="shared" ref="BM16:BM19" si="22">1-AO16</f>
        <v>0.42210715569938884</v>
      </c>
      <c r="BN16" s="393">
        <f t="shared" si="11"/>
        <v>0.43538510689278775</v>
      </c>
      <c r="BO16" s="393">
        <f t="shared" si="12"/>
        <v>0.38461538461538458</v>
      </c>
      <c r="BP16" s="393">
        <f t="shared" si="12"/>
        <v>0.26778242677824271</v>
      </c>
      <c r="BQ16" s="393">
        <f t="shared" si="12"/>
        <v>0.19369369369369371</v>
      </c>
      <c r="BR16" s="398"/>
      <c r="BS16" s="428">
        <v>75.122</v>
      </c>
      <c r="BT16" s="429">
        <v>72.667000000000002</v>
      </c>
      <c r="BU16" s="429">
        <v>63.898000000000003</v>
      </c>
      <c r="BV16" s="430">
        <v>59.854999999999997</v>
      </c>
      <c r="BW16" s="431">
        <v>660.10500000000002</v>
      </c>
      <c r="BX16" s="429">
        <v>693.101</v>
      </c>
      <c r="BY16" s="429">
        <v>714.48800000000006</v>
      </c>
      <c r="BZ16" s="430">
        <v>733.03300000000002</v>
      </c>
      <c r="CB16" s="122">
        <f t="shared" si="13"/>
        <v>1.5112284654121388</v>
      </c>
      <c r="CC16" s="122">
        <f t="shared" si="14"/>
        <v>1.5654946942900454</v>
      </c>
    </row>
    <row r="17" spans="1:81" s="122" customFormat="1">
      <c r="A17" s="384" t="s">
        <v>16</v>
      </c>
      <c r="B17" s="385" t="s">
        <v>17</v>
      </c>
      <c r="C17" s="386">
        <v>7</v>
      </c>
      <c r="D17" s="387" t="str">
        <f>+'Value Line'!E24</f>
        <v>B++</v>
      </c>
      <c r="E17" s="446">
        <v>83</v>
      </c>
      <c r="F17" s="578" t="str">
        <f>+'1.6 Comps'!K16</f>
        <v>A</v>
      </c>
      <c r="G17" s="505" t="str">
        <f>+'1.6 Comps'!L16</f>
        <v>A3</v>
      </c>
      <c r="H17" s="388">
        <v>1</v>
      </c>
      <c r="I17" s="389">
        <v>1</v>
      </c>
      <c r="J17" s="389">
        <v>1</v>
      </c>
      <c r="K17" s="389">
        <v>0.84</v>
      </c>
      <c r="L17" s="389">
        <v>1</v>
      </c>
      <c r="M17" s="389">
        <v>1</v>
      </c>
      <c r="N17" s="388">
        <v>1</v>
      </c>
      <c r="O17" s="389">
        <v>1</v>
      </c>
      <c r="P17" s="388">
        <v>1</v>
      </c>
      <c r="Q17" s="389">
        <v>1</v>
      </c>
      <c r="R17" s="390">
        <f>+'1.7 Growth &amp; Beta'!B16</f>
        <v>4.4999999999999998E-2</v>
      </c>
      <c r="S17" s="390">
        <f>+Dividends!L26</f>
        <v>0.03</v>
      </c>
      <c r="T17" s="391">
        <v>2089.1</v>
      </c>
      <c r="U17" s="392">
        <v>1638.1</v>
      </c>
      <c r="V17" s="392">
        <v>1552.2950000000001</v>
      </c>
      <c r="W17" s="392">
        <v>1433.905</v>
      </c>
      <c r="X17" s="392">
        <v>1122.78</v>
      </c>
      <c r="Y17" s="393">
        <f t="shared" si="15"/>
        <v>-0.21697741482176294</v>
      </c>
      <c r="Z17" s="392">
        <v>2240.8339999999998</v>
      </c>
      <c r="AA17" s="394">
        <v>2304.3919999999998</v>
      </c>
      <c r="AB17" s="392">
        <v>2437.6640000000002</v>
      </c>
      <c r="AC17" s="392">
        <v>2627.2620000000002</v>
      </c>
      <c r="AD17" s="392">
        <v>3105.0859999999998</v>
      </c>
      <c r="AE17" s="391">
        <v>1681.5050000000001</v>
      </c>
      <c r="AF17" s="395">
        <v>1660.46</v>
      </c>
      <c r="AG17" s="463"/>
      <c r="AH17" s="444"/>
      <c r="AI17" s="581">
        <v>2465.4</v>
      </c>
      <c r="AJ17" s="385">
        <v>1.49</v>
      </c>
      <c r="AK17" s="396">
        <v>1.67</v>
      </c>
      <c r="AL17" s="458">
        <v>1.96</v>
      </c>
      <c r="AM17" s="458">
        <v>1.57</v>
      </c>
      <c r="AN17" s="458">
        <v>1.66</v>
      </c>
      <c r="AO17" s="397">
        <f>75.513/110.007</f>
        <v>0.68643813575499746</v>
      </c>
      <c r="AP17" s="393">
        <f>78.37/122.824</f>
        <v>0.6380674786686642</v>
      </c>
      <c r="AQ17" s="465">
        <f>+Dividends!H9/'Comp Detail'!AL17</f>
        <v>0.57142857142857151</v>
      </c>
      <c r="AR17" s="415">
        <f>+Dividends!I9/'Comp Detail'!AM17</f>
        <v>0.73248407643312097</v>
      </c>
      <c r="AS17" s="415">
        <f>+Dividends!J9/'Comp Detail'!AN17</f>
        <v>0.72289156626506024</v>
      </c>
      <c r="AT17" s="397">
        <f>794.261/1681.505</f>
        <v>0.47235125676105627</v>
      </c>
      <c r="AU17" s="393">
        <f>732.512/1660.46</f>
        <v>0.44115004275923536</v>
      </c>
      <c r="AV17" s="398">
        <f>671922/1636863</f>
        <v>0.41049373099642428</v>
      </c>
      <c r="AW17" s="398">
        <f>675000/1671923</f>
        <v>0.40372672664949283</v>
      </c>
      <c r="AX17" s="398">
        <f>975000/2002004</f>
        <v>0.48701201396201005</v>
      </c>
      <c r="AY17" s="397">
        <f>887.244/1681.505</f>
        <v>0.52764874323894362</v>
      </c>
      <c r="AZ17" s="393">
        <f>927.948/1600.46</f>
        <v>0.5798008072679105</v>
      </c>
      <c r="BA17" s="398">
        <f t="shared" si="16"/>
        <v>0.58950626900357572</v>
      </c>
      <c r="BB17" s="398">
        <f t="shared" si="17"/>
        <v>0.59627327335050717</v>
      </c>
      <c r="BC17" s="398">
        <f t="shared" si="18"/>
        <v>0.51298798603799001</v>
      </c>
      <c r="BD17" s="397">
        <f>110.007/887.244</f>
        <v>0.12398731352367556</v>
      </c>
      <c r="BE17" s="398">
        <f t="shared" si="19"/>
        <v>0.13236086504847255</v>
      </c>
      <c r="BF17" s="398">
        <f t="shared" si="10"/>
        <v>0.14711158506064101</v>
      </c>
      <c r="BG17" s="398">
        <f t="shared" si="10"/>
        <v>0.11391852730852833</v>
      </c>
      <c r="BH17" s="398">
        <f t="shared" si="10"/>
        <v>0.11669574802045563</v>
      </c>
      <c r="BI17" s="398">
        <f t="shared" si="20"/>
        <v>0.125908620129875</v>
      </c>
      <c r="BJ17" s="398">
        <f t="shared" si="21"/>
        <v>0.12681480779235463</v>
      </c>
      <c r="BK17" s="442">
        <v>10.199999999999999</v>
      </c>
      <c r="BL17" s="584">
        <v>40931</v>
      </c>
      <c r="BM17" s="397">
        <f t="shared" si="22"/>
        <v>0.31356186424500254</v>
      </c>
      <c r="BN17" s="393">
        <f>1-AP17</f>
        <v>0.3619325213313358</v>
      </c>
      <c r="BO17" s="393">
        <f t="shared" si="12"/>
        <v>0.42857142857142849</v>
      </c>
      <c r="BP17" s="393">
        <f t="shared" si="12"/>
        <v>0.26751592356687903</v>
      </c>
      <c r="BQ17" s="393">
        <f t="shared" si="12"/>
        <v>0.27710843373493976</v>
      </c>
      <c r="BR17" s="398"/>
      <c r="BS17" s="428">
        <v>122.824</v>
      </c>
      <c r="BT17" s="429">
        <v>141.95400000000001</v>
      </c>
      <c r="BU17" s="429">
        <v>113.568</v>
      </c>
      <c r="BV17" s="430">
        <v>119.84699999999999</v>
      </c>
      <c r="BW17" s="431">
        <v>927.94799999999998</v>
      </c>
      <c r="BX17" s="429">
        <v>964.94100000000003</v>
      </c>
      <c r="BY17" s="429">
        <v>996.923</v>
      </c>
      <c r="BZ17" s="430">
        <v>1027.0039999999999</v>
      </c>
      <c r="CB17" s="122">
        <f t="shared" si="13"/>
        <v>2.2283395176252321</v>
      </c>
      <c r="CC17" s="122">
        <f t="shared" si="14"/>
        <v>2.2646124305204647</v>
      </c>
    </row>
    <row r="18" spans="1:81">
      <c r="A18" s="94" t="s">
        <v>18</v>
      </c>
      <c r="B18" s="177" t="s">
        <v>19</v>
      </c>
      <c r="C18" s="346">
        <v>4</v>
      </c>
      <c r="D18" s="340" t="str">
        <f>+'Value Line'!E25</f>
        <v>B++</v>
      </c>
      <c r="E18" s="446">
        <v>74</v>
      </c>
      <c r="F18" s="342" t="str">
        <f>+'1.6 Comps'!K17</f>
        <v>BBB+</v>
      </c>
      <c r="G18" s="343" t="str">
        <f>+'1.6 Comps'!L17</f>
        <v>N/A</v>
      </c>
      <c r="H18" s="167">
        <v>0.59</v>
      </c>
      <c r="I18" s="168">
        <v>0.55000000000000004</v>
      </c>
      <c r="J18" s="168">
        <f>480264/845444</f>
        <v>0.56806127904391068</v>
      </c>
      <c r="K18" s="168">
        <f>81.439/111.11</f>
        <v>0.73295832958329576</v>
      </c>
      <c r="L18" s="445">
        <f>475982/925067</f>
        <v>0.51453786590592898</v>
      </c>
      <c r="M18" s="445">
        <f>90700/116492</f>
        <v>0.77859423823095153</v>
      </c>
      <c r="N18" s="492">
        <f>412449/828560</f>
        <v>0.4977901419329922</v>
      </c>
      <c r="O18" s="445">
        <f>102663/121607</f>
        <v>0.84421949394360518</v>
      </c>
      <c r="P18" s="492">
        <f>421874/706280</f>
        <v>0.59731834399954697</v>
      </c>
      <c r="Q18" s="445">
        <f>101762/109898</f>
        <v>0.92596771551802581</v>
      </c>
      <c r="R18" s="269">
        <f>+'1.7 Growth &amp; Beta'!B17</f>
        <v>7.4999999999999997E-2</v>
      </c>
      <c r="S18" s="269">
        <f>+Dividends!L27</f>
        <v>8.5000000000000006E-2</v>
      </c>
      <c r="T18" s="170">
        <v>962</v>
      </c>
      <c r="U18" s="280">
        <v>845.44399999999996</v>
      </c>
      <c r="V18" s="280">
        <v>925.06700000000001</v>
      </c>
      <c r="W18" s="280">
        <v>828.56</v>
      </c>
      <c r="X18" s="280">
        <v>706.28</v>
      </c>
      <c r="Y18" s="287">
        <f t="shared" si="15"/>
        <v>-0.14758134594959929</v>
      </c>
      <c r="Z18" s="190">
        <v>982.60799999999995</v>
      </c>
      <c r="AA18" s="183">
        <v>1073.0719999999999</v>
      </c>
      <c r="AB18" s="190">
        <v>1193.2550000000001</v>
      </c>
      <c r="AC18" s="190">
        <v>1352.393</v>
      </c>
      <c r="AD18" s="190">
        <v>1578.021</v>
      </c>
      <c r="AE18" s="182">
        <v>849.23199999999997</v>
      </c>
      <c r="AF18" s="188">
        <v>857.35699999999997</v>
      </c>
      <c r="AG18" s="463"/>
      <c r="AH18" s="444"/>
      <c r="AI18" s="412">
        <v>1820.4</v>
      </c>
      <c r="AJ18" s="185">
        <v>2.59</v>
      </c>
      <c r="AK18" s="184">
        <v>1.96</v>
      </c>
      <c r="AL18" s="411">
        <v>2.25</v>
      </c>
      <c r="AM18" s="411">
        <v>2.99</v>
      </c>
      <c r="AN18" s="411">
        <v>3.01</v>
      </c>
      <c r="AO18" s="186">
        <f>32.914/76.931</f>
        <v>0.42783793269293269</v>
      </c>
      <c r="AP18" s="187">
        <f>36.426/58.301</f>
        <v>0.62479202758100205</v>
      </c>
      <c r="AQ18" s="405">
        <f>+Dividends!H10/'Comp Detail'!AL18</f>
        <v>0.60222222222222221</v>
      </c>
      <c r="AR18" s="407">
        <f>+Dividends!I10/'Comp Detail'!AM18</f>
        <v>0.50100334448160533</v>
      </c>
      <c r="AS18" s="407">
        <f>+Dividends!J10/'Comp Detail'!AN18</f>
        <v>0.54883720930232571</v>
      </c>
      <c r="AT18" s="186">
        <f>332.784/849.232</f>
        <v>0.3918646494715225</v>
      </c>
      <c r="AU18" s="187">
        <f>312.793/857.357</f>
        <v>0.3648340189675946</v>
      </c>
      <c r="AV18" s="189">
        <f>340000/910097</f>
        <v>0.37358655176316369</v>
      </c>
      <c r="AW18" s="189">
        <f>424213/1048327</f>
        <v>0.40465713465359571</v>
      </c>
      <c r="AX18" s="189">
        <f>601400/1337614</f>
        <v>0.44960653820907975</v>
      </c>
      <c r="AY18" s="186">
        <f>516.448/849.232</f>
        <v>0.60813535052847745</v>
      </c>
      <c r="AZ18" s="187">
        <f>544.564/857.357</f>
        <v>0.6351659810324054</v>
      </c>
      <c r="BA18" s="189">
        <f t="shared" si="16"/>
        <v>0.62641344823683631</v>
      </c>
      <c r="BB18" s="189">
        <f t="shared" si="17"/>
        <v>0.59534286534640435</v>
      </c>
      <c r="BC18" s="189">
        <f t="shared" si="18"/>
        <v>0.5503934617909203</v>
      </c>
      <c r="BD18" s="186">
        <f>76.931/516.448</f>
        <v>0.14896175413594398</v>
      </c>
      <c r="BE18" s="189">
        <f t="shared" si="19"/>
        <v>0.10627584636516554</v>
      </c>
      <c r="BF18" s="189">
        <f t="shared" si="10"/>
        <v>0.11691343753782252</v>
      </c>
      <c r="BG18" s="189">
        <f t="shared" si="10"/>
        <v>0.14306841378337931</v>
      </c>
      <c r="BH18" s="189">
        <f t="shared" si="10"/>
        <v>0.12443121157706862</v>
      </c>
      <c r="BI18" s="189">
        <f t="shared" si="20"/>
        <v>0.12813768763275682</v>
      </c>
      <c r="BJ18" s="413">
        <f t="shared" si="21"/>
        <v>0.12793013267987602</v>
      </c>
      <c r="BK18" s="442">
        <v>10.3</v>
      </c>
      <c r="BL18" s="443"/>
      <c r="BM18" s="337">
        <f t="shared" si="22"/>
        <v>0.57216206730706731</v>
      </c>
      <c r="BN18" s="287">
        <f t="shared" si="11"/>
        <v>0.37520797241899795</v>
      </c>
      <c r="BO18" s="287">
        <f t="shared" si="12"/>
        <v>0.39777777777777779</v>
      </c>
      <c r="BP18" s="287">
        <f t="shared" si="12"/>
        <v>0.49899665551839467</v>
      </c>
      <c r="BQ18" s="287">
        <f t="shared" si="12"/>
        <v>0.45116279069767429</v>
      </c>
      <c r="BR18" s="223"/>
      <c r="BS18" s="423">
        <v>57.874000000000002</v>
      </c>
      <c r="BT18" s="422">
        <v>66.652000000000001</v>
      </c>
      <c r="BU18" s="422">
        <v>89.290999999999997</v>
      </c>
      <c r="BV18" s="427">
        <v>91.608000000000004</v>
      </c>
      <c r="BW18" s="423">
        <v>544.56399999999996</v>
      </c>
      <c r="BX18" s="422">
        <v>570.09699999999998</v>
      </c>
      <c r="BY18" s="422">
        <v>624.11400000000003</v>
      </c>
      <c r="BZ18" s="427">
        <v>736.21400000000006</v>
      </c>
      <c r="CB18">
        <f t="shared" si="13"/>
        <v>1.1254068380598992</v>
      </c>
      <c r="CC18">
        <f t="shared" si="14"/>
        <v>0.99303486609398683</v>
      </c>
    </row>
    <row r="19" spans="1:81">
      <c r="A19" s="94" t="s">
        <v>138</v>
      </c>
      <c r="B19" s="185" t="s">
        <v>139</v>
      </c>
      <c r="C19" s="441">
        <v>9</v>
      </c>
      <c r="D19" s="460" t="str">
        <f>+'Value Line'!E26</f>
        <v>B+</v>
      </c>
      <c r="E19" s="446">
        <v>84</v>
      </c>
      <c r="F19" s="342" t="str">
        <f>+'1.6 Comps'!K18</f>
        <v>A-</v>
      </c>
      <c r="G19" s="343" t="str">
        <f>+'1.6 Comps'!L18</f>
        <v>Baa1</v>
      </c>
      <c r="H19" s="388">
        <v>0.81</v>
      </c>
      <c r="I19" s="389">
        <v>0.93</v>
      </c>
      <c r="J19" s="414">
        <f>1614843/1893824</f>
        <v>0.85268905663884287</v>
      </c>
      <c r="K19" s="389">
        <f>79420/87482</f>
        <v>0.90784389931643084</v>
      </c>
      <c r="L19" s="445">
        <f>1511907/1830371</f>
        <v>0.82601122941742411</v>
      </c>
      <c r="M19" s="445">
        <f>91382/103877</f>
        <v>0.87971350732115872</v>
      </c>
      <c r="N19" s="492">
        <f>1403366/1887188</f>
        <v>0.74362808580809114</v>
      </c>
      <c r="O19" s="445">
        <f>91420/112287</f>
        <v>0.81416370550464434</v>
      </c>
      <c r="P19" s="492">
        <f>1321728/1927778</f>
        <v>0.68562251462564672</v>
      </c>
      <c r="Q19" s="445">
        <f>116619/133331</f>
        <v>0.87465780651161396</v>
      </c>
      <c r="R19" s="461">
        <f>+'1.7 Growth &amp; Beta'!B18</f>
        <v>0.08</v>
      </c>
      <c r="S19" s="461">
        <f>+Dividends!L28</f>
        <v>7.0000000000000007E-2</v>
      </c>
      <c r="T19" s="182">
        <v>2144.6999999999998</v>
      </c>
      <c r="U19" s="190">
        <v>1893.8240000000001</v>
      </c>
      <c r="V19" s="190">
        <v>1830.3710000000001</v>
      </c>
      <c r="W19" s="190">
        <v>1887.1880000000001</v>
      </c>
      <c r="X19" s="190">
        <v>1927.778</v>
      </c>
      <c r="Y19" s="187">
        <f t="shared" si="15"/>
        <v>2.1508191022833929E-2</v>
      </c>
      <c r="Z19" s="190">
        <v>2983.3069999999998</v>
      </c>
      <c r="AA19" s="183">
        <v>3034.5030000000002</v>
      </c>
      <c r="AB19" s="190">
        <v>3072.4360000000001</v>
      </c>
      <c r="AC19" s="190">
        <v>3218.944</v>
      </c>
      <c r="AD19" s="190">
        <v>3343.7939999999999</v>
      </c>
      <c r="AE19" s="182">
        <v>2323.3150000000001</v>
      </c>
      <c r="AF19" s="188">
        <v>2371.4430000000002</v>
      </c>
      <c r="AG19" s="463"/>
      <c r="AH19" s="444"/>
      <c r="AI19" s="412">
        <v>2244.6999999999998</v>
      </c>
      <c r="AJ19" s="385">
        <v>1.39</v>
      </c>
      <c r="AK19" s="396">
        <v>1.94</v>
      </c>
      <c r="AL19" s="411">
        <v>2.27</v>
      </c>
      <c r="AM19" s="411">
        <v>2.4300000000000002</v>
      </c>
      <c r="AN19" s="411">
        <v>2.86</v>
      </c>
      <c r="AO19" s="186">
        <f>38.705/60.973</f>
        <v>0.63478916897643223</v>
      </c>
      <c r="AP19" s="187">
        <f>41950/87118</f>
        <v>0.48153079730939646</v>
      </c>
      <c r="AQ19" s="405">
        <f>+Dividends!H11/'Comp Detail'!AL19</f>
        <v>0.4352422907488987</v>
      </c>
      <c r="AR19" s="407">
        <f>+Dividends!I11/'Comp Detail'!AM19</f>
        <v>0.43004115226337442</v>
      </c>
      <c r="AS19" s="407">
        <f>+Dividends!J11/'Comp Detail'!AN19</f>
        <v>0.40209790209790208</v>
      </c>
      <c r="AT19" s="186">
        <f>1185.474/2323.315</f>
        <v>0.51025108519507678</v>
      </c>
      <c r="AU19" s="187">
        <f>1169357/2371443</f>
        <v>0.49309934921480297</v>
      </c>
      <c r="AV19" s="189">
        <f>1124681/2291677</f>
        <v>0.49076767799301557</v>
      </c>
      <c r="AW19" s="189">
        <f>930858/2155889</f>
        <v>0.43177454868965887</v>
      </c>
      <c r="AX19" s="189">
        <f>1268373/2576871</f>
        <v>0.49221439489986113</v>
      </c>
      <c r="AY19" s="186">
        <f>1137.841/2323.315</f>
        <v>0.48974891480492311</v>
      </c>
      <c r="AZ19" s="187">
        <f>1202.127/2371.443</f>
        <v>0.50691793983663103</v>
      </c>
      <c r="BA19" s="189">
        <f t="shared" si="16"/>
        <v>0.50923232200698443</v>
      </c>
      <c r="BB19" s="189">
        <f t="shared" si="17"/>
        <v>0.56822545131034108</v>
      </c>
      <c r="BC19" s="189">
        <f t="shared" si="18"/>
        <v>0.50778560510013881</v>
      </c>
      <c r="BD19" s="186">
        <f>60.973/1037.841</f>
        <v>5.8749847038226478E-2</v>
      </c>
      <c r="BE19" s="189">
        <f t="shared" si="19"/>
        <v>7.9048277539139414E-2</v>
      </c>
      <c r="BF19" s="189">
        <f t="shared" si="10"/>
        <v>8.8648975660584953E-2</v>
      </c>
      <c r="BG19" s="189">
        <f t="shared" si="10"/>
        <v>9.1232793292577913E-2</v>
      </c>
      <c r="BH19" s="189">
        <f t="shared" si="10"/>
        <v>0.10136736930434743</v>
      </c>
      <c r="BI19" s="189">
        <f t="shared" si="20"/>
        <v>9.3749712752503433E-2</v>
      </c>
      <c r="BJ19" s="413">
        <f t="shared" si="21"/>
        <v>8.3809452566975223E-2</v>
      </c>
      <c r="BK19" s="442">
        <v>9.9139999999999997</v>
      </c>
      <c r="BL19" s="443">
        <v>41213</v>
      </c>
      <c r="BM19" s="397">
        <f t="shared" si="22"/>
        <v>0.36521083102356777</v>
      </c>
      <c r="BN19" s="393">
        <f t="shared" si="11"/>
        <v>0.51846920269060348</v>
      </c>
      <c r="BO19" s="187">
        <f t="shared" si="12"/>
        <v>0.56475770925110136</v>
      </c>
      <c r="BP19" s="187">
        <f t="shared" si="12"/>
        <v>0.56995884773662553</v>
      </c>
      <c r="BQ19" s="187">
        <f t="shared" si="12"/>
        <v>0.59790209790209792</v>
      </c>
      <c r="BR19" s="223"/>
      <c r="BS19" s="423">
        <v>87.117999999999995</v>
      </c>
      <c r="BT19" s="422">
        <v>103.453</v>
      </c>
      <c r="BU19" s="422">
        <v>111.76300000000001</v>
      </c>
      <c r="BV19" s="427">
        <v>132.63900000000001</v>
      </c>
      <c r="BW19" s="423">
        <v>1102.086</v>
      </c>
      <c r="BX19" s="422">
        <v>1166.9960000000001</v>
      </c>
      <c r="BY19" s="422">
        <v>1225.0309999999999</v>
      </c>
      <c r="BZ19" s="427">
        <v>1308.498</v>
      </c>
      <c r="CB19">
        <f t="shared" si="13"/>
        <v>3.0788695997879669</v>
      </c>
      <c r="CC19">
        <f t="shared" si="14"/>
        <v>3.0149641232945932</v>
      </c>
    </row>
    <row r="20" spans="1:81">
      <c r="C20" s="86"/>
      <c r="D20" s="21"/>
      <c r="E20" s="123"/>
      <c r="F20" s="21"/>
      <c r="G20" s="138"/>
      <c r="H20" s="84"/>
      <c r="I20" s="84"/>
      <c r="J20" s="84"/>
      <c r="K20" s="84"/>
      <c r="L20" s="169"/>
      <c r="M20" s="169"/>
      <c r="N20" s="169"/>
      <c r="O20" s="169"/>
      <c r="P20" s="169"/>
      <c r="Q20" s="169"/>
      <c r="T20" s="280"/>
      <c r="U20" s="280"/>
      <c r="V20" s="280"/>
      <c r="W20" s="280"/>
      <c r="X20" s="280"/>
      <c r="Y20" s="200"/>
      <c r="Z20" s="190"/>
      <c r="AA20" s="191"/>
      <c r="AB20" s="191"/>
      <c r="AC20" s="191"/>
      <c r="AD20" s="191"/>
      <c r="AE20" s="191"/>
      <c r="AF20" s="94"/>
      <c r="AG20" s="94"/>
      <c r="AH20" s="94"/>
      <c r="AI20" s="94"/>
      <c r="AJ20" s="94"/>
      <c r="AK20" s="94"/>
      <c r="AL20" s="412"/>
      <c r="AM20" s="412"/>
      <c r="AN20" s="412"/>
      <c r="AO20" s="151"/>
      <c r="AP20" s="151"/>
      <c r="AQ20" s="151"/>
      <c r="AR20" s="151"/>
      <c r="AS20" s="151"/>
      <c r="AT20" s="192"/>
      <c r="AU20" s="192"/>
      <c r="AV20" s="192"/>
      <c r="AW20" s="192"/>
      <c r="AX20" s="192"/>
      <c r="AY20" s="192"/>
      <c r="AZ20" s="94"/>
      <c r="BA20" s="94"/>
      <c r="BB20" s="94"/>
      <c r="BC20" s="94"/>
      <c r="BD20" s="193"/>
      <c r="BE20" s="193"/>
      <c r="BF20" s="193"/>
      <c r="BG20" s="193"/>
      <c r="BH20" s="193"/>
      <c r="BI20" s="193"/>
      <c r="BJ20" s="454"/>
      <c r="BK20" s="194"/>
      <c r="BL20" s="124"/>
      <c r="BM20" s="124"/>
      <c r="BS20" s="432"/>
      <c r="BT20" s="433"/>
      <c r="BU20" s="433"/>
      <c r="BV20" s="434"/>
      <c r="BW20" s="432"/>
      <c r="BX20" s="433"/>
      <c r="BY20" s="433"/>
      <c r="BZ20" s="434"/>
    </row>
    <row r="21" spans="1:81">
      <c r="A21" s="160" t="s">
        <v>80</v>
      </c>
      <c r="B21" s="2"/>
      <c r="C21" s="133"/>
      <c r="D21" s="78"/>
      <c r="E21" s="132">
        <f>AVERAGE(E13:E19)</f>
        <v>73.428571428571431</v>
      </c>
      <c r="F21" s="78"/>
      <c r="G21" s="155"/>
      <c r="H21" s="58">
        <f t="shared" ref="H21:AM21" si="23">AVERAGE(H13:H19)</f>
        <v>0.71729014359305487</v>
      </c>
      <c r="I21" s="58">
        <f t="shared" si="23"/>
        <v>0.7797659372271023</v>
      </c>
      <c r="J21" s="58">
        <f t="shared" si="23"/>
        <v>0.74435673188305618</v>
      </c>
      <c r="K21" s="58">
        <f t="shared" si="23"/>
        <v>0.76820580282626971</v>
      </c>
      <c r="L21" s="58">
        <f t="shared" si="23"/>
        <v>0.71104636815210043</v>
      </c>
      <c r="M21" s="58">
        <f t="shared" si="23"/>
        <v>0.79013384786641971</v>
      </c>
      <c r="N21" s="58">
        <f t="shared" si="23"/>
        <v>0.71084232981293383</v>
      </c>
      <c r="O21" s="58">
        <f t="shared" si="23"/>
        <v>0.86620634598467217</v>
      </c>
      <c r="P21" s="58">
        <f t="shared" si="23"/>
        <v>0.74768666952778473</v>
      </c>
      <c r="Q21" s="58">
        <f t="shared" si="23"/>
        <v>0.85905522120107292</v>
      </c>
      <c r="R21" s="259">
        <f t="shared" si="23"/>
        <v>6.4285714285714293E-2</v>
      </c>
      <c r="S21" s="259">
        <f t="shared" si="23"/>
        <v>4.3571428571428573E-2</v>
      </c>
      <c r="T21" s="173">
        <f t="shared" si="23"/>
        <v>2637.7142857142858</v>
      </c>
      <c r="U21" s="173">
        <f t="shared" si="23"/>
        <v>2063.0557142857142</v>
      </c>
      <c r="V21" s="173">
        <f t="shared" si="23"/>
        <v>1981.276714285714</v>
      </c>
      <c r="W21" s="173">
        <f t="shared" si="23"/>
        <v>1886.4928571428572</v>
      </c>
      <c r="X21" s="173">
        <f t="shared" si="23"/>
        <v>1853.3432857142859</v>
      </c>
      <c r="Y21" s="275">
        <f t="shared" si="23"/>
        <v>-3.9868949452984158E-2</v>
      </c>
      <c r="Z21" s="195">
        <f t="shared" si="23"/>
        <v>2361.6945714285716</v>
      </c>
      <c r="AA21" s="195">
        <f t="shared" si="23"/>
        <v>2503.304714285714</v>
      </c>
      <c r="AB21" s="195">
        <f t="shared" si="23"/>
        <v>2662.8110000000006</v>
      </c>
      <c r="AC21" s="195">
        <f t="shared" si="23"/>
        <v>3295.5822857142853</v>
      </c>
      <c r="AD21" s="195">
        <f t="shared" si="23"/>
        <v>3548.9165714285709</v>
      </c>
      <c r="AE21" s="195">
        <f t="shared" si="23"/>
        <v>1921.9480000000001</v>
      </c>
      <c r="AF21" s="195">
        <f t="shared" si="23"/>
        <v>2032.8422857142857</v>
      </c>
      <c r="AG21" s="195">
        <f t="shared" si="23"/>
        <v>2800</v>
      </c>
      <c r="AH21" s="195">
        <f t="shared" si="23"/>
        <v>4946.3</v>
      </c>
      <c r="AI21" s="195">
        <f t="shared" si="23"/>
        <v>2520.6285714285709</v>
      </c>
      <c r="AJ21" s="196">
        <f t="shared" si="23"/>
        <v>2.2228571428571429</v>
      </c>
      <c r="AK21" s="196">
        <f t="shared" si="23"/>
        <v>2.3257142857142861</v>
      </c>
      <c r="AL21" s="196">
        <f t="shared" si="23"/>
        <v>2.4085714285714284</v>
      </c>
      <c r="AM21" s="196">
        <f t="shared" si="23"/>
        <v>2.38</v>
      </c>
      <c r="AN21" s="196">
        <f t="shared" ref="AN21:BH21" si="24">AVERAGE(AN13:AN19)</f>
        <v>2.4628571428571426</v>
      </c>
      <c r="AO21" s="197">
        <f t="shared" si="24"/>
        <v>0.59037949228939646</v>
      </c>
      <c r="AP21" s="197">
        <f t="shared" si="24"/>
        <v>0.58120069968601595</v>
      </c>
      <c r="AQ21" s="197">
        <f t="shared" si="24"/>
        <v>0.58182054010798689</v>
      </c>
      <c r="AR21" s="197">
        <f t="shared" si="24"/>
        <v>0.63605645153487367</v>
      </c>
      <c r="AS21" s="197">
        <f t="shared" si="24"/>
        <v>0.63019725364813339</v>
      </c>
      <c r="AT21" s="197">
        <f t="shared" si="24"/>
        <v>0.46845296275311732</v>
      </c>
      <c r="AU21" s="197">
        <f t="shared" si="24"/>
        <v>0.46148985307364704</v>
      </c>
      <c r="AV21" s="197">
        <f t="shared" si="24"/>
        <v>0.43908565768375191</v>
      </c>
      <c r="AW21" s="197">
        <f t="shared" si="24"/>
        <v>0.44486134930326066</v>
      </c>
      <c r="AX21" s="197">
        <f t="shared" si="24"/>
        <v>0.46126602789008869</v>
      </c>
      <c r="AY21" s="197">
        <f t="shared" si="24"/>
        <v>0.53275905221914999</v>
      </c>
      <c r="AZ21" s="197">
        <f t="shared" si="24"/>
        <v>0.54298972657857103</v>
      </c>
      <c r="BA21" s="197">
        <f t="shared" si="24"/>
        <v>0.56091434231624804</v>
      </c>
      <c r="BB21" s="197">
        <f t="shared" si="24"/>
        <v>0.5551386506967394</v>
      </c>
      <c r="BC21" s="197">
        <f t="shared" si="24"/>
        <v>0.53873397210991125</v>
      </c>
      <c r="BD21" s="455">
        <f t="shared" si="24"/>
        <v>0.11140099665210083</v>
      </c>
      <c r="BE21" s="455">
        <f t="shared" si="24"/>
        <v>0.10936139513864919</v>
      </c>
      <c r="BF21" s="456">
        <f t="shared" si="24"/>
        <v>0.11148028211505533</v>
      </c>
      <c r="BG21" s="456">
        <f t="shared" si="24"/>
        <v>9.8933215260630439E-2</v>
      </c>
      <c r="BH21" s="456">
        <f t="shared" si="24"/>
        <v>9.9860157727679311E-2</v>
      </c>
      <c r="BI21" s="456">
        <f>AVERAGE(BF13:BH19)</f>
        <v>0.10342455170112171</v>
      </c>
      <c r="BJ21" s="457">
        <f>AVERAGE(BD13:BH19)</f>
        <v>0.10620720937882304</v>
      </c>
      <c r="BK21" s="450">
        <f>AVERAGE(BK13,BK14,BK17,BK18,BK19,9.5,10.1)</f>
        <v>10.103857142857143</v>
      </c>
      <c r="BL21" s="131"/>
      <c r="BM21" s="275">
        <f>AVERAGE(BM13:BM19)</f>
        <v>0.40962050771060354</v>
      </c>
      <c r="BN21" s="275">
        <f>AVERAGE(BN13:BN19)</f>
        <v>0.41879930031398399</v>
      </c>
      <c r="BO21" s="275">
        <f>AVERAGE(BO13:BO19)</f>
        <v>0.41817945989201316</v>
      </c>
      <c r="BP21" s="275">
        <f>AVERAGE(BP13:BP19)</f>
        <v>0.36394354846512639</v>
      </c>
      <c r="BQ21" s="275">
        <f>AVERAGE(BQ13:BQ19)</f>
        <v>0.36980274635186677</v>
      </c>
      <c r="BR21" s="275"/>
      <c r="BS21" s="435"/>
      <c r="CB21" s="2">
        <f>AVERAGE(CB13:CB19)</f>
        <v>2.546975881261595</v>
      </c>
      <c r="CC21" s="2">
        <f>AVERAGE(CC13:CC19)</f>
        <v>2.3867555042229118</v>
      </c>
    </row>
    <row r="22" spans="1:81">
      <c r="A22" s="160" t="s">
        <v>21</v>
      </c>
      <c r="B22" s="2"/>
      <c r="C22" s="86"/>
      <c r="D22" s="160"/>
      <c r="E22" s="123"/>
      <c r="F22" s="16"/>
      <c r="G22" s="157"/>
      <c r="H22" s="58">
        <f t="shared" ref="H22:AM22" si="25">MEDIAN(H13:H19)</f>
        <v>0.63</v>
      </c>
      <c r="I22" s="58">
        <f t="shared" si="25"/>
        <v>0.74350000000000005</v>
      </c>
      <c r="J22" s="58">
        <f t="shared" si="25"/>
        <v>0.64290000000000003</v>
      </c>
      <c r="K22" s="58">
        <f t="shared" si="25"/>
        <v>0.8266</v>
      </c>
      <c r="L22" s="58">
        <f t="shared" si="25"/>
        <v>0.59725963622008726</v>
      </c>
      <c r="M22" s="58">
        <f t="shared" si="25"/>
        <v>0.77859423823095153</v>
      </c>
      <c r="N22" s="58">
        <f t="shared" si="25"/>
        <v>0.62061591103507274</v>
      </c>
      <c r="O22" s="58">
        <f t="shared" si="25"/>
        <v>0.84421949394360518</v>
      </c>
      <c r="P22" s="58">
        <f t="shared" si="25"/>
        <v>0.68562251462564672</v>
      </c>
      <c r="Q22" s="58">
        <f t="shared" si="25"/>
        <v>0.87465780651161396</v>
      </c>
      <c r="R22" s="125">
        <f t="shared" si="25"/>
        <v>0.06</v>
      </c>
      <c r="S22" s="125">
        <f t="shared" si="25"/>
        <v>3.5000000000000003E-2</v>
      </c>
      <c r="T22" s="175">
        <f t="shared" si="25"/>
        <v>2144.6999999999998</v>
      </c>
      <c r="U22" s="175">
        <f t="shared" si="25"/>
        <v>1893.8240000000001</v>
      </c>
      <c r="V22" s="175">
        <f t="shared" si="25"/>
        <v>1735.029</v>
      </c>
      <c r="W22" s="175">
        <f t="shared" si="25"/>
        <v>1603.307</v>
      </c>
      <c r="X22" s="175">
        <f t="shared" si="25"/>
        <v>1125.4749999999999</v>
      </c>
      <c r="Y22" s="275">
        <f t="shared" si="25"/>
        <v>-0.14758134594959929</v>
      </c>
      <c r="Z22" s="198">
        <f t="shared" si="25"/>
        <v>2240.8339999999998</v>
      </c>
      <c r="AA22" s="198">
        <f t="shared" si="25"/>
        <v>2304.3919999999998</v>
      </c>
      <c r="AB22" s="198">
        <f t="shared" si="25"/>
        <v>2437.6640000000002</v>
      </c>
      <c r="AC22" s="198">
        <f t="shared" si="25"/>
        <v>2627.2620000000002</v>
      </c>
      <c r="AD22" s="198">
        <f t="shared" si="25"/>
        <v>3105.0859999999998</v>
      </c>
      <c r="AE22" s="198">
        <f t="shared" si="25"/>
        <v>1681.5050000000001</v>
      </c>
      <c r="AF22" s="198">
        <f t="shared" si="25"/>
        <v>1660.46</v>
      </c>
      <c r="AG22" s="198">
        <f t="shared" si="25"/>
        <v>2800</v>
      </c>
      <c r="AH22" s="198">
        <f t="shared" si="25"/>
        <v>4946.3</v>
      </c>
      <c r="AI22" s="198">
        <f t="shared" si="25"/>
        <v>2244.6999999999998</v>
      </c>
      <c r="AJ22" s="199">
        <f t="shared" si="25"/>
        <v>2.59</v>
      </c>
      <c r="AK22" s="199">
        <f t="shared" si="25"/>
        <v>2.08</v>
      </c>
      <c r="AL22" s="199">
        <f t="shared" si="25"/>
        <v>2.27</v>
      </c>
      <c r="AM22" s="199">
        <f t="shared" si="25"/>
        <v>2.39</v>
      </c>
      <c r="AN22" s="199">
        <f t="shared" ref="AN22:BH22" si="26">MEDIAN(AN13:AN19)</f>
        <v>2.37</v>
      </c>
      <c r="AO22" s="200">
        <f t="shared" si="26"/>
        <v>0.59154929577464788</v>
      </c>
      <c r="AP22" s="200">
        <f t="shared" si="26"/>
        <v>0.59722222222222221</v>
      </c>
      <c r="AQ22" s="200">
        <f t="shared" si="26"/>
        <v>0.60222222222222221</v>
      </c>
      <c r="AR22" s="200">
        <f t="shared" si="26"/>
        <v>0.60132158590308371</v>
      </c>
      <c r="AS22" s="200">
        <f t="shared" si="26"/>
        <v>0.59642857142857142</v>
      </c>
      <c r="AT22" s="200">
        <f t="shared" si="26"/>
        <v>0.47235125676105627</v>
      </c>
      <c r="AU22" s="200">
        <f t="shared" si="26"/>
        <v>0.47685656658516967</v>
      </c>
      <c r="AV22" s="200">
        <f t="shared" si="26"/>
        <v>0.45376048891910253</v>
      </c>
      <c r="AW22" s="200">
        <f t="shared" si="26"/>
        <v>0.43177454868965887</v>
      </c>
      <c r="AX22" s="200">
        <f t="shared" si="26"/>
        <v>0.48701201396201005</v>
      </c>
      <c r="AY22" s="200">
        <f t="shared" si="26"/>
        <v>0.52764874323894362</v>
      </c>
      <c r="AZ22" s="200">
        <f t="shared" si="26"/>
        <v>0.52314343341483038</v>
      </c>
      <c r="BA22" s="200">
        <f t="shared" si="26"/>
        <v>0.54623951108089752</v>
      </c>
      <c r="BB22" s="200">
        <f t="shared" si="26"/>
        <v>0.56822545131034108</v>
      </c>
      <c r="BC22" s="200">
        <f t="shared" si="26"/>
        <v>0.51298798603799001</v>
      </c>
      <c r="BD22" s="456">
        <f t="shared" si="26"/>
        <v>0.11824970862051601</v>
      </c>
      <c r="BE22" s="456">
        <f t="shared" si="26"/>
        <v>0.11380310708144915</v>
      </c>
      <c r="BF22" s="456">
        <f t="shared" si="26"/>
        <v>0.10484330566540807</v>
      </c>
      <c r="BG22" s="456">
        <f t="shared" si="26"/>
        <v>9.2045343197567117E-2</v>
      </c>
      <c r="BH22" s="456">
        <f t="shared" si="26"/>
        <v>0.10136736930434743</v>
      </c>
      <c r="BI22" s="456">
        <f>MEDIAN(BF13:BH19)</f>
        <v>0.10136736930434743</v>
      </c>
      <c r="BJ22" s="457">
        <f>MEDIAN(BD13:BH19)</f>
        <v>0.10627584636516554</v>
      </c>
      <c r="BK22" s="450">
        <f>MEDIAN(BK13,BK14,BK17,BK18,BK19,9.5,10.1)</f>
        <v>10.199999999999999</v>
      </c>
      <c r="BM22" s="200">
        <f>MEDIAN(BM13:BM19)</f>
        <v>0.40845070422535212</v>
      </c>
      <c r="BN22" s="200">
        <f>MEDIAN(BN13:BN19)</f>
        <v>0.40277777777777779</v>
      </c>
      <c r="BO22" s="200">
        <f>MEDIAN(BO13:BO19)</f>
        <v>0.39777777777777779</v>
      </c>
      <c r="BP22" s="200">
        <f>MEDIAN(BP13:BP19)</f>
        <v>0.39867841409691629</v>
      </c>
      <c r="BQ22" s="200">
        <f>MEDIAN(BQ13:BQ19)</f>
        <v>0.40357142857142858</v>
      </c>
      <c r="BR22" s="200"/>
      <c r="BS22" s="436"/>
      <c r="CB22" s="199">
        <f>MEDIAN(CB13:CB19)</f>
        <v>2.2283395176252321</v>
      </c>
      <c r="CC22" s="199">
        <f>MEDIAN(CC13:CC19)</f>
        <v>2.2646124305204647</v>
      </c>
    </row>
    <row r="23" spans="1:81">
      <c r="A23" s="159"/>
      <c r="C23" s="86"/>
      <c r="D23" s="20"/>
      <c r="E23" s="123"/>
      <c r="F23" s="35"/>
      <c r="G23" s="156"/>
      <c r="H23" s="62"/>
      <c r="I23" s="62"/>
      <c r="J23" s="62"/>
      <c r="K23" s="62"/>
      <c r="L23" s="62"/>
      <c r="M23" s="62"/>
      <c r="N23" s="62"/>
      <c r="O23" s="62"/>
      <c r="P23" s="62"/>
      <c r="Q23" s="62"/>
      <c r="T23" s="118"/>
      <c r="U23" s="174"/>
      <c r="V23" s="174"/>
      <c r="W23" s="174"/>
      <c r="X23" s="174"/>
      <c r="Y23" s="174"/>
      <c r="Z23" s="191"/>
      <c r="AA23" s="191"/>
      <c r="AB23" s="191"/>
      <c r="AC23" s="191"/>
      <c r="AD23" s="191"/>
      <c r="AE23" s="94"/>
      <c r="AF23" s="191"/>
      <c r="AG23" s="191"/>
      <c r="AH23" s="191"/>
      <c r="AI23" s="191"/>
      <c r="AJ23" s="94"/>
      <c r="AK23" s="94"/>
      <c r="AL23" s="94"/>
      <c r="AM23" s="94"/>
      <c r="AN23" s="94"/>
      <c r="AO23" s="151"/>
      <c r="AP23" s="151"/>
      <c r="AQ23" s="151"/>
      <c r="AR23" s="151"/>
      <c r="AS23" s="151"/>
      <c r="AT23" s="192"/>
      <c r="AU23" s="192"/>
      <c r="AV23" s="192"/>
      <c r="AW23" s="192"/>
      <c r="AX23" s="192"/>
      <c r="AY23" s="192"/>
      <c r="AZ23" s="94"/>
      <c r="BA23" s="94"/>
      <c r="BB23" s="94"/>
      <c r="BC23" s="94"/>
      <c r="BD23" s="102"/>
      <c r="BE23" s="102"/>
      <c r="BF23" s="102"/>
      <c r="BG23" s="102"/>
      <c r="BH23" s="102"/>
      <c r="BI23" s="102"/>
      <c r="BJ23" s="134"/>
      <c r="BK23" s="94"/>
      <c r="BM23" s="124"/>
    </row>
    <row r="24" spans="1:81" s="271" customFormat="1" ht="15.75">
      <c r="A24" s="557" t="s">
        <v>79</v>
      </c>
      <c r="B24" s="2"/>
      <c r="C24" s="2"/>
      <c r="D24" s="557"/>
      <c r="E24" s="557"/>
      <c r="F24" s="557" t="s">
        <v>222</v>
      </c>
      <c r="G24" s="157" t="s">
        <v>85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2"/>
      <c r="S24" s="2"/>
      <c r="T24" s="126">
        <v>1000.3</v>
      </c>
      <c r="U24" s="126">
        <v>919.86800000000005</v>
      </c>
      <c r="V24" s="126">
        <v>902.9</v>
      </c>
      <c r="W24" s="126">
        <v>968.8</v>
      </c>
      <c r="X24" s="126">
        <v>862.2</v>
      </c>
      <c r="Y24" s="373">
        <f>(+X24-W24)/W24</f>
        <v>-0.11003303055326168</v>
      </c>
      <c r="Z24" s="585">
        <v>989.5</v>
      </c>
      <c r="AA24" s="585">
        <v>1031.5</v>
      </c>
      <c r="AB24" s="585">
        <v>1096.3</v>
      </c>
      <c r="AC24" s="585">
        <v>1177.4000000000001</v>
      </c>
      <c r="AD24" s="585">
        <v>1278.0999999999999</v>
      </c>
      <c r="AE24" s="586">
        <f>384.6+370</f>
        <v>754.6</v>
      </c>
      <c r="AF24" s="585">
        <f>370.764+399.041</f>
        <v>769.80500000000006</v>
      </c>
      <c r="AG24" s="585"/>
      <c r="AH24" s="585"/>
      <c r="AI24" s="585"/>
      <c r="AJ24" s="586"/>
      <c r="AK24" s="586"/>
      <c r="AL24" s="157" t="s">
        <v>129</v>
      </c>
      <c r="AM24" s="157" t="s">
        <v>129</v>
      </c>
      <c r="AN24" s="157" t="s">
        <v>129</v>
      </c>
      <c r="AO24" s="197">
        <f>27.5/40.2</f>
        <v>0.68407960199004969</v>
      </c>
      <c r="AP24" s="197">
        <f>28.2/41.567</f>
        <v>0.67842278730723893</v>
      </c>
      <c r="AQ24" s="197">
        <v>0.6560364464692483</v>
      </c>
      <c r="AR24" s="197">
        <v>0.65726681127982645</v>
      </c>
      <c r="AS24" s="197">
        <v>0.70063694267515919</v>
      </c>
      <c r="AT24" s="197">
        <f>370/754.6</f>
        <v>0.49032600053008213</v>
      </c>
      <c r="AU24" s="197">
        <v>0.48114434330299088</v>
      </c>
      <c r="AV24" s="197">
        <v>0.46968730057434588</v>
      </c>
      <c r="AW24" s="197">
        <v>0.37933872959253667</v>
      </c>
      <c r="AX24" s="197">
        <v>0.45123811759183197</v>
      </c>
      <c r="AY24" s="197">
        <f>384.6/754.6</f>
        <v>0.50967399946991787</v>
      </c>
      <c r="AZ24" s="197">
        <f>1-AU24</f>
        <v>0.51885565669700906</v>
      </c>
      <c r="BA24" s="197">
        <f t="shared" ref="BA24:BC24" si="27">1-AV24</f>
        <v>0.53031269942565418</v>
      </c>
      <c r="BB24" s="197">
        <f t="shared" si="27"/>
        <v>0.62066127040746333</v>
      </c>
      <c r="BC24" s="197">
        <f t="shared" si="27"/>
        <v>0.54876188240816803</v>
      </c>
      <c r="BD24" s="455">
        <v>0.111</v>
      </c>
      <c r="BE24" s="455">
        <v>0.1061</v>
      </c>
      <c r="BF24" s="455">
        <v>0.10780000000000001</v>
      </c>
      <c r="BG24" s="455">
        <v>0.1062</v>
      </c>
      <c r="BH24" s="455">
        <v>0.1024</v>
      </c>
      <c r="BI24" s="455">
        <f>AVERAGE(BF24:BH24)</f>
        <v>0.10546666666666667</v>
      </c>
      <c r="BJ24" s="353">
        <f>AVERAGE(BD24:BH24)</f>
        <v>0.10670000000000002</v>
      </c>
      <c r="BK24" s="157">
        <v>10.35</v>
      </c>
      <c r="BL24" s="587"/>
      <c r="BM24" s="131">
        <f>1-AO24</f>
        <v>0.31592039800995031</v>
      </c>
      <c r="BN24" s="131">
        <f>1-AP24</f>
        <v>0.32157721269276107</v>
      </c>
      <c r="BO24" s="131">
        <f t="shared" ref="BO24:BQ24" si="28">1-AQ24</f>
        <v>0.3439635535307517</v>
      </c>
      <c r="BP24" s="131">
        <f t="shared" si="28"/>
        <v>0.34273318872017355</v>
      </c>
      <c r="BQ24" s="131">
        <f t="shared" si="28"/>
        <v>0.29936305732484081</v>
      </c>
      <c r="BR24" s="131"/>
      <c r="BS24" s="437"/>
      <c r="BT24" s="437"/>
      <c r="BU24" s="437"/>
      <c r="BV24" s="437"/>
      <c r="BW24" s="437"/>
      <c r="BX24" s="437"/>
      <c r="BY24" s="437"/>
      <c r="BZ24" s="437"/>
      <c r="CA24" s="4"/>
    </row>
    <row r="25" spans="1:81">
      <c r="BD25" s="6"/>
      <c r="BE25" s="6"/>
      <c r="BF25" s="6"/>
      <c r="BG25" s="6"/>
      <c r="BH25" s="6"/>
      <c r="BI25" s="102"/>
      <c r="BJ25" s="134"/>
      <c r="BM25" s="124"/>
    </row>
    <row r="26" spans="1:81" s="2" customFormat="1">
      <c r="A26" s="45" t="s">
        <v>266</v>
      </c>
      <c r="T26" s="131"/>
      <c r="U26" s="131"/>
      <c r="V26" s="131"/>
      <c r="W26" s="131"/>
      <c r="X26" s="131"/>
      <c r="Y26" s="275"/>
      <c r="Z26" s="131"/>
      <c r="AA26" s="131"/>
      <c r="AB26" s="131"/>
      <c r="AC26" s="131"/>
      <c r="AD26" s="131"/>
      <c r="AE26" s="131"/>
      <c r="AF26" s="131"/>
      <c r="AJ26" s="259"/>
      <c r="AO26" s="131">
        <f>+AO24-AO21</f>
        <v>9.3700109700653234E-2</v>
      </c>
      <c r="AP26" s="131">
        <f t="shared" ref="AP26:AS26" si="29">+AP24-AP21</f>
        <v>9.7222087621222975E-2</v>
      </c>
      <c r="AQ26" s="131">
        <f t="shared" si="29"/>
        <v>7.4215906361261408E-2</v>
      </c>
      <c r="AR26" s="131">
        <f t="shared" si="29"/>
        <v>2.1210359744952778E-2</v>
      </c>
      <c r="AS26" s="131">
        <f t="shared" si="29"/>
        <v>7.0439689027025798E-2</v>
      </c>
      <c r="AT26" s="197">
        <f>+AT24-AT21</f>
        <v>2.187303777696481E-2</v>
      </c>
      <c r="AU26" s="197">
        <f t="shared" ref="AU26:BC26" si="30">+AU24-AU21</f>
        <v>1.9654490229343846E-2</v>
      </c>
      <c r="AV26" s="197">
        <f t="shared" si="30"/>
        <v>3.0601642890593972E-2</v>
      </c>
      <c r="AW26" s="197">
        <f t="shared" si="30"/>
        <v>-6.5522619710723984E-2</v>
      </c>
      <c r="AX26" s="197">
        <f t="shared" si="30"/>
        <v>-1.0027910298256726E-2</v>
      </c>
      <c r="AY26" s="197">
        <f t="shared" si="30"/>
        <v>-2.3085052749232116E-2</v>
      </c>
      <c r="AZ26" s="197">
        <f t="shared" si="30"/>
        <v>-2.413406988156197E-2</v>
      </c>
      <c r="BA26" s="197">
        <f t="shared" si="30"/>
        <v>-3.0601642890593861E-2</v>
      </c>
      <c r="BB26" s="197">
        <f t="shared" si="30"/>
        <v>6.5522619710723928E-2</v>
      </c>
      <c r="BC26" s="197">
        <f t="shared" si="30"/>
        <v>1.0027910298256781E-2</v>
      </c>
      <c r="BD26" s="455">
        <f>(+BD24-BD21)</f>
        <v>-4.0099665210083235E-4</v>
      </c>
      <c r="BE26" s="455">
        <f t="shared" ref="BE26:BK26" si="31">(+BE24-BE21)</f>
        <v>-3.2613951386491896E-3</v>
      </c>
      <c r="BF26" s="455">
        <f t="shared" si="31"/>
        <v>-3.6802821150553194E-3</v>
      </c>
      <c r="BG26" s="455">
        <f t="shared" si="31"/>
        <v>7.2667847393695639E-3</v>
      </c>
      <c r="BH26" s="455">
        <f t="shared" si="31"/>
        <v>2.5398422723206943E-3</v>
      </c>
      <c r="BI26" s="455">
        <f t="shared" si="31"/>
        <v>2.0421149655449611E-3</v>
      </c>
      <c r="BJ26" s="353">
        <f t="shared" si="31"/>
        <v>4.9279062117697781E-4</v>
      </c>
      <c r="BK26" s="449">
        <f t="shared" si="31"/>
        <v>0.246142857142857</v>
      </c>
      <c r="BL26" s="272"/>
      <c r="BM26" s="197">
        <f>+BM24-BM21</f>
        <v>-9.3700109700653234E-2</v>
      </c>
      <c r="BN26" s="197">
        <f t="shared" ref="BN26:BQ26" si="32">+BN24-BN21</f>
        <v>-9.7222087621222919E-2</v>
      </c>
      <c r="BO26" s="197">
        <f t="shared" si="32"/>
        <v>-7.4215906361261463E-2</v>
      </c>
      <c r="BP26" s="197">
        <f t="shared" si="32"/>
        <v>-2.1210359744952834E-2</v>
      </c>
      <c r="BQ26" s="197">
        <f t="shared" si="32"/>
        <v>-7.0439689027025965E-2</v>
      </c>
      <c r="BR26" s="131"/>
      <c r="BS26" s="128"/>
      <c r="BT26" s="128"/>
      <c r="BU26" s="128"/>
      <c r="BV26" s="128"/>
      <c r="BW26" s="128"/>
      <c r="BX26" s="128"/>
      <c r="BY26" s="128"/>
      <c r="BZ26" s="128"/>
    </row>
    <row r="27" spans="1:81">
      <c r="A27" s="2"/>
      <c r="BI27" s="94"/>
      <c r="BJ27" s="122"/>
    </row>
    <row r="28" spans="1:81">
      <c r="F28" s="161"/>
      <c r="G28" s="161"/>
      <c r="BI28" s="94"/>
      <c r="BJ28" s="122"/>
      <c r="BK28" s="364"/>
    </row>
    <row r="29" spans="1:81" hidden="1">
      <c r="A29" t="s">
        <v>342</v>
      </c>
      <c r="F29" s="161"/>
      <c r="G29" s="161"/>
      <c r="H29" s="120">
        <f>(+H16+H17+H19)/3</f>
        <v>0.91924366838379445</v>
      </c>
      <c r="I29" s="120">
        <f t="shared" ref="I29:J29" si="33">(+I16+I17+I19)/3</f>
        <v>0.92495385352990533</v>
      </c>
      <c r="J29" s="120">
        <f t="shared" si="33"/>
        <v>0.93331194804582773</v>
      </c>
      <c r="K29" s="120">
        <f>(+K16+K17+K19)/3</f>
        <v>0.87529409673353087</v>
      </c>
      <c r="L29" s="120">
        <f>(+L16+L17)/2</f>
        <v>0.98644578123126059</v>
      </c>
      <c r="M29" s="120">
        <f>(+M16+M17)/2</f>
        <v>0.95592910124265484</v>
      </c>
      <c r="N29" s="120">
        <f t="shared" ref="N29:S29" si="34">(+N16+N17)/2</f>
        <v>0.98395215293670102</v>
      </c>
      <c r="O29" s="120">
        <f t="shared" si="34"/>
        <v>0.97362202259851638</v>
      </c>
      <c r="P29" s="120">
        <f t="shared" si="34"/>
        <v>0.9789592763277658</v>
      </c>
      <c r="Q29" s="120">
        <f t="shared" si="34"/>
        <v>0.96048784562693179</v>
      </c>
      <c r="R29" s="116">
        <f t="shared" si="34"/>
        <v>4.4999999999999998E-2</v>
      </c>
      <c r="S29" s="116">
        <f t="shared" si="34"/>
        <v>2.75E-2</v>
      </c>
      <c r="T29" s="368">
        <f>(+T16+T17+T19)/3</f>
        <v>1757.2333333333333</v>
      </c>
      <c r="U29" s="368">
        <f t="shared" ref="U29" si="35">(+U16+U17+U19)/3</f>
        <v>1514.8783333333333</v>
      </c>
      <c r="V29" s="118">
        <f t="shared" ref="V29:AF29" si="36">(+V16+V17)/2</f>
        <v>1172.2049999999999</v>
      </c>
      <c r="W29" s="118">
        <f t="shared" si="36"/>
        <v>1130.98</v>
      </c>
      <c r="X29" s="118">
        <f t="shared" si="36"/>
        <v>926.69349999999997</v>
      </c>
      <c r="Y29" s="118">
        <f t="shared" si="36"/>
        <v>-0.16733020948501903</v>
      </c>
      <c r="Z29" s="118">
        <f t="shared" si="36"/>
        <v>1894.9454999999998</v>
      </c>
      <c r="AA29" s="118">
        <f t="shared" si="36"/>
        <v>1987.2629999999999</v>
      </c>
      <c r="AB29" s="118">
        <f t="shared" si="36"/>
        <v>2145.9135000000001</v>
      </c>
      <c r="AC29" s="118">
        <f t="shared" si="36"/>
        <v>2260.569</v>
      </c>
      <c r="AD29" s="118">
        <f t="shared" si="36"/>
        <v>2539.3490000000002</v>
      </c>
      <c r="AE29" s="118">
        <f t="shared" si="36"/>
        <v>1410.9390000000001</v>
      </c>
      <c r="AF29" s="118">
        <f t="shared" si="36"/>
        <v>1461.1325000000002</v>
      </c>
      <c r="AG29" s="118"/>
      <c r="AH29" s="368"/>
      <c r="AI29" s="368"/>
      <c r="AJ29" s="368">
        <f>(+AJ16+AJ17+AJ19)/3</f>
        <v>1.8299999999999998</v>
      </c>
      <c r="AK29" s="368">
        <f t="shared" ref="AK29:AN29" si="37">(+AK16+AK17+AK19)/3</f>
        <v>2.1466666666666665</v>
      </c>
      <c r="AL29" s="496">
        <f>(+AL16+AL17)/2</f>
        <v>2.3449999999999998</v>
      </c>
      <c r="AM29" s="496">
        <f t="shared" si="37"/>
        <v>2.1300000000000003</v>
      </c>
      <c r="AN29" s="496">
        <f t="shared" si="37"/>
        <v>2.2466666666666666</v>
      </c>
      <c r="AO29" s="121">
        <f>(+AO16+AO17+AO19)/3</f>
        <v>0.63304004967734695</v>
      </c>
      <c r="AP29" s="121">
        <f t="shared" ref="AP29" si="38">(+AP16+AP17+AP19)/3</f>
        <v>0.56140438969509099</v>
      </c>
      <c r="AQ29" s="121">
        <f>(+AQ16+AQ17)/2</f>
        <v>0.59340659340659352</v>
      </c>
      <c r="AR29" s="121">
        <f t="shared" ref="AR29:AS29" si="39">(+AR16+AR17)/2</f>
        <v>0.73235082482743907</v>
      </c>
      <c r="AS29" s="121">
        <f t="shared" si="39"/>
        <v>0.76459893628568332</v>
      </c>
      <c r="AT29" s="121">
        <f>(+AT16+AT17+AT19)/3</f>
        <v>0.47719274906939552</v>
      </c>
      <c r="AU29" s="121">
        <f t="shared" ref="AU29" si="40">(+AU16+AU17+AU19)/3</f>
        <v>0.47036865285306934</v>
      </c>
      <c r="AV29" s="121">
        <f>(+AV16+AV17)/2</f>
        <v>0.43551598888774873</v>
      </c>
      <c r="AW29" s="121">
        <f t="shared" ref="AW29:BG29" si="41">(+AW16+AW17)/2</f>
        <v>0.43844560708446112</v>
      </c>
      <c r="AX29" s="121">
        <f t="shared" si="41"/>
        <v>0.48970937801308012</v>
      </c>
      <c r="AY29" s="121">
        <f t="shared" si="41"/>
        <v>0.53933641899344509</v>
      </c>
      <c r="AZ29" s="121">
        <f t="shared" si="41"/>
        <v>0.55147212034137039</v>
      </c>
      <c r="BA29" s="121">
        <f t="shared" si="41"/>
        <v>0.56448401111225133</v>
      </c>
      <c r="BB29" s="121">
        <f t="shared" si="41"/>
        <v>0.56155439291553888</v>
      </c>
      <c r="BC29" s="121">
        <f t="shared" si="41"/>
        <v>0.51029062198691988</v>
      </c>
      <c r="BD29" s="121">
        <f t="shared" si="41"/>
        <v>0.117315098007722</v>
      </c>
      <c r="BE29" s="121">
        <f t="shared" si="41"/>
        <v>0.12308198606496085</v>
      </c>
      <c r="BF29" s="121">
        <f t="shared" si="41"/>
        <v>0.12597744536302455</v>
      </c>
      <c r="BG29" s="121">
        <f t="shared" si="41"/>
        <v>0.10167520010106243</v>
      </c>
      <c r="BH29" s="121">
        <f>(+BH16+BH17)/2</f>
        <v>9.9174821773834632E-2</v>
      </c>
      <c r="BI29" s="192">
        <f>(+BI16+BI17)/2</f>
        <v>0.1089424890793072</v>
      </c>
      <c r="BJ29" s="383">
        <f>(+BJ16+BJ17+BJ19)/3</f>
        <v>0.10356642436373902</v>
      </c>
      <c r="BK29" s="369">
        <f>(9.5+10.1+BK17)/3</f>
        <v>9.9333333333333336</v>
      </c>
      <c r="BM29" s="121">
        <f>(+BM16+BM17+BM19)/3</f>
        <v>0.36695995032265305</v>
      </c>
      <c r="BN29" s="121">
        <f t="shared" ref="BN29" si="42">(+BN16+BN17+BN19)/3</f>
        <v>0.43859561030490896</v>
      </c>
      <c r="BO29" s="121">
        <f>(+BO16+BO17)/2</f>
        <v>0.40659340659340654</v>
      </c>
      <c r="BP29" s="121">
        <f t="shared" ref="BP29:BQ29" si="43">(+BP16+BP17)/2</f>
        <v>0.26764917517256087</v>
      </c>
      <c r="BQ29" s="121">
        <f t="shared" si="43"/>
        <v>0.23540106371431674</v>
      </c>
      <c r="BR29" s="121"/>
    </row>
    <row r="30" spans="1:81">
      <c r="F30" s="161"/>
      <c r="G30" s="161"/>
      <c r="BI30" s="94"/>
      <c r="BJ30" s="122"/>
      <c r="BK30" s="364"/>
    </row>
    <row r="31" spans="1:81" hidden="1">
      <c r="T31" s="121">
        <f>+T24/T29</f>
        <v>0.56924711193732569</v>
      </c>
      <c r="U31" s="121">
        <f>+U24/U29</f>
        <v>0.60722236219190329</v>
      </c>
      <c r="V31" s="121">
        <f>(V29-V24)/V24</f>
        <v>0.29826669620112967</v>
      </c>
      <c r="W31" s="121">
        <f t="shared" ref="W31:X31" si="44">(W29-W24)/W24</f>
        <v>0.16740297274979363</v>
      </c>
      <c r="X31" s="121">
        <f t="shared" si="44"/>
        <v>7.4801090234284301E-2</v>
      </c>
      <c r="Z31" s="121">
        <f>+Z24/Z29</f>
        <v>0.52217860619210421</v>
      </c>
      <c r="AA31" s="121">
        <f>+AA24/AA29</f>
        <v>0.5190556056244191</v>
      </c>
      <c r="AB31" s="121">
        <f t="shared" ref="AB31:AF31" si="45">(AB29-AB24)/AB24</f>
        <v>0.9574144850861992</v>
      </c>
      <c r="AC31" s="121">
        <f t="shared" si="45"/>
        <v>0.91996687616782724</v>
      </c>
      <c r="AD31" s="121">
        <f t="shared" si="45"/>
        <v>0.98681558563492711</v>
      </c>
      <c r="AE31" s="121">
        <f t="shared" si="45"/>
        <v>0.86978399151868546</v>
      </c>
      <c r="AF31" s="121">
        <f t="shared" si="45"/>
        <v>0.89805535167997097</v>
      </c>
      <c r="AG31" s="121"/>
      <c r="AH31" s="121"/>
      <c r="AI31" s="121"/>
      <c r="AO31" s="121">
        <f t="shared" ref="AO31:AU31" si="46">+AO24/AO29</f>
        <v>1.0806261031015605</v>
      </c>
      <c r="AP31" s="121">
        <f t="shared" si="46"/>
        <v>1.2084386936762337</v>
      </c>
      <c r="AQ31" s="121"/>
      <c r="AR31" s="121"/>
      <c r="AS31" s="121"/>
      <c r="AT31" s="121">
        <f t="shared" si="46"/>
        <v>1.0275219007126546</v>
      </c>
      <c r="AU31" s="121">
        <f t="shared" si="46"/>
        <v>1.022909031850997</v>
      </c>
      <c r="AV31" s="121">
        <f t="shared" ref="AV31:BC31" si="47">+AV24-AV29</f>
        <v>3.417131168659715E-2</v>
      </c>
      <c r="AW31" s="121">
        <f t="shared" si="47"/>
        <v>-5.9106877491924448E-2</v>
      </c>
      <c r="AX31" s="121">
        <f t="shared" si="47"/>
        <v>-3.8471260421248155E-2</v>
      </c>
      <c r="AY31" s="121">
        <f t="shared" si="47"/>
        <v>-2.9662419523527217E-2</v>
      </c>
      <c r="AZ31" s="121">
        <f t="shared" si="47"/>
        <v>-3.2616463644361327E-2</v>
      </c>
      <c r="BA31" s="121">
        <f t="shared" si="47"/>
        <v>-3.417131168659715E-2</v>
      </c>
      <c r="BB31" s="121">
        <f t="shared" si="47"/>
        <v>5.9106877491924448E-2</v>
      </c>
      <c r="BC31" s="121">
        <f t="shared" si="47"/>
        <v>3.8471260421248155E-2</v>
      </c>
      <c r="BD31" s="121">
        <f t="shared" ref="BD31:BG31" si="48">+BD24-BD29</f>
        <v>-6.3150980077219948E-3</v>
      </c>
      <c r="BE31" s="121">
        <f t="shared" si="48"/>
        <v>-1.6981986064960847E-2</v>
      </c>
      <c r="BF31" s="121">
        <f t="shared" si="48"/>
        <v>-1.8177445363024541E-2</v>
      </c>
      <c r="BG31" s="121">
        <f t="shared" si="48"/>
        <v>4.5247998989375732E-3</v>
      </c>
      <c r="BH31" s="121">
        <f>+BH24-BH29</f>
        <v>3.2251782261653733E-3</v>
      </c>
      <c r="BI31" s="383">
        <f t="shared" ref="BI31:BJ31" si="49">+BI24-BI29</f>
        <v>-3.4758224126405363E-3</v>
      </c>
      <c r="BJ31" s="383">
        <f t="shared" si="49"/>
        <v>3.1335756362610018E-3</v>
      </c>
      <c r="BK31" s="448">
        <f>+BK24-BK29</f>
        <v>0.41666666666666607</v>
      </c>
      <c r="BM31" s="121">
        <f>+BM29-BM24</f>
        <v>5.1039552312702741E-2</v>
      </c>
      <c r="BN31" s="121">
        <f t="shared" ref="BN31:BQ31" si="50">+BN29-BN24</f>
        <v>0.11701839761214788</v>
      </c>
      <c r="BO31" s="121">
        <f t="shared" si="50"/>
        <v>6.2629853062654839E-2</v>
      </c>
      <c r="BP31" s="121">
        <f t="shared" si="50"/>
        <v>-7.5084013547612682E-2</v>
      </c>
      <c r="BQ31" s="121">
        <f t="shared" si="50"/>
        <v>-6.3961993610524071E-2</v>
      </c>
      <c r="BR31" s="121"/>
    </row>
    <row r="33" spans="31:63" hidden="1"/>
    <row r="34" spans="31:63" hidden="1">
      <c r="AE34">
        <v>5</v>
      </c>
      <c r="AF34">
        <v>5</v>
      </c>
      <c r="BH34" t="s">
        <v>337</v>
      </c>
      <c r="BK34" s="493">
        <v>9.16</v>
      </c>
    </row>
    <row r="35" spans="31:63">
      <c r="AE35">
        <v>5</v>
      </c>
      <c r="AF35">
        <v>4</v>
      </c>
      <c r="AZ35" t="s">
        <v>330</v>
      </c>
    </row>
    <row r="36" spans="31:63">
      <c r="AE36">
        <v>8</v>
      </c>
      <c r="AF36">
        <v>8</v>
      </c>
      <c r="BF36" t="s">
        <v>368</v>
      </c>
      <c r="BH36" s="6">
        <f>STDEV(BH13:BH19)</f>
        <v>1.7042482997045718E-2</v>
      </c>
      <c r="BI36" s="6">
        <f>STDEV(BI13:BI19)</f>
        <v>1.7142578785638286E-2</v>
      </c>
    </row>
    <row r="37" spans="31:63">
      <c r="AE37">
        <v>7</v>
      </c>
    </row>
    <row r="38" spans="31:63">
      <c r="AE38">
        <v>8</v>
      </c>
      <c r="BH38" s="116">
        <f>+BH21-BH36</f>
        <v>8.2817674730633589E-2</v>
      </c>
      <c r="BI38" s="116">
        <f>+BI21-BI36</f>
        <v>8.6281972915483424E-2</v>
      </c>
    </row>
    <row r="39" spans="31:63">
      <c r="AE39">
        <v>7</v>
      </c>
      <c r="AF39">
        <v>7</v>
      </c>
      <c r="BH39" s="116">
        <f>+BH21+BH36</f>
        <v>0.11690264072472503</v>
      </c>
      <c r="BI39" s="116">
        <f>+BI21+BI36</f>
        <v>0.12056713048675999</v>
      </c>
    </row>
    <row r="40" spans="31:63">
      <c r="AE40">
        <v>8</v>
      </c>
    </row>
    <row r="41" spans="31:63">
      <c r="AE41">
        <v>6</v>
      </c>
    </row>
    <row r="42" spans="31:63">
      <c r="AE42">
        <v>7</v>
      </c>
      <c r="AF42">
        <v>7</v>
      </c>
      <c r="BE42" s="86"/>
      <c r="BF42" s="119"/>
      <c r="BG42" s="119"/>
      <c r="BH42" s="119"/>
      <c r="BI42" s="119"/>
      <c r="BJ42" s="119"/>
    </row>
    <row r="46" spans="31:63">
      <c r="BE46" s="121"/>
      <c r="BF46" s="121"/>
      <c r="BG46" s="121"/>
      <c r="BH46" s="121"/>
      <c r="BI46" s="121"/>
      <c r="BJ46" s="121"/>
    </row>
    <row r="48" spans="31:63">
      <c r="BE48" s="121"/>
      <c r="BF48" s="121"/>
      <c r="BG48" s="121"/>
      <c r="BH48" s="121"/>
      <c r="BI48" s="121"/>
      <c r="BJ48" s="121"/>
    </row>
  </sheetData>
  <mergeCells count="33">
    <mergeCell ref="AY9:BC9"/>
    <mergeCell ref="Z9:AD9"/>
    <mergeCell ref="AE9:AI9"/>
    <mergeCell ref="AO9:AS9"/>
    <mergeCell ref="AJ9:AN9"/>
    <mergeCell ref="AT9:AX9"/>
    <mergeCell ref="BD10:BE10"/>
    <mergeCell ref="AT10:AX10"/>
    <mergeCell ref="AY10:BC10"/>
    <mergeCell ref="H10:I10"/>
    <mergeCell ref="J10:K10"/>
    <mergeCell ref="Z11:AD11"/>
    <mergeCell ref="AE11:AI11"/>
    <mergeCell ref="T11:X11"/>
    <mergeCell ref="L10:M10"/>
    <mergeCell ref="N10:O10"/>
    <mergeCell ref="P10:Q10"/>
    <mergeCell ref="BG9:BI9"/>
    <mergeCell ref="BS9:BV9"/>
    <mergeCell ref="BW9:BZ9"/>
    <mergeCell ref="B3:S3"/>
    <mergeCell ref="B4:S4"/>
    <mergeCell ref="AT3:BN3"/>
    <mergeCell ref="AT4:BN4"/>
    <mergeCell ref="T3:AP3"/>
    <mergeCell ref="T4:AP4"/>
    <mergeCell ref="T5:AP5"/>
    <mergeCell ref="T9:Y9"/>
    <mergeCell ref="BM9:BQ9"/>
    <mergeCell ref="H9:Q9"/>
    <mergeCell ref="R8:S8"/>
    <mergeCell ref="R9:S9"/>
    <mergeCell ref="BD8:BL8"/>
  </mergeCells>
  <printOptions horizontalCentered="1" verticalCentered="1"/>
  <pageMargins left="0.7" right="0.7" top="0.75" bottom="0.75" header="0.3" footer="0.3"/>
  <pageSetup scale="95" orientation="landscape" r:id="rId1"/>
  <colBreaks count="2" manualBreakCount="2">
    <brk id="19" max="1048575" man="1"/>
    <brk id="4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W217"/>
  <sheetViews>
    <sheetView topLeftCell="B142" zoomScaleNormal="100" workbookViewId="0">
      <selection activeCell="O113" sqref="O113"/>
    </sheetView>
  </sheetViews>
  <sheetFormatPr defaultRowHeight="12.75"/>
  <cols>
    <col min="1" max="1" width="0" hidden="1" customWidth="1"/>
    <col min="2" max="2" width="23.5" customWidth="1"/>
    <col min="3" max="4" width="13.6640625" customWidth="1"/>
    <col min="5" max="5" width="13.6640625" hidden="1" customWidth="1"/>
    <col min="6" max="6" width="10.1640625" customWidth="1"/>
    <col min="7" max="8" width="12" customWidth="1"/>
    <col min="9" max="10" width="12.83203125" customWidth="1"/>
    <col min="11" max="14" width="10.83203125" customWidth="1"/>
    <col min="15" max="16" width="10.83203125" style="12" customWidth="1"/>
    <col min="17" max="17" width="10.83203125" customWidth="1"/>
  </cols>
  <sheetData>
    <row r="1" spans="2:23">
      <c r="P1" s="54"/>
      <c r="R1" s="26"/>
      <c r="S1" s="26"/>
      <c r="T1" s="26"/>
      <c r="U1" s="26"/>
      <c r="V1" s="26"/>
      <c r="W1" s="26"/>
    </row>
    <row r="2" spans="2:23">
      <c r="P2" s="67"/>
      <c r="Q2" s="54"/>
      <c r="R2" s="26"/>
      <c r="S2" s="26"/>
      <c r="T2" s="26"/>
      <c r="U2" s="26"/>
      <c r="V2" s="26"/>
      <c r="W2" s="26"/>
    </row>
    <row r="3" spans="2:23" ht="18.75">
      <c r="B3" s="28" t="str">
        <f>'1.6 Comps'!B3</f>
        <v>Questar Gas Company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29"/>
      <c r="R3" s="26"/>
      <c r="S3" s="26"/>
      <c r="T3" s="26"/>
      <c r="U3" s="26"/>
      <c r="V3" s="26"/>
      <c r="W3" s="26"/>
    </row>
    <row r="4" spans="2:23" ht="15.75">
      <c r="B4" s="31" t="s">
        <v>71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0"/>
      <c r="Q4" s="29"/>
      <c r="R4" s="26"/>
      <c r="S4" s="26"/>
      <c r="T4" s="26"/>
      <c r="U4" s="26"/>
      <c r="V4" s="26"/>
      <c r="W4" s="26"/>
    </row>
    <row r="5" spans="2:23" ht="15.75">
      <c r="B5" s="50">
        <f>+'1.6 Comps'!B5</f>
        <v>41547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0"/>
      <c r="Q5" s="29"/>
      <c r="R5" s="26"/>
      <c r="S5" s="26"/>
      <c r="T5" s="26"/>
      <c r="U5" s="26"/>
      <c r="V5" s="26"/>
      <c r="W5" s="26"/>
    </row>
    <row r="6" spans="2:23">
      <c r="M6" s="12"/>
      <c r="N6" s="12"/>
      <c r="O6"/>
      <c r="P6"/>
      <c r="R6" s="26"/>
      <c r="S6" s="26"/>
      <c r="T6" s="26"/>
      <c r="U6" s="26"/>
      <c r="V6" s="26"/>
      <c r="W6" s="26"/>
    </row>
    <row r="7" spans="2:23">
      <c r="M7" s="12"/>
      <c r="N7" s="12"/>
      <c r="O7"/>
      <c r="P7"/>
      <c r="R7" s="26"/>
      <c r="S7" s="26"/>
      <c r="T7" s="26"/>
      <c r="U7" s="26"/>
      <c r="V7" s="26"/>
      <c r="W7" s="26"/>
    </row>
    <row r="8" spans="2:23" ht="15.75">
      <c r="B8" s="588" t="s">
        <v>325</v>
      </c>
      <c r="C8" s="94"/>
      <c r="D8" s="94"/>
      <c r="E8" s="94"/>
      <c r="F8" s="94"/>
      <c r="G8" s="94"/>
      <c r="H8" s="94"/>
      <c r="O8" s="2"/>
      <c r="P8" s="2"/>
      <c r="Q8" s="13"/>
      <c r="R8" s="26"/>
      <c r="S8" s="26"/>
      <c r="T8" s="26"/>
      <c r="U8" s="26"/>
      <c r="V8" s="26"/>
      <c r="W8" s="26"/>
    </row>
    <row r="9" spans="2:23" ht="12.75" customHeight="1">
      <c r="B9" s="589"/>
      <c r="C9" s="94"/>
      <c r="D9" s="94"/>
      <c r="E9" s="94"/>
      <c r="F9" s="94"/>
      <c r="G9" s="94"/>
      <c r="H9" s="94"/>
      <c r="O9" s="2"/>
      <c r="P9" s="2"/>
      <c r="Q9" s="13"/>
      <c r="R9" s="26"/>
      <c r="S9" s="26"/>
      <c r="T9" s="26"/>
      <c r="U9" s="26"/>
      <c r="V9" s="26"/>
      <c r="W9" s="26"/>
    </row>
    <row r="10" spans="2:23">
      <c r="B10" s="94"/>
      <c r="C10" s="158"/>
      <c r="D10" s="158"/>
      <c r="E10" s="158"/>
      <c r="F10" s="157" t="s">
        <v>45</v>
      </c>
      <c r="G10" s="158"/>
      <c r="H10" s="157" t="s">
        <v>40</v>
      </c>
      <c r="I10" s="277" t="s">
        <v>283</v>
      </c>
      <c r="J10" s="277" t="s">
        <v>283</v>
      </c>
      <c r="K10" s="25"/>
      <c r="L10" s="17"/>
      <c r="M10" s="15"/>
      <c r="N10" s="17"/>
      <c r="O10" s="17"/>
      <c r="P10" s="17"/>
      <c r="Q10" s="17"/>
      <c r="R10" s="26"/>
      <c r="S10" s="26"/>
      <c r="T10" s="26"/>
      <c r="U10" s="26"/>
      <c r="V10" s="26"/>
      <c r="W10" s="26"/>
    </row>
    <row r="11" spans="2:23">
      <c r="B11" s="94"/>
      <c r="C11" s="590">
        <f>+'1.8 DCF SS'!B13</f>
        <v>41547</v>
      </c>
      <c r="D11" s="591" t="s">
        <v>44</v>
      </c>
      <c r="E11" s="591"/>
      <c r="F11" s="157" t="s">
        <v>63</v>
      </c>
      <c r="G11" s="157" t="s">
        <v>22</v>
      </c>
      <c r="H11" s="157" t="s">
        <v>41</v>
      </c>
      <c r="I11" s="15" t="s">
        <v>64</v>
      </c>
      <c r="J11" s="15" t="s">
        <v>65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51</v>
      </c>
      <c r="Q11" s="15" t="s">
        <v>51</v>
      </c>
    </row>
    <row r="12" spans="2:23">
      <c r="B12" s="586" t="s">
        <v>3</v>
      </c>
      <c r="C12" s="157" t="s">
        <v>4</v>
      </c>
      <c r="D12" s="591" t="s">
        <v>37</v>
      </c>
      <c r="E12" s="591" t="s">
        <v>53</v>
      </c>
      <c r="F12" s="157" t="s">
        <v>24</v>
      </c>
      <c r="G12" s="157" t="s">
        <v>23</v>
      </c>
      <c r="H12" s="157" t="s">
        <v>37</v>
      </c>
      <c r="I12" s="15" t="s">
        <v>26</v>
      </c>
      <c r="J12" s="15" t="s">
        <v>26</v>
      </c>
      <c r="K12" s="15" t="s">
        <v>46</v>
      </c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23</v>
      </c>
      <c r="Q12" s="15" t="s">
        <v>52</v>
      </c>
    </row>
    <row r="13" spans="2:23" ht="7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"/>
      <c r="P13" s="14"/>
      <c r="Q13" s="3"/>
    </row>
    <row r="14" spans="2:23">
      <c r="B14" t="str">
        <f>'1.8 DCF SS'!A16</f>
        <v>AGL Resources</v>
      </c>
      <c r="C14" s="36">
        <f>+'1.8 DCF SS'!B16</f>
        <v>46.03</v>
      </c>
      <c r="D14" s="12">
        <f t="shared" ref="D14:D20" si="0">(K14/(1+$F14)^0.5+L14/(1+$F14)^1.5+M14/(1+$F14)^2.5+N14/(1+$F14)^3.5+O14/(1+$F14)^4.5+P14/(1+F14)^5.5+Q14/(1+$F14)^5.5)</f>
        <v>46.030648273826785</v>
      </c>
      <c r="E14" s="336">
        <f t="shared" ref="E14:E20" si="1">C14-D14</f>
        <v>-6.4827382678345202E-4</v>
      </c>
      <c r="F14" s="102">
        <v>0.11431535800050219</v>
      </c>
      <c r="G14" s="36">
        <f>+'1.8 DCF SS'!C16</f>
        <v>1.861</v>
      </c>
      <c r="H14" s="21">
        <f t="shared" ref="H14:H20" si="2">G14/C14</f>
        <v>4.0430154247230066E-2</v>
      </c>
      <c r="I14" s="21">
        <f>'1.8 DCF SS'!O16</f>
        <v>0.09</v>
      </c>
      <c r="J14" s="21">
        <f>'1.8 DCF SS'!P16</f>
        <v>4.4999999999999998E-2</v>
      </c>
      <c r="K14" s="94">
        <f>G14*(1+$J14/2)</f>
        <v>1.9028725</v>
      </c>
      <c r="L14" s="94">
        <f t="shared" ref="L14:P19" si="3">K14*(1+$J14)</f>
        <v>1.9885017624999999</v>
      </c>
      <c r="M14" s="94">
        <f t="shared" si="3"/>
        <v>2.0779843418124999</v>
      </c>
      <c r="N14" s="94">
        <f t="shared" si="3"/>
        <v>2.1714936371940623</v>
      </c>
      <c r="O14" s="94">
        <f t="shared" si="3"/>
        <v>2.2692108508677951</v>
      </c>
      <c r="P14" s="94">
        <f t="shared" si="3"/>
        <v>2.3713253391568458</v>
      </c>
      <c r="Q14">
        <f>P14/($F14-$I14*0.75-$J14*0.25)</f>
        <v>66.675143242572233</v>
      </c>
    </row>
    <row r="15" spans="2:23">
      <c r="B15" t="str">
        <f>'1.8 DCF SS'!A17</f>
        <v>Atmos Energy</v>
      </c>
      <c r="C15" s="36">
        <f>+'1.8 DCF SS'!B17</f>
        <v>42.59</v>
      </c>
      <c r="D15" s="12">
        <f t="shared" si="0"/>
        <v>42.589915581447656</v>
      </c>
      <c r="E15" s="336">
        <f t="shared" si="1"/>
        <v>8.4418552347642617E-5</v>
      </c>
      <c r="F15" s="102">
        <v>7.4047363571343783E-2</v>
      </c>
      <c r="G15" s="36">
        <f>+'1.8 DCF SS'!C17</f>
        <v>1.4049999999999998</v>
      </c>
      <c r="H15" s="21">
        <f t="shared" si="2"/>
        <v>3.2988964545667993E-2</v>
      </c>
      <c r="I15" s="21">
        <f>'1.8 DCF SS'!O17</f>
        <v>5.5E-2</v>
      </c>
      <c r="J15" s="21">
        <f>'1.8 DCF SS'!P17</f>
        <v>1.4999999999999999E-2</v>
      </c>
      <c r="K15" s="94">
        <f t="shared" ref="K15:K20" si="4">G15*(1+$J15/2)</f>
        <v>1.4155374999999999</v>
      </c>
      <c r="L15" s="94">
        <f t="shared" si="3"/>
        <v>1.4367705624999998</v>
      </c>
      <c r="M15" s="94">
        <f t="shared" si="3"/>
        <v>1.4583221209374997</v>
      </c>
      <c r="N15" s="94">
        <f t="shared" si="3"/>
        <v>1.4801969527515619</v>
      </c>
      <c r="O15" s="94">
        <f t="shared" si="3"/>
        <v>1.5023999070428353</v>
      </c>
      <c r="P15" s="94">
        <f t="shared" si="3"/>
        <v>1.5249359056484777</v>
      </c>
      <c r="Q15">
        <f t="shared" ref="Q15:Q20" si="5">P15/($F15-$I15*0.75-$J15*0.25)</f>
        <v>52.498255199755178</v>
      </c>
    </row>
    <row r="16" spans="2:23">
      <c r="B16" t="str">
        <f>'1.8 DCF SS'!A18</f>
        <v>Laclede Group</v>
      </c>
      <c r="C16" s="36">
        <f>+'1.8 DCF SS'!B18</f>
        <v>45</v>
      </c>
      <c r="D16" s="12">
        <f t="shared" si="0"/>
        <v>45.00039951098114</v>
      </c>
      <c r="E16" s="336">
        <f t="shared" si="1"/>
        <v>-3.9951098113988337E-4</v>
      </c>
      <c r="F16" s="102">
        <v>8.9422563118099485E-2</v>
      </c>
      <c r="G16" s="36">
        <f>+'1.8 DCF SS'!C18</f>
        <v>1.71</v>
      </c>
      <c r="H16" s="21">
        <f t="shared" si="2"/>
        <v>3.7999999999999999E-2</v>
      </c>
      <c r="I16" s="21">
        <f>'1.8 DCF SS'!O18</f>
        <v>0.06</v>
      </c>
      <c r="J16" s="21">
        <f>'1.8 DCF SS'!P18</f>
        <v>3.5000000000000003E-2</v>
      </c>
      <c r="K16" s="94">
        <f t="shared" si="4"/>
        <v>1.7399250000000002</v>
      </c>
      <c r="L16" s="94">
        <f t="shared" si="3"/>
        <v>1.8008223750000001</v>
      </c>
      <c r="M16" s="94">
        <f t="shared" si="3"/>
        <v>1.8638511581249999</v>
      </c>
      <c r="N16" s="94">
        <f t="shared" si="3"/>
        <v>1.9290859486593748</v>
      </c>
      <c r="O16" s="94">
        <f t="shared" si="3"/>
        <v>1.9966039568624527</v>
      </c>
      <c r="P16" s="94">
        <f t="shared" si="3"/>
        <v>2.0664850953526384</v>
      </c>
      <c r="Q16">
        <f t="shared" si="5"/>
        <v>57.92925752240518</v>
      </c>
    </row>
    <row r="17" spans="2:20">
      <c r="B17" t="str">
        <f>'1.8 DCF SS'!A19</f>
        <v>Northwest Nat. Gas</v>
      </c>
      <c r="C17" s="36">
        <f>+'1.8 DCF SS'!B19</f>
        <v>41.98</v>
      </c>
      <c r="D17" s="12">
        <f t="shared" si="0"/>
        <v>41.980114699511887</v>
      </c>
      <c r="E17" s="336">
        <f t="shared" si="1"/>
        <v>-1.1469951189013727E-4</v>
      </c>
      <c r="F17" s="102">
        <v>8.1979212031577847E-2</v>
      </c>
      <c r="G17" s="36">
        <f>+'1.8 DCF SS'!C19</f>
        <v>1.84</v>
      </c>
      <c r="H17" s="21">
        <f t="shared" si="2"/>
        <v>4.3830395426393526E-2</v>
      </c>
      <c r="I17" s="21">
        <f>'1.8 DCF SS'!O19</f>
        <v>4.4999999999999998E-2</v>
      </c>
      <c r="J17" s="21">
        <f>'1.8 DCF SS'!P19</f>
        <v>2.5000000000000001E-2</v>
      </c>
      <c r="K17" s="94">
        <f t="shared" si="4"/>
        <v>1.863</v>
      </c>
      <c r="L17" s="94">
        <f t="shared" si="3"/>
        <v>1.9095749999999998</v>
      </c>
      <c r="M17" s="94">
        <f t="shared" si="3"/>
        <v>1.9573143749999997</v>
      </c>
      <c r="N17" s="94">
        <f t="shared" si="3"/>
        <v>2.0062472343749995</v>
      </c>
      <c r="O17" s="94">
        <f t="shared" si="3"/>
        <v>2.0564034152343744</v>
      </c>
      <c r="P17" s="94">
        <f t="shared" si="3"/>
        <v>2.1078135006152334</v>
      </c>
      <c r="Q17">
        <f t="shared" si="5"/>
        <v>50.210887689594593</v>
      </c>
    </row>
    <row r="18" spans="2:20">
      <c r="B18" t="str">
        <f>'1.8 DCF SS'!A20</f>
        <v>Piedmont Natural Gas</v>
      </c>
      <c r="C18" s="36">
        <f>+'1.8 DCF SS'!B20</f>
        <v>32.880000000000003</v>
      </c>
      <c r="D18" s="12">
        <f t="shared" si="0"/>
        <v>32.880351996910676</v>
      </c>
      <c r="E18" s="336">
        <f t="shared" si="1"/>
        <v>-3.5199691067333561E-4</v>
      </c>
      <c r="F18" s="102">
        <v>7.7881387257052612E-2</v>
      </c>
      <c r="G18" s="36">
        <f>+'1.8 DCF SS'!C20</f>
        <v>1.24</v>
      </c>
      <c r="H18" s="21">
        <f t="shared" si="2"/>
        <v>3.7712895377128949E-2</v>
      </c>
      <c r="I18" s="21">
        <f>'1.8 DCF SS'!O20</f>
        <v>4.4999999999999998E-2</v>
      </c>
      <c r="J18" s="21">
        <f>'1.8 DCF SS'!P20</f>
        <v>0.03</v>
      </c>
      <c r="K18" s="94">
        <f t="shared" si="4"/>
        <v>1.2585999999999999</v>
      </c>
      <c r="L18" s="94">
        <f t="shared" si="3"/>
        <v>1.2963579999999999</v>
      </c>
      <c r="M18" s="94">
        <f t="shared" si="3"/>
        <v>1.3352487399999999</v>
      </c>
      <c r="N18" s="94">
        <f t="shared" si="3"/>
        <v>1.3753062022</v>
      </c>
      <c r="O18" s="94">
        <f t="shared" si="3"/>
        <v>1.4165653882660001</v>
      </c>
      <c r="P18" s="94">
        <f t="shared" si="3"/>
        <v>1.4590623499139801</v>
      </c>
      <c r="Q18">
        <f t="shared" si="5"/>
        <v>39.83093350179</v>
      </c>
    </row>
    <row r="19" spans="2:20">
      <c r="B19" t="str">
        <f>'1.8 DCF SS'!A21</f>
        <v>South Jersey Inds.</v>
      </c>
      <c r="C19" s="36">
        <f>+'1.8 DCF SS'!B21</f>
        <v>58.88</v>
      </c>
      <c r="D19" s="12">
        <f t="shared" si="0"/>
        <v>58.879998602434405</v>
      </c>
      <c r="E19" s="336">
        <f t="shared" si="1"/>
        <v>1.3975655974718393E-6</v>
      </c>
      <c r="F19" s="102">
        <v>0.1102934100558455</v>
      </c>
      <c r="G19" s="36">
        <f>+'1.8 DCF SS'!C21</f>
        <v>1.8120000000000001</v>
      </c>
      <c r="H19" s="21">
        <f t="shared" si="2"/>
        <v>3.077445652173913E-2</v>
      </c>
      <c r="I19" s="21">
        <f>'1.8 DCF SS'!O21</f>
        <v>7.4999999999999997E-2</v>
      </c>
      <c r="J19" s="21">
        <f>'1.8 DCF SS'!P21</f>
        <v>8.5000000000000006E-2</v>
      </c>
      <c r="K19" s="94">
        <f t="shared" si="4"/>
        <v>1.8890100000000001</v>
      </c>
      <c r="L19" s="94">
        <f t="shared" si="3"/>
        <v>2.0495758500000001</v>
      </c>
      <c r="M19" s="94">
        <f t="shared" si="3"/>
        <v>2.2237897972499998</v>
      </c>
      <c r="N19" s="94">
        <f t="shared" si="3"/>
        <v>2.4128119300162498</v>
      </c>
      <c r="O19" s="94">
        <f t="shared" si="3"/>
        <v>2.6179009440676309</v>
      </c>
      <c r="P19" s="94">
        <f t="shared" si="3"/>
        <v>2.8404225243133796</v>
      </c>
      <c r="Q19">
        <f t="shared" si="5"/>
        <v>86.615649896619018</v>
      </c>
    </row>
    <row r="20" spans="2:20">
      <c r="B20" t="str">
        <f>'1.8 DCF SS'!A22</f>
        <v>Southwest Gas</v>
      </c>
      <c r="C20" s="36">
        <f>+'1.8 DCF SS'!B22</f>
        <v>50</v>
      </c>
      <c r="D20" s="12">
        <f t="shared" si="0"/>
        <v>50.000096697137351</v>
      </c>
      <c r="E20" s="336">
        <f t="shared" si="1"/>
        <v>-9.6697137351497986E-5</v>
      </c>
      <c r="F20" s="102">
        <v>0.10254861047869468</v>
      </c>
      <c r="G20" s="36">
        <f>+'1.8 DCF SS'!C22</f>
        <v>1.27</v>
      </c>
      <c r="H20" s="21">
        <f t="shared" si="2"/>
        <v>2.5399999999999999E-2</v>
      </c>
      <c r="I20" s="21">
        <f>'1.8 DCF SS'!O22</f>
        <v>0.08</v>
      </c>
      <c r="J20" s="21">
        <f>'1.8 DCF SS'!P22</f>
        <v>7.0000000000000007E-2</v>
      </c>
      <c r="K20" s="94">
        <f t="shared" si="4"/>
        <v>1.3144499999999999</v>
      </c>
      <c r="L20" s="94">
        <f t="shared" ref="L20:P20" si="6">K20*(1+$J20)</f>
        <v>1.4064615</v>
      </c>
      <c r="M20" s="94">
        <f t="shared" si="6"/>
        <v>1.5049138050000002</v>
      </c>
      <c r="N20" s="94">
        <f t="shared" si="6"/>
        <v>1.6102577713500004</v>
      </c>
      <c r="O20" s="94">
        <f t="shared" si="6"/>
        <v>1.7229758153445005</v>
      </c>
      <c r="P20" s="94">
        <f t="shared" si="6"/>
        <v>1.8435841224186156</v>
      </c>
      <c r="Q20">
        <f t="shared" si="5"/>
        <v>73.600255151346317</v>
      </c>
    </row>
    <row r="21" spans="2:20" ht="7.5" customHeight="1">
      <c r="D21" s="12"/>
      <c r="E21" s="12"/>
      <c r="F21" s="6"/>
      <c r="H21" s="3"/>
      <c r="I21" s="11"/>
      <c r="J21" s="3"/>
      <c r="O21"/>
      <c r="P21"/>
    </row>
    <row r="22" spans="2:20">
      <c r="B22" s="5" t="s">
        <v>80</v>
      </c>
      <c r="D22" s="12"/>
      <c r="E22" s="12"/>
      <c r="F22" s="6">
        <f>AVERAGE(F14:F21)</f>
        <v>9.2926843501873732E-2</v>
      </c>
      <c r="H22" s="6">
        <f>AVERAGE(H14:H21)</f>
        <v>3.5590980874022807E-2</v>
      </c>
      <c r="I22" s="6">
        <f>AVERAGE(I14:I21)</f>
        <v>6.4285714285714293E-2</v>
      </c>
      <c r="J22" s="6">
        <f>AVERAGE(J14:J21)</f>
        <v>4.3571428571428573E-2</v>
      </c>
      <c r="O22"/>
      <c r="P22"/>
    </row>
    <row r="23" spans="2:20">
      <c r="B23" s="5" t="s">
        <v>43</v>
      </c>
      <c r="F23" s="6">
        <f>STDEV(F14:F21)</f>
        <v>1.6158463819143633E-2</v>
      </c>
      <c r="H23" s="6"/>
      <c r="I23" s="6"/>
      <c r="J23" s="6"/>
      <c r="O23"/>
      <c r="P23"/>
    </row>
    <row r="24" spans="2:20">
      <c r="B24" s="5" t="s">
        <v>21</v>
      </c>
      <c r="F24" s="6">
        <f>+MEDIAN(F14:F21)</f>
        <v>8.9422563118099485E-2</v>
      </c>
      <c r="H24" s="6"/>
      <c r="I24" s="6"/>
      <c r="J24" s="6"/>
      <c r="O24"/>
      <c r="P24"/>
    </row>
    <row r="25" spans="2:20" ht="7.5" customHeight="1">
      <c r="B25" s="5"/>
      <c r="H25" s="6"/>
      <c r="K25" s="6"/>
      <c r="O25"/>
      <c r="P25"/>
    </row>
    <row r="26" spans="2:20" ht="15.75">
      <c r="B26" s="8" t="s">
        <v>42</v>
      </c>
      <c r="D26" s="9"/>
      <c r="E26" s="9"/>
      <c r="F26" s="594">
        <f>F22</f>
        <v>9.2926843501873732E-2</v>
      </c>
      <c r="G26" s="4"/>
      <c r="H26" s="9"/>
      <c r="K26" s="6"/>
      <c r="O26"/>
      <c r="P26"/>
    </row>
    <row r="27" spans="2:20">
      <c r="M27" s="12"/>
      <c r="N27" s="12"/>
      <c r="O27"/>
      <c r="P27"/>
    </row>
    <row r="28" spans="2:20">
      <c r="C28" s="37" t="s">
        <v>180</v>
      </c>
    </row>
    <row r="29" spans="2:20">
      <c r="C29" t="s">
        <v>119</v>
      </c>
    </row>
    <row r="30" spans="2:20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35"/>
      <c r="P30" s="135"/>
      <c r="Q30" s="94"/>
      <c r="R30" s="94"/>
      <c r="S30" s="94"/>
      <c r="T30" s="94"/>
    </row>
    <row r="31" spans="2:20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35"/>
      <c r="P31" s="772"/>
      <c r="Q31" s="94"/>
      <c r="R31" s="94"/>
      <c r="S31" s="94"/>
      <c r="T31" s="94"/>
    </row>
    <row r="32" spans="2:20" ht="15.75">
      <c r="B32" s="588" t="s">
        <v>284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586"/>
      <c r="P32" s="356"/>
      <c r="Q32" s="773"/>
      <c r="R32" s="94"/>
      <c r="S32" s="94"/>
      <c r="T32" s="94"/>
    </row>
    <row r="33" spans="2:20" ht="15.75">
      <c r="B33" s="589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86"/>
      <c r="P33" s="586"/>
      <c r="Q33" s="773"/>
      <c r="R33" s="94"/>
      <c r="S33" s="94"/>
      <c r="T33" s="94"/>
    </row>
    <row r="34" spans="2:20">
      <c r="B34" s="94"/>
      <c r="C34" s="157" t="str">
        <f>+C65</f>
        <v xml:space="preserve">30 Day </v>
      </c>
      <c r="D34" s="158"/>
      <c r="E34" s="158"/>
      <c r="F34" s="157" t="s">
        <v>45</v>
      </c>
      <c r="G34" s="158"/>
      <c r="H34" s="157" t="s">
        <v>40</v>
      </c>
      <c r="I34" s="157" t="str">
        <f>+I10</f>
        <v>VL Projected</v>
      </c>
      <c r="J34" s="157" t="str">
        <f>+J10</f>
        <v>VL Projected</v>
      </c>
      <c r="K34" s="593"/>
      <c r="L34" s="158"/>
      <c r="M34" s="157"/>
      <c r="N34" s="158"/>
      <c r="O34" s="158"/>
      <c r="P34" s="158"/>
      <c r="Q34" s="158"/>
      <c r="R34" s="94"/>
      <c r="S34" s="94"/>
      <c r="T34" s="94"/>
    </row>
    <row r="35" spans="2:20">
      <c r="B35" s="94"/>
      <c r="C35" s="590" t="str">
        <f>+C66</f>
        <v>Average</v>
      </c>
      <c r="D35" s="591" t="s">
        <v>44</v>
      </c>
      <c r="E35" s="591"/>
      <c r="F35" s="157" t="s">
        <v>63</v>
      </c>
      <c r="G35" s="157" t="s">
        <v>22</v>
      </c>
      <c r="H35" s="157" t="s">
        <v>41</v>
      </c>
      <c r="I35" s="157" t="s">
        <v>64</v>
      </c>
      <c r="J35" s="157" t="s">
        <v>65</v>
      </c>
      <c r="K35" s="157" t="s">
        <v>23</v>
      </c>
      <c r="L35" s="157" t="s">
        <v>23</v>
      </c>
      <c r="M35" s="157" t="s">
        <v>23</v>
      </c>
      <c r="N35" s="157" t="s">
        <v>23</v>
      </c>
      <c r="O35" s="157" t="s">
        <v>23</v>
      </c>
      <c r="P35" s="157" t="s">
        <v>51</v>
      </c>
      <c r="Q35" s="157" t="s">
        <v>51</v>
      </c>
      <c r="R35" s="94"/>
      <c r="S35" s="94"/>
      <c r="T35" s="94"/>
    </row>
    <row r="36" spans="2:20">
      <c r="B36" s="586" t="s">
        <v>3</v>
      </c>
      <c r="C36" s="157" t="s">
        <v>4</v>
      </c>
      <c r="D36" s="591" t="s">
        <v>37</v>
      </c>
      <c r="E36" s="591" t="s">
        <v>53</v>
      </c>
      <c r="F36" s="157" t="s">
        <v>24</v>
      </c>
      <c r="G36" s="157" t="s">
        <v>23</v>
      </c>
      <c r="H36" s="157" t="s">
        <v>37</v>
      </c>
      <c r="I36" s="157" t="s">
        <v>26</v>
      </c>
      <c r="J36" s="157" t="s">
        <v>26</v>
      </c>
      <c r="K36" s="157" t="s">
        <v>46</v>
      </c>
      <c r="L36" s="157" t="s">
        <v>47</v>
      </c>
      <c r="M36" s="157" t="s">
        <v>48</v>
      </c>
      <c r="N36" s="157" t="s">
        <v>49</v>
      </c>
      <c r="O36" s="157" t="s">
        <v>50</v>
      </c>
      <c r="P36" s="157" t="s">
        <v>23</v>
      </c>
      <c r="Q36" s="157" t="s">
        <v>52</v>
      </c>
      <c r="R36" s="94"/>
      <c r="S36" s="94"/>
      <c r="T36" s="94"/>
    </row>
    <row r="37" spans="2:20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74"/>
      <c r="P37" s="774"/>
      <c r="Q37" s="97"/>
      <c r="R37" s="94"/>
      <c r="S37" s="94"/>
      <c r="T37" s="94"/>
    </row>
    <row r="38" spans="2:20">
      <c r="B38" s="94" t="str">
        <f t="shared" ref="B38:B40" si="7">B14</f>
        <v>AGL Resources</v>
      </c>
      <c r="C38" s="110">
        <f>+C69</f>
        <v>44.933999999999997</v>
      </c>
      <c r="D38" s="110">
        <f t="shared" ref="D38:D44" si="8">(K38/(1+$F38)^0.5+L38/(1+$F38)^1.5+M38/(1+$F38)^2.5+N38/(1+$F38)^3.5+O38/(1+$F38)^4.5+P38/(1+F38)^5.5+Q38/(1+$F38)^5.5)</f>
        <v>44.93412276638761</v>
      </c>
      <c r="E38" s="135">
        <f t="shared" ref="E38:E44" si="9">C38-D38</f>
        <v>-1.2276638761221648E-4</v>
      </c>
      <c r="F38" s="138">
        <v>0.12462012360379848</v>
      </c>
      <c r="G38" s="110">
        <f t="shared" ref="G38:J40" si="10">G14</f>
        <v>1.861</v>
      </c>
      <c r="H38" s="138">
        <f t="shared" si="10"/>
        <v>4.0430154247230066E-2</v>
      </c>
      <c r="I38" s="138">
        <f t="shared" si="10"/>
        <v>0.09</v>
      </c>
      <c r="J38" s="138">
        <f t="shared" si="10"/>
        <v>4.4999999999999998E-2</v>
      </c>
      <c r="K38" s="94">
        <f>G38*(1+$J38/2)</f>
        <v>1.9028725</v>
      </c>
      <c r="L38" s="94">
        <f>K38*(1+$J38)</f>
        <v>1.9885017624999999</v>
      </c>
      <c r="M38" s="94">
        <f t="shared" ref="M38:P38" si="11">L38*(1+$J38)</f>
        <v>2.0779843418124999</v>
      </c>
      <c r="N38" s="94">
        <f t="shared" si="11"/>
        <v>2.1714936371940623</v>
      </c>
      <c r="O38" s="94">
        <f t="shared" si="11"/>
        <v>2.2692108508677951</v>
      </c>
      <c r="P38" s="94">
        <f t="shared" si="11"/>
        <v>2.3713253391568458</v>
      </c>
      <c r="Q38" s="94">
        <f>P38/($F38-I38)</f>
        <v>68.495576916330435</v>
      </c>
      <c r="R38" s="94"/>
      <c r="S38" s="94"/>
      <c r="T38" s="94"/>
    </row>
    <row r="39" spans="2:20">
      <c r="B39" s="94" t="str">
        <f t="shared" si="7"/>
        <v>Atmos Energy</v>
      </c>
      <c r="C39" s="110">
        <f t="shared" ref="C39:C44" si="12">+C70</f>
        <v>41.037500000000001</v>
      </c>
      <c r="D39" s="110">
        <f t="shared" si="8"/>
        <v>41.037621030208356</v>
      </c>
      <c r="E39" s="135">
        <f t="shared" si="9"/>
        <v>-1.2103020835496636E-4</v>
      </c>
      <c r="F39" s="138">
        <v>8.3758462577295759E-2</v>
      </c>
      <c r="G39" s="110">
        <f t="shared" si="10"/>
        <v>1.4049999999999998</v>
      </c>
      <c r="H39" s="138">
        <f t="shared" si="10"/>
        <v>3.2988964545667993E-2</v>
      </c>
      <c r="I39" s="138">
        <f t="shared" si="10"/>
        <v>5.5E-2</v>
      </c>
      <c r="J39" s="138">
        <f t="shared" si="10"/>
        <v>1.4999999999999999E-2</v>
      </c>
      <c r="K39" s="94">
        <f t="shared" ref="K39:K44" si="13">G39*(1+$J39/2)</f>
        <v>1.4155374999999999</v>
      </c>
      <c r="L39" s="94">
        <f t="shared" ref="L39:P39" si="14">K39*(1+$J39)</f>
        <v>1.4367705624999998</v>
      </c>
      <c r="M39" s="94">
        <f t="shared" si="14"/>
        <v>1.4583221209374997</v>
      </c>
      <c r="N39" s="94">
        <f t="shared" si="14"/>
        <v>1.4801969527515619</v>
      </c>
      <c r="O39" s="94">
        <f t="shared" si="14"/>
        <v>1.5023999070428353</v>
      </c>
      <c r="P39" s="94">
        <f t="shared" si="14"/>
        <v>1.5249359056484777</v>
      </c>
      <c r="Q39" s="94">
        <f>P39/($F39-I39)</f>
        <v>53.025640767472204</v>
      </c>
      <c r="R39" s="94"/>
      <c r="S39" s="94"/>
      <c r="T39" s="94"/>
    </row>
    <row r="40" spans="2:20">
      <c r="B40" s="94" t="str">
        <f t="shared" si="7"/>
        <v>Laclede Group</v>
      </c>
      <c r="C40" s="110">
        <f t="shared" si="12"/>
        <v>43.985500000000002</v>
      </c>
      <c r="D40" s="110">
        <f t="shared" si="8"/>
        <v>43.985510752275246</v>
      </c>
      <c r="E40" s="135">
        <f t="shared" si="9"/>
        <v>-1.0752275244385601E-5</v>
      </c>
      <c r="F40" s="138">
        <v>9.5463936639744923E-2</v>
      </c>
      <c r="G40" s="110">
        <f t="shared" si="10"/>
        <v>1.71</v>
      </c>
      <c r="H40" s="138">
        <f t="shared" si="10"/>
        <v>3.7999999999999999E-2</v>
      </c>
      <c r="I40" s="138">
        <f t="shared" si="10"/>
        <v>0.06</v>
      </c>
      <c r="J40" s="138">
        <f t="shared" si="10"/>
        <v>3.5000000000000003E-2</v>
      </c>
      <c r="K40" s="94">
        <f t="shared" si="13"/>
        <v>1.7399250000000002</v>
      </c>
      <c r="L40" s="94">
        <f t="shared" ref="L40:P40" si="15">K40*(1+$J40)</f>
        <v>1.8008223750000001</v>
      </c>
      <c r="M40" s="94">
        <f t="shared" si="15"/>
        <v>1.8638511581249999</v>
      </c>
      <c r="N40" s="94">
        <f t="shared" si="15"/>
        <v>1.9290859486593748</v>
      </c>
      <c r="O40" s="94">
        <f t="shared" si="15"/>
        <v>1.9966039568624527</v>
      </c>
      <c r="P40" s="94">
        <f t="shared" si="15"/>
        <v>2.0664850953526384</v>
      </c>
      <c r="Q40" s="94">
        <f t="shared" ref="Q40:Q44" si="16">P40/($F40-I40)</f>
        <v>58.270042503874201</v>
      </c>
      <c r="R40" s="94"/>
      <c r="S40" s="94"/>
      <c r="T40" s="94"/>
    </row>
    <row r="41" spans="2:20">
      <c r="B41" s="94" t="str">
        <f t="shared" ref="B41:B42" si="17">B17</f>
        <v>Northwest Nat. Gas</v>
      </c>
      <c r="C41" s="110">
        <f t="shared" si="12"/>
        <v>41.033000000000001</v>
      </c>
      <c r="D41" s="110">
        <f t="shared" si="8"/>
        <v>41.033007961216704</v>
      </c>
      <c r="E41" s="135">
        <f t="shared" si="9"/>
        <v>-7.9612167027676151E-6</v>
      </c>
      <c r="F41" s="138">
        <v>8.6989370918021711E-2</v>
      </c>
      <c r="G41" s="110">
        <f t="shared" ref="G41:J42" si="18">G17</f>
        <v>1.84</v>
      </c>
      <c r="H41" s="138">
        <f t="shared" si="18"/>
        <v>4.3830395426393526E-2</v>
      </c>
      <c r="I41" s="138">
        <f t="shared" si="18"/>
        <v>4.4999999999999998E-2</v>
      </c>
      <c r="J41" s="138">
        <f t="shared" si="18"/>
        <v>2.5000000000000001E-2</v>
      </c>
      <c r="K41" s="94">
        <f t="shared" si="13"/>
        <v>1.863</v>
      </c>
      <c r="L41" s="94">
        <f t="shared" ref="L41:P41" si="19">K41*(1+$J41)</f>
        <v>1.9095749999999998</v>
      </c>
      <c r="M41" s="94">
        <f t="shared" si="19"/>
        <v>1.9573143749999997</v>
      </c>
      <c r="N41" s="94">
        <f t="shared" si="19"/>
        <v>2.0062472343749995</v>
      </c>
      <c r="O41" s="94">
        <f t="shared" si="19"/>
        <v>2.0564034152343744</v>
      </c>
      <c r="P41" s="94">
        <f t="shared" si="19"/>
        <v>2.1078135006152334</v>
      </c>
      <c r="Q41" s="94">
        <f t="shared" si="16"/>
        <v>50.198739693682008</v>
      </c>
      <c r="R41" s="94"/>
      <c r="S41" s="94"/>
      <c r="T41" s="94"/>
    </row>
    <row r="42" spans="2:20">
      <c r="B42" s="94" t="str">
        <f t="shared" si="17"/>
        <v>Piedmont Natural Gas</v>
      </c>
      <c r="C42" s="110">
        <f t="shared" si="12"/>
        <v>32.551000000000002</v>
      </c>
      <c r="D42" s="110">
        <f t="shared" si="8"/>
        <v>32.551046377965733</v>
      </c>
      <c r="E42" s="135">
        <f t="shared" si="9"/>
        <v>-4.6377965730926007E-5</v>
      </c>
      <c r="F42" s="138">
        <v>8.1359650423493982E-2</v>
      </c>
      <c r="G42" s="110">
        <f t="shared" si="18"/>
        <v>1.24</v>
      </c>
      <c r="H42" s="138">
        <f t="shared" si="18"/>
        <v>3.7712895377128949E-2</v>
      </c>
      <c r="I42" s="138">
        <f t="shared" si="18"/>
        <v>4.4999999999999998E-2</v>
      </c>
      <c r="J42" s="138">
        <f t="shared" si="18"/>
        <v>0.03</v>
      </c>
      <c r="K42" s="94">
        <f t="shared" si="13"/>
        <v>1.2585999999999999</v>
      </c>
      <c r="L42" s="94">
        <f t="shared" ref="L42:P42" si="20">K42*(1+$J42)</f>
        <v>1.2963579999999999</v>
      </c>
      <c r="M42" s="94">
        <f t="shared" si="20"/>
        <v>1.3352487399999999</v>
      </c>
      <c r="N42" s="94">
        <f t="shared" si="20"/>
        <v>1.3753062022</v>
      </c>
      <c r="O42" s="94">
        <f t="shared" si="20"/>
        <v>1.4165653882660001</v>
      </c>
      <c r="P42" s="94">
        <f t="shared" si="20"/>
        <v>1.4590623499139801</v>
      </c>
      <c r="Q42" s="94">
        <f t="shared" si="16"/>
        <v>40.128613254521255</v>
      </c>
      <c r="R42" s="94"/>
      <c r="S42" s="94"/>
      <c r="T42" s="94"/>
    </row>
    <row r="43" spans="2:20">
      <c r="B43" s="94" t="str">
        <f>B19</f>
        <v>South Jersey Inds.</v>
      </c>
      <c r="C43" s="110">
        <f t="shared" si="12"/>
        <v>57.564500000000002</v>
      </c>
      <c r="D43" s="110">
        <f t="shared" si="8"/>
        <v>57.564604288763704</v>
      </c>
      <c r="E43" s="135">
        <f t="shared" si="9"/>
        <v>-1.0428876370127682E-4</v>
      </c>
      <c r="F43" s="138">
        <v>0.10895378068784004</v>
      </c>
      <c r="G43" s="110">
        <f t="shared" ref="G43:J44" si="21">G19</f>
        <v>1.8120000000000001</v>
      </c>
      <c r="H43" s="138">
        <f t="shared" si="21"/>
        <v>3.077445652173913E-2</v>
      </c>
      <c r="I43" s="138">
        <f t="shared" si="21"/>
        <v>7.4999999999999997E-2</v>
      </c>
      <c r="J43" s="138">
        <f t="shared" si="21"/>
        <v>8.5000000000000006E-2</v>
      </c>
      <c r="K43" s="94">
        <f t="shared" si="13"/>
        <v>1.8890100000000001</v>
      </c>
      <c r="L43" s="94">
        <f t="shared" ref="L43:P43" si="22">K43*(1+$J43)</f>
        <v>2.0495758500000001</v>
      </c>
      <c r="M43" s="94">
        <f t="shared" si="22"/>
        <v>2.2237897972499998</v>
      </c>
      <c r="N43" s="94">
        <f t="shared" si="22"/>
        <v>2.4128119300162498</v>
      </c>
      <c r="O43" s="94">
        <f t="shared" si="22"/>
        <v>2.6179009440676309</v>
      </c>
      <c r="P43" s="94">
        <f t="shared" si="22"/>
        <v>2.8404225243133796</v>
      </c>
      <c r="Q43" s="94">
        <f t="shared" si="16"/>
        <v>83.655559609909005</v>
      </c>
      <c r="R43" s="94"/>
      <c r="S43" s="94"/>
      <c r="T43" s="94"/>
    </row>
    <row r="44" spans="2:20">
      <c r="B44" s="94" t="str">
        <f>B20</f>
        <v>Southwest Gas</v>
      </c>
      <c r="C44" s="110">
        <f t="shared" si="12"/>
        <v>47.920999999999999</v>
      </c>
      <c r="D44" s="110">
        <f t="shared" si="8"/>
        <v>47.921008488938966</v>
      </c>
      <c r="E44" s="135">
        <f t="shared" si="9"/>
        <v>-8.4889389668774129E-6</v>
      </c>
      <c r="F44" s="138">
        <v>0.10585276417804794</v>
      </c>
      <c r="G44" s="110">
        <f t="shared" si="21"/>
        <v>1.27</v>
      </c>
      <c r="H44" s="138">
        <f t="shared" si="21"/>
        <v>2.5399999999999999E-2</v>
      </c>
      <c r="I44" s="138">
        <f t="shared" si="21"/>
        <v>0.08</v>
      </c>
      <c r="J44" s="138">
        <f t="shared" si="21"/>
        <v>7.0000000000000007E-2</v>
      </c>
      <c r="K44" s="94">
        <f t="shared" si="13"/>
        <v>1.3144499999999999</v>
      </c>
      <c r="L44" s="94">
        <f t="shared" ref="L44:P44" si="23">K44*(1+$J44)</f>
        <v>1.4064615</v>
      </c>
      <c r="M44" s="94">
        <f t="shared" si="23"/>
        <v>1.5049138050000002</v>
      </c>
      <c r="N44" s="94">
        <f t="shared" si="23"/>
        <v>1.6102577713500004</v>
      </c>
      <c r="O44" s="94">
        <f t="shared" si="23"/>
        <v>1.7229758153445005</v>
      </c>
      <c r="P44" s="94">
        <f t="shared" si="23"/>
        <v>1.8435841224186156</v>
      </c>
      <c r="Q44" s="94">
        <f t="shared" si="16"/>
        <v>71.310909337270672</v>
      </c>
      <c r="R44" s="94"/>
      <c r="S44" s="94"/>
      <c r="T44" s="94"/>
    </row>
    <row r="45" spans="2:20">
      <c r="B45" s="94"/>
      <c r="C45" s="94"/>
      <c r="D45" s="135"/>
      <c r="E45" s="135"/>
      <c r="F45" s="102"/>
      <c r="G45" s="94"/>
      <c r="H45" s="97"/>
      <c r="I45" s="99"/>
      <c r="J45" s="97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2:20">
      <c r="B46" s="356" t="s">
        <v>80</v>
      </c>
      <c r="C46" s="94"/>
      <c r="D46" s="135"/>
      <c r="E46" s="135"/>
      <c r="F46" s="102">
        <f>AVERAGE(F38:F45)</f>
        <v>9.8142584146891823E-2</v>
      </c>
      <c r="G46" s="94"/>
      <c r="H46" s="102">
        <f>AVERAGE(H38:H45)</f>
        <v>3.5590980874022807E-2</v>
      </c>
      <c r="I46" s="102">
        <f>AVERAGE(I38:I45)</f>
        <v>6.4285714285714293E-2</v>
      </c>
      <c r="J46" s="102">
        <f>AVERAGE(J38:J45)</f>
        <v>4.3571428571428573E-2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2:20">
      <c r="B47" s="356" t="s">
        <v>43</v>
      </c>
      <c r="C47" s="94"/>
      <c r="D47" s="94"/>
      <c r="E47" s="94"/>
      <c r="F47" s="102">
        <f>STDEV(F38:F45)</f>
        <v>1.5798354755801762E-2</v>
      </c>
      <c r="G47" s="94"/>
      <c r="H47" s="102"/>
      <c r="I47" s="102"/>
      <c r="J47" s="102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2:20">
      <c r="B48" s="356" t="s">
        <v>21</v>
      </c>
      <c r="C48" s="94"/>
      <c r="D48" s="94"/>
      <c r="E48" s="94"/>
      <c r="F48" s="102">
        <f>+MEDIAN(F38:F44)</f>
        <v>9.5463936639744923E-2</v>
      </c>
      <c r="G48" s="94"/>
      <c r="H48" s="102"/>
      <c r="I48" s="102"/>
      <c r="J48" s="102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2:20">
      <c r="B49" s="356"/>
      <c r="C49" s="94"/>
      <c r="D49" s="94"/>
      <c r="E49" s="94"/>
      <c r="F49" s="94"/>
      <c r="G49" s="94"/>
      <c r="H49" s="102"/>
      <c r="I49" s="94"/>
      <c r="J49" s="94"/>
      <c r="K49" s="102"/>
      <c r="L49" s="94"/>
      <c r="M49" s="94"/>
      <c r="N49" s="94"/>
      <c r="O49" s="94"/>
      <c r="P49" s="94"/>
      <c r="Q49" s="94"/>
      <c r="R49" s="94"/>
      <c r="S49" s="94"/>
      <c r="T49" s="94"/>
    </row>
    <row r="50" spans="2:20" ht="15.75">
      <c r="B50" s="775" t="s">
        <v>42</v>
      </c>
      <c r="C50" s="94"/>
      <c r="D50" s="594"/>
      <c r="E50" s="594"/>
      <c r="F50" s="594">
        <f>F46</f>
        <v>9.8142584146891823E-2</v>
      </c>
      <c r="G50" s="270"/>
      <c r="H50" s="594"/>
      <c r="I50" s="94"/>
      <c r="J50" s="94"/>
      <c r="K50" s="102"/>
      <c r="L50" s="94"/>
      <c r="M50" s="94"/>
      <c r="N50" s="94"/>
      <c r="O50" s="94"/>
      <c r="P50" s="94"/>
      <c r="Q50" s="94"/>
      <c r="R50" s="94"/>
      <c r="S50" s="94"/>
      <c r="T50" s="94"/>
    </row>
    <row r="51" spans="2:20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35"/>
      <c r="N51" s="135"/>
      <c r="O51" s="94"/>
      <c r="P51" s="94"/>
      <c r="Q51" s="94"/>
      <c r="R51" s="94"/>
      <c r="S51" s="94"/>
      <c r="T51" s="94"/>
    </row>
    <row r="52" spans="2:20">
      <c r="B52" s="94"/>
      <c r="C52" s="100" t="s">
        <v>389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35"/>
      <c r="P52" s="135"/>
      <c r="Q52" s="94"/>
      <c r="R52" s="94"/>
      <c r="S52" s="94"/>
      <c r="T52" s="94"/>
    </row>
    <row r="53" spans="2:20">
      <c r="B53" s="94"/>
      <c r="C53" s="94" t="s">
        <v>119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135"/>
      <c r="P53" s="135"/>
      <c r="Q53" s="94"/>
      <c r="R53" s="94"/>
      <c r="S53" s="94"/>
      <c r="T53" s="94"/>
    </row>
    <row r="54" spans="2:20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35"/>
      <c r="P54" s="135"/>
      <c r="Q54" s="94"/>
      <c r="R54" s="94"/>
      <c r="S54" s="94"/>
      <c r="T54" s="94"/>
    </row>
    <row r="55" spans="2:20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135"/>
      <c r="P55" s="135"/>
      <c r="Q55" s="94"/>
      <c r="R55" s="94"/>
      <c r="S55" s="94"/>
      <c r="T55" s="94"/>
    </row>
    <row r="56" spans="2:20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135"/>
      <c r="P56" s="772"/>
      <c r="Q56" s="94"/>
      <c r="R56" s="94"/>
      <c r="S56" s="94"/>
      <c r="T56" s="94"/>
    </row>
    <row r="57" spans="2:20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135"/>
      <c r="P57" s="137"/>
      <c r="Q57" s="772"/>
      <c r="R57" s="94"/>
      <c r="S57" s="94"/>
      <c r="T57" s="94"/>
    </row>
    <row r="58" spans="2:20" ht="18.75">
      <c r="B58" s="776" t="str">
        <f>+B3</f>
        <v>Questar Gas Company</v>
      </c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777"/>
      <c r="P58" s="777"/>
      <c r="Q58" s="531"/>
      <c r="R58" s="94"/>
      <c r="S58" s="94"/>
      <c r="T58" s="94"/>
    </row>
    <row r="59" spans="2:20" ht="15.75">
      <c r="B59" s="778" t="s">
        <v>71</v>
      </c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777"/>
      <c r="P59" s="777"/>
      <c r="Q59" s="531"/>
      <c r="R59" s="94"/>
      <c r="S59" s="94"/>
      <c r="T59" s="94"/>
    </row>
    <row r="60" spans="2:20" ht="15.75">
      <c r="B60" s="530">
        <f>+B5</f>
        <v>41547</v>
      </c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777"/>
      <c r="P60" s="777"/>
      <c r="Q60" s="531"/>
      <c r="R60" s="94"/>
      <c r="S60" s="94"/>
      <c r="T60" s="94"/>
    </row>
    <row r="61" spans="2:20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35"/>
      <c r="N61" s="135"/>
      <c r="O61" s="94"/>
      <c r="P61" s="94"/>
      <c r="Q61" s="94"/>
      <c r="R61" s="94"/>
      <c r="S61" s="94"/>
      <c r="T61" s="94"/>
    </row>
    <row r="62" spans="2:20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135"/>
      <c r="N62" s="135"/>
      <c r="O62" s="94"/>
      <c r="P62" s="94"/>
      <c r="Q62" s="94"/>
      <c r="R62" s="94"/>
      <c r="S62" s="94"/>
      <c r="T62" s="94"/>
    </row>
    <row r="63" spans="2:20" ht="15.75">
      <c r="B63" s="588" t="s">
        <v>137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586"/>
      <c r="P63" s="586"/>
      <c r="Q63" s="773"/>
      <c r="R63" s="94"/>
      <c r="S63" s="94"/>
      <c r="T63" s="94"/>
    </row>
    <row r="64" spans="2:20" ht="15.75">
      <c r="B64" s="589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586"/>
      <c r="P64" s="586"/>
      <c r="Q64" s="773"/>
      <c r="R64" s="94"/>
      <c r="S64" s="94"/>
      <c r="T64" s="94"/>
    </row>
    <row r="65" spans="2:20">
      <c r="B65" s="94"/>
      <c r="C65" s="157" t="str">
        <f>+'1.8 DCF SS'!B46</f>
        <v xml:space="preserve">30 Day </v>
      </c>
      <c r="D65" s="158"/>
      <c r="E65" s="158"/>
      <c r="F65" s="157" t="s">
        <v>45</v>
      </c>
      <c r="G65" s="158"/>
      <c r="H65" s="157" t="s">
        <v>40</v>
      </c>
      <c r="I65" s="157" t="s">
        <v>283</v>
      </c>
      <c r="J65" s="157" t="s">
        <v>283</v>
      </c>
      <c r="K65" s="593"/>
      <c r="L65" s="158"/>
      <c r="M65" s="157"/>
      <c r="N65" s="158"/>
      <c r="O65" s="158"/>
      <c r="P65" s="158"/>
      <c r="Q65" s="158"/>
      <c r="R65" s="94"/>
      <c r="S65" s="94"/>
      <c r="T65" s="94"/>
    </row>
    <row r="66" spans="2:20">
      <c r="B66" s="94"/>
      <c r="C66" s="157" t="str">
        <f>+'1.8 DCF SS'!B47</f>
        <v>Average</v>
      </c>
      <c r="D66" s="591" t="s">
        <v>44</v>
      </c>
      <c r="E66" s="591"/>
      <c r="F66" s="157" t="s">
        <v>63</v>
      </c>
      <c r="G66" s="157" t="s">
        <v>22</v>
      </c>
      <c r="H66" s="157" t="s">
        <v>41</v>
      </c>
      <c r="I66" s="157" t="s">
        <v>64</v>
      </c>
      <c r="J66" s="157" t="s">
        <v>65</v>
      </c>
      <c r="K66" s="157" t="s">
        <v>23</v>
      </c>
      <c r="L66" s="157" t="s">
        <v>23</v>
      </c>
      <c r="M66" s="157" t="s">
        <v>23</v>
      </c>
      <c r="N66" s="157" t="s">
        <v>23</v>
      </c>
      <c r="O66" s="157" t="s">
        <v>23</v>
      </c>
      <c r="P66" s="157" t="s">
        <v>51</v>
      </c>
      <c r="Q66" s="157" t="s">
        <v>51</v>
      </c>
      <c r="R66" s="94"/>
      <c r="S66" s="94"/>
      <c r="T66" s="94"/>
    </row>
    <row r="67" spans="2:20">
      <c r="B67" s="586" t="s">
        <v>3</v>
      </c>
      <c r="C67" s="157" t="s">
        <v>4</v>
      </c>
      <c r="D67" s="591" t="s">
        <v>37</v>
      </c>
      <c r="E67" s="591" t="s">
        <v>53</v>
      </c>
      <c r="F67" s="157" t="s">
        <v>24</v>
      </c>
      <c r="G67" s="157" t="s">
        <v>23</v>
      </c>
      <c r="H67" s="157" t="s">
        <v>37</v>
      </c>
      <c r="I67" s="157" t="s">
        <v>26</v>
      </c>
      <c r="J67" s="157" t="s">
        <v>26</v>
      </c>
      <c r="K67" s="157" t="s">
        <v>46</v>
      </c>
      <c r="L67" s="157" t="s">
        <v>47</v>
      </c>
      <c r="M67" s="157" t="s">
        <v>48</v>
      </c>
      <c r="N67" s="157" t="s">
        <v>49</v>
      </c>
      <c r="O67" s="157" t="s">
        <v>50</v>
      </c>
      <c r="P67" s="157" t="s">
        <v>23</v>
      </c>
      <c r="Q67" s="157" t="s">
        <v>52</v>
      </c>
      <c r="R67" s="94"/>
      <c r="S67" s="94"/>
      <c r="T67" s="94"/>
    </row>
    <row r="68" spans="2:20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774"/>
      <c r="P68" s="774"/>
      <c r="Q68" s="97"/>
      <c r="R68" s="94"/>
      <c r="S68" s="94"/>
      <c r="T68" s="94"/>
    </row>
    <row r="69" spans="2:20">
      <c r="B69" s="94" t="str">
        <f t="shared" ref="B69:B75" si="24">+B38</f>
        <v>AGL Resources</v>
      </c>
      <c r="C69" s="110">
        <f>+'1.8 DCF SS'!B50</f>
        <v>44.933999999999997</v>
      </c>
      <c r="D69" s="135">
        <f t="shared" ref="D69:D75" si="25">(K69/(1+$F69)^0.5+L69/(1+$F69)^1.5+M69/(1+$F69)^2.5+N69/(1+$F69)^3.5+O69/(1+$F69)^4.5+P69/(1+F69)^5.5+Q69/(1+$F69)^5.5)</f>
        <v>44.934552347194803</v>
      </c>
      <c r="E69" s="135">
        <f t="shared" ref="E69:E75" si="26">C69-D69</f>
        <v>-5.5234719480523609E-4</v>
      </c>
      <c r="F69" s="102">
        <v>0.11522287425138636</v>
      </c>
      <c r="G69" s="110">
        <f t="shared" ref="G69:G75" si="27">+G14</f>
        <v>1.861</v>
      </c>
      <c r="H69" s="138">
        <f t="shared" ref="H69:H75" si="28">G69/C69</f>
        <v>4.1416299461432327E-2</v>
      </c>
      <c r="I69" s="138">
        <f>+I14</f>
        <v>0.09</v>
      </c>
      <c r="J69" s="138">
        <f>+J14</f>
        <v>4.4999999999999998E-2</v>
      </c>
      <c r="K69" s="94">
        <f>G69*(1+$J69/2)</f>
        <v>1.9028725</v>
      </c>
      <c r="L69" s="94">
        <f t="shared" ref="L69:L75" si="29">K69*(1+$J69)</f>
        <v>1.9885017624999999</v>
      </c>
      <c r="M69" s="94">
        <f t="shared" ref="M69:M75" si="30">L69*(1+$J69)</f>
        <v>2.0779843418124999</v>
      </c>
      <c r="N69" s="94">
        <f t="shared" ref="N69:N75" si="31">M69*(1+$J69)</f>
        <v>2.1714936371940623</v>
      </c>
      <c r="O69" s="94">
        <f t="shared" ref="O69:O75" si="32">N69*(1+$J69)</f>
        <v>2.2692108508677951</v>
      </c>
      <c r="P69" s="94">
        <f t="shared" ref="P69:P75" si="33">O69*(1+$J69)</f>
        <v>2.3713253391568458</v>
      </c>
      <c r="Q69" s="94">
        <f>P69/($F69-$I69*0.75-$J69*0.25)</f>
        <v>65.016135630350277</v>
      </c>
      <c r="R69" s="94"/>
      <c r="S69" s="94"/>
      <c r="T69" s="94"/>
    </row>
    <row r="70" spans="2:20">
      <c r="B70" s="94" t="str">
        <f t="shared" si="24"/>
        <v>Atmos Energy</v>
      </c>
      <c r="C70" s="110">
        <f>+'1.8 DCF SS'!B51</f>
        <v>41.037500000000001</v>
      </c>
      <c r="D70" s="135">
        <f t="shared" si="25"/>
        <v>41.037508864086433</v>
      </c>
      <c r="E70" s="135">
        <f t="shared" si="26"/>
        <v>-8.8640864319700086E-6</v>
      </c>
      <c r="F70" s="102">
        <v>7.518289272379497E-2</v>
      </c>
      <c r="G70" s="110">
        <f t="shared" si="27"/>
        <v>1.4049999999999998</v>
      </c>
      <c r="H70" s="138">
        <f t="shared" si="28"/>
        <v>3.423697837343892E-2</v>
      </c>
      <c r="I70" s="138">
        <f t="shared" ref="I70:J70" si="34">+I15</f>
        <v>5.5E-2</v>
      </c>
      <c r="J70" s="138">
        <f t="shared" si="34"/>
        <v>1.4999999999999999E-2</v>
      </c>
      <c r="K70" s="94">
        <f t="shared" ref="K70:K75" si="35">G70*(1+$J70/2)</f>
        <v>1.4155374999999999</v>
      </c>
      <c r="L70" s="94">
        <f t="shared" si="29"/>
        <v>1.4367705624999998</v>
      </c>
      <c r="M70" s="94">
        <f t="shared" si="30"/>
        <v>1.4583221209374997</v>
      </c>
      <c r="N70" s="94">
        <f t="shared" si="31"/>
        <v>1.4801969527515619</v>
      </c>
      <c r="O70" s="94">
        <f t="shared" si="32"/>
        <v>1.5023999070428353</v>
      </c>
      <c r="P70" s="94">
        <f t="shared" si="33"/>
        <v>1.5249359056484777</v>
      </c>
      <c r="Q70" s="94">
        <f t="shared" ref="Q70:Q75" si="36">P70/($F70-$I70*0.75-$J70*0.25)</f>
        <v>50.523186084356986</v>
      </c>
      <c r="R70" s="94"/>
      <c r="S70" s="94"/>
      <c r="T70" s="94"/>
    </row>
    <row r="71" spans="2:20">
      <c r="B71" s="94" t="str">
        <f t="shared" si="24"/>
        <v>Laclede Group</v>
      </c>
      <c r="C71" s="110">
        <f>+'1.8 DCF SS'!B52</f>
        <v>43.985500000000002</v>
      </c>
      <c r="D71" s="135">
        <f t="shared" si="25"/>
        <v>43.985831134875362</v>
      </c>
      <c r="E71" s="135">
        <f t="shared" si="26"/>
        <v>-3.3113487535985087E-4</v>
      </c>
      <c r="F71" s="102">
        <v>9.0274295018678716E-2</v>
      </c>
      <c r="G71" s="110">
        <f t="shared" si="27"/>
        <v>1.71</v>
      </c>
      <c r="H71" s="138">
        <f t="shared" si="28"/>
        <v>3.8876447920337384E-2</v>
      </c>
      <c r="I71" s="138">
        <f t="shared" ref="I71:J71" si="37">+I16</f>
        <v>0.06</v>
      </c>
      <c r="J71" s="138">
        <f t="shared" si="37"/>
        <v>3.5000000000000003E-2</v>
      </c>
      <c r="K71" s="94">
        <f t="shared" si="35"/>
        <v>1.7399250000000002</v>
      </c>
      <c r="L71" s="94">
        <f t="shared" si="29"/>
        <v>1.8008223750000001</v>
      </c>
      <c r="M71" s="94">
        <f t="shared" si="30"/>
        <v>1.8638511581249999</v>
      </c>
      <c r="N71" s="94">
        <f t="shared" si="31"/>
        <v>1.9290859486593748</v>
      </c>
      <c r="O71" s="94">
        <f t="shared" si="32"/>
        <v>1.9966039568624527</v>
      </c>
      <c r="P71" s="94">
        <f t="shared" si="33"/>
        <v>2.0664850953526384</v>
      </c>
      <c r="Q71" s="94">
        <f t="shared" si="36"/>
        <v>56.578370487255867</v>
      </c>
      <c r="R71" s="94"/>
      <c r="S71" s="94"/>
      <c r="T71" s="94"/>
    </row>
    <row r="72" spans="2:20">
      <c r="B72" s="94" t="str">
        <f t="shared" si="24"/>
        <v>Northwest Nat. Gas</v>
      </c>
      <c r="C72" s="110">
        <f>+'1.8 DCF SS'!B53</f>
        <v>41.033000000000001</v>
      </c>
      <c r="D72" s="135">
        <f t="shared" si="25"/>
        <v>41.033088016850726</v>
      </c>
      <c r="E72" s="135">
        <f t="shared" si="26"/>
        <v>-8.8016850725125551E-5</v>
      </c>
      <c r="F72" s="102">
        <v>8.2983289537094274E-2</v>
      </c>
      <c r="G72" s="110">
        <f t="shared" si="27"/>
        <v>1.84</v>
      </c>
      <c r="H72" s="138">
        <f t="shared" si="28"/>
        <v>4.4841956474057469E-2</v>
      </c>
      <c r="I72" s="138">
        <f t="shared" ref="I72:J72" si="38">+I17</f>
        <v>4.4999999999999998E-2</v>
      </c>
      <c r="J72" s="138">
        <f t="shared" si="38"/>
        <v>2.5000000000000001E-2</v>
      </c>
      <c r="K72" s="94">
        <f t="shared" si="35"/>
        <v>1.863</v>
      </c>
      <c r="L72" s="94">
        <f t="shared" si="29"/>
        <v>1.9095749999999998</v>
      </c>
      <c r="M72" s="94">
        <f t="shared" si="30"/>
        <v>1.9573143749999997</v>
      </c>
      <c r="N72" s="94">
        <f t="shared" si="31"/>
        <v>2.0062472343749995</v>
      </c>
      <c r="O72" s="94">
        <f t="shared" si="32"/>
        <v>2.0564034152343744</v>
      </c>
      <c r="P72" s="94">
        <f t="shared" si="33"/>
        <v>2.1078135006152334</v>
      </c>
      <c r="Q72" s="94">
        <f t="shared" si="36"/>
        <v>49.037975532240395</v>
      </c>
      <c r="R72" s="94"/>
      <c r="S72" s="94"/>
      <c r="T72" s="94"/>
    </row>
    <row r="73" spans="2:20">
      <c r="B73" s="94" t="str">
        <f t="shared" si="24"/>
        <v>Piedmont Natural Gas</v>
      </c>
      <c r="C73" s="110">
        <f>+'1.8 DCF SS'!B54</f>
        <v>32.551000000000002</v>
      </c>
      <c r="D73" s="135">
        <f t="shared" si="25"/>
        <v>32.551314560348345</v>
      </c>
      <c r="E73" s="135">
        <f t="shared" si="26"/>
        <v>-3.145603483432069E-4</v>
      </c>
      <c r="F73" s="102">
        <v>7.8262780611756538E-2</v>
      </c>
      <c r="G73" s="110">
        <f t="shared" si="27"/>
        <v>1.24</v>
      </c>
      <c r="H73" s="138">
        <f t="shared" si="28"/>
        <v>3.8094067770575404E-2</v>
      </c>
      <c r="I73" s="138">
        <f t="shared" ref="I73:J73" si="39">+I18</f>
        <v>4.4999999999999998E-2</v>
      </c>
      <c r="J73" s="138">
        <f t="shared" si="39"/>
        <v>0.03</v>
      </c>
      <c r="K73" s="94">
        <f t="shared" si="35"/>
        <v>1.2585999999999999</v>
      </c>
      <c r="L73" s="94">
        <f t="shared" si="29"/>
        <v>1.2963579999999999</v>
      </c>
      <c r="M73" s="94">
        <f t="shared" si="30"/>
        <v>1.3352487399999999</v>
      </c>
      <c r="N73" s="94">
        <f t="shared" si="31"/>
        <v>1.3753062022</v>
      </c>
      <c r="O73" s="94">
        <f t="shared" si="32"/>
        <v>1.4165653882660001</v>
      </c>
      <c r="P73" s="94">
        <f t="shared" si="33"/>
        <v>1.4590623499139801</v>
      </c>
      <c r="Q73" s="94">
        <f t="shared" si="36"/>
        <v>39.420500859385086</v>
      </c>
      <c r="R73" s="94"/>
      <c r="S73" s="94"/>
      <c r="T73" s="94"/>
    </row>
    <row r="74" spans="2:20">
      <c r="B74" s="94" t="str">
        <f t="shared" si="24"/>
        <v>South Jersey Inds.</v>
      </c>
      <c r="C74" s="110">
        <f>+'1.8 DCF SS'!B55</f>
        <v>57.564500000000002</v>
      </c>
      <c r="D74" s="135">
        <f t="shared" si="25"/>
        <v>57.564498546487457</v>
      </c>
      <c r="E74" s="135">
        <f t="shared" si="26"/>
        <v>1.4535125458792209E-6</v>
      </c>
      <c r="F74" s="102">
        <v>0.11106104719666723</v>
      </c>
      <c r="G74" s="110">
        <f t="shared" si="27"/>
        <v>1.8120000000000001</v>
      </c>
      <c r="H74" s="138">
        <f t="shared" si="28"/>
        <v>3.1477733672662836E-2</v>
      </c>
      <c r="I74" s="138">
        <f t="shared" ref="I74:J74" si="40">+I19</f>
        <v>7.4999999999999997E-2</v>
      </c>
      <c r="J74" s="138">
        <f t="shared" si="40"/>
        <v>8.5000000000000006E-2</v>
      </c>
      <c r="K74" s="94">
        <f t="shared" si="35"/>
        <v>1.8890100000000001</v>
      </c>
      <c r="L74" s="94">
        <f t="shared" si="29"/>
        <v>2.0495758500000001</v>
      </c>
      <c r="M74" s="94">
        <f t="shared" si="30"/>
        <v>2.2237897972499998</v>
      </c>
      <c r="N74" s="94">
        <f t="shared" si="31"/>
        <v>2.4128119300162498</v>
      </c>
      <c r="O74" s="94">
        <f t="shared" si="32"/>
        <v>2.6179009440676309</v>
      </c>
      <c r="P74" s="94">
        <f t="shared" si="33"/>
        <v>2.8404225243133796</v>
      </c>
      <c r="Q74" s="94">
        <f t="shared" si="36"/>
        <v>84.634502245074358</v>
      </c>
      <c r="R74" s="94"/>
      <c r="S74" s="94"/>
      <c r="T74" s="94"/>
    </row>
    <row r="75" spans="2:20">
      <c r="B75" s="94" t="str">
        <f t="shared" si="24"/>
        <v>Southwest Gas</v>
      </c>
      <c r="C75" s="110">
        <f>+'1.8 DCF SS'!B56</f>
        <v>47.920999999999999</v>
      </c>
      <c r="D75" s="135">
        <f t="shared" si="25"/>
        <v>47.921161248292591</v>
      </c>
      <c r="E75" s="135">
        <f t="shared" si="26"/>
        <v>-1.6124829259211992E-4</v>
      </c>
      <c r="F75" s="102">
        <v>0.10366173043026304</v>
      </c>
      <c r="G75" s="110">
        <f t="shared" si="27"/>
        <v>1.27</v>
      </c>
      <c r="H75" s="138">
        <f t="shared" si="28"/>
        <v>2.6501951127898001E-2</v>
      </c>
      <c r="I75" s="138">
        <f t="shared" ref="I75:J75" si="41">+I20</f>
        <v>0.08</v>
      </c>
      <c r="J75" s="138">
        <f t="shared" si="41"/>
        <v>7.0000000000000007E-2</v>
      </c>
      <c r="K75" s="94">
        <f t="shared" si="35"/>
        <v>1.3144499999999999</v>
      </c>
      <c r="L75" s="94">
        <f t="shared" si="29"/>
        <v>1.4064615</v>
      </c>
      <c r="M75" s="94">
        <f t="shared" si="30"/>
        <v>1.5049138050000002</v>
      </c>
      <c r="N75" s="94">
        <f t="shared" si="31"/>
        <v>1.6102577713500004</v>
      </c>
      <c r="O75" s="94">
        <f t="shared" si="32"/>
        <v>1.7229758153445005</v>
      </c>
      <c r="P75" s="94">
        <f t="shared" si="33"/>
        <v>1.8435841224186156</v>
      </c>
      <c r="Q75" s="94">
        <f t="shared" si="36"/>
        <v>70.468737812771636</v>
      </c>
      <c r="R75" s="94"/>
      <c r="S75" s="94"/>
      <c r="T75" s="94"/>
    </row>
    <row r="76" spans="2:20">
      <c r="B76" s="94"/>
      <c r="C76" s="94"/>
      <c r="D76" s="135"/>
      <c r="E76" s="135"/>
      <c r="F76" s="102"/>
      <c r="G76" s="94"/>
      <c r="H76" s="97"/>
      <c r="I76" s="99"/>
      <c r="J76" s="97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2:20">
      <c r="B77" s="356" t="s">
        <v>80</v>
      </c>
      <c r="C77" s="94"/>
      <c r="D77" s="135"/>
      <c r="E77" s="135"/>
      <c r="F77" s="102">
        <f>AVERAGE(F69:F76)</f>
        <v>9.3806987109948725E-2</v>
      </c>
      <c r="G77" s="94"/>
      <c r="H77" s="102">
        <f>AVERAGE(H69:H76)</f>
        <v>3.6492204971486045E-2</v>
      </c>
      <c r="I77" s="102">
        <f>AVERAGE(I69:I76)</f>
        <v>6.4285714285714293E-2</v>
      </c>
      <c r="J77" s="102">
        <f>AVERAGE(J69:J76)</f>
        <v>4.3571428571428573E-2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2:20">
      <c r="B78" s="356" t="s">
        <v>43</v>
      </c>
      <c r="C78" s="94"/>
      <c r="D78" s="94"/>
      <c r="E78" s="94"/>
      <c r="F78" s="102">
        <f>STDEV(F69:F75)</f>
        <v>1.6184202005676784E-2</v>
      </c>
      <c r="G78" s="94"/>
      <c r="H78" s="102"/>
      <c r="I78" s="102"/>
      <c r="J78" s="102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2:20">
      <c r="B79" s="356" t="s">
        <v>21</v>
      </c>
      <c r="C79" s="94"/>
      <c r="D79" s="94"/>
      <c r="E79" s="94"/>
      <c r="F79" s="102">
        <f>+MEDIAN(F69:F76)</f>
        <v>9.0274295018678716E-2</v>
      </c>
      <c r="G79" s="94"/>
      <c r="H79" s="102"/>
      <c r="I79" s="102"/>
      <c r="J79" s="102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2:20">
      <c r="B80" s="356"/>
      <c r="C80" s="94"/>
      <c r="D80" s="94"/>
      <c r="E80" s="94"/>
      <c r="F80" s="94"/>
      <c r="G80" s="94"/>
      <c r="H80" s="102"/>
      <c r="I80" s="94"/>
      <c r="J80" s="94"/>
      <c r="K80" s="102"/>
      <c r="L80" s="94"/>
      <c r="M80" s="94"/>
      <c r="N80" s="94"/>
      <c r="O80" s="94"/>
      <c r="P80" s="94"/>
      <c r="Q80" s="94"/>
      <c r="R80" s="94"/>
      <c r="S80" s="94"/>
      <c r="T80" s="94"/>
    </row>
    <row r="81" spans="2:20" ht="15.75">
      <c r="B81" s="775" t="s">
        <v>42</v>
      </c>
      <c r="C81" s="94"/>
      <c r="D81" s="594"/>
      <c r="E81" s="594"/>
      <c r="F81" s="594">
        <f>F77</f>
        <v>9.3806987109948725E-2</v>
      </c>
      <c r="G81" s="270"/>
      <c r="H81" s="594"/>
      <c r="I81" s="94"/>
      <c r="J81" s="94"/>
      <c r="K81" s="102"/>
      <c r="L81" s="94"/>
      <c r="M81" s="94"/>
      <c r="N81" s="94"/>
      <c r="O81" s="94"/>
      <c r="P81" s="94"/>
      <c r="Q81" s="94"/>
      <c r="R81" s="94"/>
      <c r="S81" s="94"/>
      <c r="T81" s="94"/>
    </row>
    <row r="82" spans="2:20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135"/>
      <c r="N82" s="135"/>
      <c r="O82" s="94"/>
      <c r="P82" s="94"/>
      <c r="Q82" s="94"/>
      <c r="R82" s="94"/>
      <c r="S82" s="94"/>
      <c r="T82" s="94"/>
    </row>
    <row r="83" spans="2:20">
      <c r="B83" s="94"/>
      <c r="C83" s="100" t="s">
        <v>180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135"/>
      <c r="P83" s="135"/>
      <c r="Q83" s="94"/>
      <c r="R83" s="94"/>
      <c r="S83" s="94"/>
      <c r="T83" s="94"/>
    </row>
    <row r="84" spans="2:20">
      <c r="B84" s="94"/>
      <c r="C84" s="94" t="s">
        <v>119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135"/>
      <c r="P84" s="135"/>
      <c r="Q84" s="94"/>
      <c r="R84" s="94"/>
      <c r="S84" s="94"/>
      <c r="T84" s="94"/>
    </row>
    <row r="85" spans="2:20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135"/>
      <c r="P85" s="135"/>
      <c r="Q85" s="94"/>
      <c r="R85" s="94"/>
      <c r="S85" s="94"/>
      <c r="T85" s="94"/>
    </row>
    <row r="86" spans="2:20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35"/>
      <c r="P86" s="772"/>
      <c r="Q86" s="94"/>
      <c r="R86" s="94"/>
      <c r="S86" s="94"/>
      <c r="T86" s="94"/>
    </row>
    <row r="87" spans="2:20" ht="15.75">
      <c r="B87" s="588" t="s">
        <v>284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586"/>
      <c r="P87" s="356"/>
      <c r="Q87" s="773"/>
      <c r="R87" s="94"/>
      <c r="S87" s="94"/>
      <c r="T87" s="94"/>
    </row>
    <row r="88" spans="2:20" ht="15.75">
      <c r="B88" s="589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586"/>
      <c r="P88" s="586"/>
      <c r="Q88" s="773"/>
      <c r="R88" s="94"/>
      <c r="S88" s="94"/>
      <c r="T88" s="94"/>
    </row>
    <row r="89" spans="2:20">
      <c r="B89" s="94"/>
      <c r="C89" s="157" t="str">
        <f>+C65</f>
        <v xml:space="preserve">30 Day </v>
      </c>
      <c r="D89" s="158"/>
      <c r="E89" s="158"/>
      <c r="F89" s="157" t="s">
        <v>45</v>
      </c>
      <c r="G89" s="158"/>
      <c r="H89" s="157" t="s">
        <v>40</v>
      </c>
      <c r="I89" s="157" t="str">
        <f>+I65</f>
        <v>VL Projected</v>
      </c>
      <c r="J89" s="157" t="str">
        <f>+J65</f>
        <v>VL Projected</v>
      </c>
      <c r="K89" s="593"/>
      <c r="L89" s="158"/>
      <c r="M89" s="157"/>
      <c r="N89" s="158"/>
      <c r="O89" s="158"/>
      <c r="P89" s="158"/>
      <c r="Q89" s="158"/>
      <c r="R89" s="94"/>
      <c r="S89" s="94"/>
      <c r="T89" s="94"/>
    </row>
    <row r="90" spans="2:20">
      <c r="B90" s="94"/>
      <c r="C90" s="590" t="str">
        <f>C66</f>
        <v>Average</v>
      </c>
      <c r="D90" s="591" t="s">
        <v>44</v>
      </c>
      <c r="E90" s="591"/>
      <c r="F90" s="157" t="s">
        <v>63</v>
      </c>
      <c r="G90" s="157" t="s">
        <v>22</v>
      </c>
      <c r="H90" s="157" t="s">
        <v>41</v>
      </c>
      <c r="I90" s="157" t="s">
        <v>64</v>
      </c>
      <c r="J90" s="157" t="s">
        <v>65</v>
      </c>
      <c r="K90" s="157" t="s">
        <v>23</v>
      </c>
      <c r="L90" s="157" t="s">
        <v>23</v>
      </c>
      <c r="M90" s="157" t="s">
        <v>23</v>
      </c>
      <c r="N90" s="157" t="s">
        <v>23</v>
      </c>
      <c r="O90" s="157" t="s">
        <v>23</v>
      </c>
      <c r="P90" s="157" t="s">
        <v>51</v>
      </c>
      <c r="Q90" s="157" t="s">
        <v>51</v>
      </c>
      <c r="R90" s="94"/>
      <c r="S90" s="94"/>
      <c r="T90" s="94"/>
    </row>
    <row r="91" spans="2:20">
      <c r="B91" s="586" t="s">
        <v>3</v>
      </c>
      <c r="C91" s="157" t="s">
        <v>4</v>
      </c>
      <c r="D91" s="591" t="s">
        <v>37</v>
      </c>
      <c r="E91" s="591" t="s">
        <v>53</v>
      </c>
      <c r="F91" s="157" t="s">
        <v>24</v>
      </c>
      <c r="G91" s="157" t="s">
        <v>23</v>
      </c>
      <c r="H91" s="157" t="s">
        <v>37</v>
      </c>
      <c r="I91" s="157" t="s">
        <v>26</v>
      </c>
      <c r="J91" s="157" t="s">
        <v>26</v>
      </c>
      <c r="K91" s="157" t="s">
        <v>46</v>
      </c>
      <c r="L91" s="157" t="s">
        <v>47</v>
      </c>
      <c r="M91" s="157" t="s">
        <v>48</v>
      </c>
      <c r="N91" s="157" t="s">
        <v>49</v>
      </c>
      <c r="O91" s="157" t="s">
        <v>50</v>
      </c>
      <c r="P91" s="157" t="s">
        <v>23</v>
      </c>
      <c r="Q91" s="157" t="s">
        <v>52</v>
      </c>
      <c r="R91" s="94"/>
      <c r="S91" s="94"/>
      <c r="T91" s="94"/>
    </row>
    <row r="92" spans="2:20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774"/>
      <c r="P92" s="774"/>
      <c r="Q92" s="97"/>
      <c r="R92" s="94"/>
      <c r="S92" s="94"/>
      <c r="T92" s="94"/>
    </row>
    <row r="93" spans="2:20">
      <c r="B93" s="94" t="str">
        <f t="shared" ref="B93:C93" si="42">B69</f>
        <v>AGL Resources</v>
      </c>
      <c r="C93" s="110">
        <f t="shared" si="42"/>
        <v>44.933999999999997</v>
      </c>
      <c r="D93" s="110">
        <f t="shared" ref="D93:D99" si="43">(K93/(1+$F93)^0.5+L93/(1+$F93)^1.5+M93/(1+$F93)^2.5+N93/(1+$F93)^3.5+O93/(1+$F93)^4.5+P93/(1+F93)^5.5+Q93/(1+$F93)^5.5)</f>
        <v>44.934362227919856</v>
      </c>
      <c r="E93" s="135">
        <f t="shared" ref="E93:E99" si="44">C93-D93</f>
        <v>-3.6222791985807135E-4</v>
      </c>
      <c r="F93" s="138">
        <v>0.12461992971154932</v>
      </c>
      <c r="G93" s="110">
        <f t="shared" ref="G93:J93" si="45">G69</f>
        <v>1.861</v>
      </c>
      <c r="H93" s="138">
        <f t="shared" si="45"/>
        <v>4.1416299461432327E-2</v>
      </c>
      <c r="I93" s="138">
        <f t="shared" si="45"/>
        <v>0.09</v>
      </c>
      <c r="J93" s="138">
        <f t="shared" si="45"/>
        <v>4.4999999999999998E-2</v>
      </c>
      <c r="K93" s="94">
        <f>G93*(1+$J93/2)</f>
        <v>1.9028725</v>
      </c>
      <c r="L93" s="94">
        <f>K93*(1+$J93)</f>
        <v>1.9885017624999999</v>
      </c>
      <c r="M93" s="94">
        <f t="shared" ref="M93:M99" si="46">L93*(1+$J93)</f>
        <v>2.0779843418124999</v>
      </c>
      <c r="N93" s="94">
        <f t="shared" ref="N93:N99" si="47">M93*(1+$J93)</f>
        <v>2.1714936371940623</v>
      </c>
      <c r="O93" s="94">
        <f t="shared" ref="O93:O99" si="48">N93*(1+$J93)</f>
        <v>2.2692108508677951</v>
      </c>
      <c r="P93" s="94">
        <f t="shared" ref="P93:P99" si="49">O93*(1+$J93)</f>
        <v>2.3713253391568458</v>
      </c>
      <c r="Q93" s="94">
        <f>P93/($F93-I93)</f>
        <v>68.495960532402918</v>
      </c>
      <c r="R93" s="94"/>
      <c r="S93" s="94"/>
      <c r="T93" s="94"/>
    </row>
    <row r="94" spans="2:20">
      <c r="B94" s="94" t="str">
        <f t="shared" ref="B94:C94" si="50">B70</f>
        <v>Atmos Energy</v>
      </c>
      <c r="C94" s="110">
        <f t="shared" si="50"/>
        <v>41.037500000000001</v>
      </c>
      <c r="D94" s="110">
        <f t="shared" si="43"/>
        <v>41.037546475634116</v>
      </c>
      <c r="E94" s="135">
        <f t="shared" si="44"/>
        <v>-4.647563411452893E-5</v>
      </c>
      <c r="F94" s="138">
        <v>8.3758516774647199E-2</v>
      </c>
      <c r="G94" s="110">
        <f t="shared" ref="G94:J94" si="51">G70</f>
        <v>1.4049999999999998</v>
      </c>
      <c r="H94" s="138">
        <f t="shared" si="51"/>
        <v>3.423697837343892E-2</v>
      </c>
      <c r="I94" s="138">
        <f t="shared" si="51"/>
        <v>5.5E-2</v>
      </c>
      <c r="J94" s="138">
        <f t="shared" si="51"/>
        <v>1.4999999999999999E-2</v>
      </c>
      <c r="K94" s="94">
        <f t="shared" ref="K94:K99" si="52">G94*(1+$J94/2)</f>
        <v>1.4155374999999999</v>
      </c>
      <c r="L94" s="94">
        <f t="shared" ref="L94:L99" si="53">K94*(1+$J94)</f>
        <v>1.4367705624999998</v>
      </c>
      <c r="M94" s="94">
        <f t="shared" si="46"/>
        <v>1.4583221209374997</v>
      </c>
      <c r="N94" s="94">
        <f t="shared" si="47"/>
        <v>1.4801969527515619</v>
      </c>
      <c r="O94" s="94">
        <f t="shared" si="48"/>
        <v>1.5023999070428353</v>
      </c>
      <c r="P94" s="94">
        <f t="shared" si="49"/>
        <v>1.5249359056484777</v>
      </c>
      <c r="Q94" s="94">
        <f>P94/($F94-I94)</f>
        <v>53.025540837099904</v>
      </c>
      <c r="R94" s="94"/>
      <c r="S94" s="94"/>
      <c r="T94" s="94"/>
    </row>
    <row r="95" spans="2:20">
      <c r="B95" s="94" t="str">
        <f t="shared" ref="B95:C95" si="54">B71</f>
        <v>Laclede Group</v>
      </c>
      <c r="C95" s="110">
        <f t="shared" si="54"/>
        <v>43.985500000000002</v>
      </c>
      <c r="D95" s="110">
        <f t="shared" si="43"/>
        <v>43.985537855562875</v>
      </c>
      <c r="E95" s="135">
        <f t="shared" si="44"/>
        <v>-3.785556287283498E-5</v>
      </c>
      <c r="F95" s="138">
        <v>9.546391395515709E-2</v>
      </c>
      <c r="G95" s="110">
        <f t="shared" ref="G95:J95" si="55">G71</f>
        <v>1.71</v>
      </c>
      <c r="H95" s="138">
        <f t="shared" si="55"/>
        <v>3.8876447920337384E-2</v>
      </c>
      <c r="I95" s="138">
        <f t="shared" si="55"/>
        <v>0.06</v>
      </c>
      <c r="J95" s="138">
        <f t="shared" si="55"/>
        <v>3.5000000000000003E-2</v>
      </c>
      <c r="K95" s="94">
        <f t="shared" si="52"/>
        <v>1.7399250000000002</v>
      </c>
      <c r="L95" s="94">
        <f t="shared" si="53"/>
        <v>1.8008223750000001</v>
      </c>
      <c r="M95" s="94">
        <f t="shared" si="46"/>
        <v>1.8638511581249999</v>
      </c>
      <c r="N95" s="94">
        <f t="shared" si="47"/>
        <v>1.9290859486593748</v>
      </c>
      <c r="O95" s="94">
        <f t="shared" si="48"/>
        <v>1.9966039568624527</v>
      </c>
      <c r="P95" s="94">
        <f t="shared" si="49"/>
        <v>2.0664850953526384</v>
      </c>
      <c r="Q95" s="94">
        <f t="shared" ref="Q95:Q99" si="56">P95/($F95-I95)</f>
        <v>58.270079776463426</v>
      </c>
      <c r="R95" s="94"/>
      <c r="S95" s="94"/>
      <c r="T95" s="94"/>
    </row>
    <row r="96" spans="2:20">
      <c r="B96" s="94" t="str">
        <f t="shared" ref="B96:C96" si="57">B72</f>
        <v>Northwest Nat. Gas</v>
      </c>
      <c r="C96" s="110">
        <f t="shared" si="57"/>
        <v>41.033000000000001</v>
      </c>
      <c r="D96" s="110">
        <f t="shared" si="43"/>
        <v>41.03300389080767</v>
      </c>
      <c r="E96" s="135">
        <f t="shared" si="44"/>
        <v>-3.8908076689381232E-6</v>
      </c>
      <c r="F96" s="138">
        <v>8.6989375246412898E-2</v>
      </c>
      <c r="G96" s="110">
        <f t="shared" ref="G96:J96" si="58">G72</f>
        <v>1.84</v>
      </c>
      <c r="H96" s="138">
        <f t="shared" si="58"/>
        <v>4.4841956474057469E-2</v>
      </c>
      <c r="I96" s="138">
        <f t="shared" si="58"/>
        <v>4.4999999999999998E-2</v>
      </c>
      <c r="J96" s="138">
        <f t="shared" si="58"/>
        <v>2.5000000000000001E-2</v>
      </c>
      <c r="K96" s="94">
        <f t="shared" si="52"/>
        <v>1.863</v>
      </c>
      <c r="L96" s="94">
        <f t="shared" si="53"/>
        <v>1.9095749999999998</v>
      </c>
      <c r="M96" s="94">
        <f t="shared" si="46"/>
        <v>1.9573143749999997</v>
      </c>
      <c r="N96" s="94">
        <f t="shared" si="47"/>
        <v>2.0062472343749995</v>
      </c>
      <c r="O96" s="94">
        <f t="shared" si="48"/>
        <v>2.0564034152343744</v>
      </c>
      <c r="P96" s="94">
        <f t="shared" si="49"/>
        <v>2.1078135006152334</v>
      </c>
      <c r="Q96" s="94">
        <f t="shared" si="56"/>
        <v>50.19873451904482</v>
      </c>
      <c r="R96" s="94"/>
      <c r="S96" s="94"/>
      <c r="T96" s="94"/>
    </row>
    <row r="97" spans="2:20">
      <c r="B97" s="94" t="str">
        <f t="shared" ref="B97:C97" si="59">B73</f>
        <v>Piedmont Natural Gas</v>
      </c>
      <c r="C97" s="110">
        <f t="shared" si="59"/>
        <v>32.551000000000002</v>
      </c>
      <c r="D97" s="110">
        <f t="shared" si="43"/>
        <v>32.551037638727308</v>
      </c>
      <c r="E97" s="135">
        <f t="shared" si="44"/>
        <v>-3.7638727306443798E-5</v>
      </c>
      <c r="F97" s="138">
        <v>8.135966049650413E-2</v>
      </c>
      <c r="G97" s="110">
        <f t="shared" ref="G97:J97" si="60">G73</f>
        <v>1.24</v>
      </c>
      <c r="H97" s="138">
        <f t="shared" si="60"/>
        <v>3.8094067770575404E-2</v>
      </c>
      <c r="I97" s="138">
        <f t="shared" si="60"/>
        <v>4.4999999999999998E-2</v>
      </c>
      <c r="J97" s="138">
        <f t="shared" si="60"/>
        <v>0.03</v>
      </c>
      <c r="K97" s="94">
        <f t="shared" si="52"/>
        <v>1.2585999999999999</v>
      </c>
      <c r="L97" s="94">
        <f t="shared" si="53"/>
        <v>1.2963579999999999</v>
      </c>
      <c r="M97" s="94">
        <f t="shared" si="46"/>
        <v>1.3352487399999999</v>
      </c>
      <c r="N97" s="94">
        <f t="shared" si="47"/>
        <v>1.3753062022</v>
      </c>
      <c r="O97" s="94">
        <f t="shared" si="48"/>
        <v>1.4165653882660001</v>
      </c>
      <c r="P97" s="94">
        <f t="shared" si="49"/>
        <v>1.4590623499139801</v>
      </c>
      <c r="Q97" s="94">
        <f t="shared" si="56"/>
        <v>40.128602137367714</v>
      </c>
      <c r="R97" s="94"/>
      <c r="S97" s="94"/>
      <c r="T97" s="94"/>
    </row>
    <row r="98" spans="2:20">
      <c r="B98" s="94" t="str">
        <f t="shared" ref="B98:C98" si="61">B74</f>
        <v>South Jersey Inds.</v>
      </c>
      <c r="C98" s="110">
        <f t="shared" si="61"/>
        <v>57.564500000000002</v>
      </c>
      <c r="D98" s="110">
        <f t="shared" si="43"/>
        <v>57.5644961147201</v>
      </c>
      <c r="E98" s="135">
        <f t="shared" si="44"/>
        <v>3.8852799022492945E-6</v>
      </c>
      <c r="F98" s="138">
        <v>0.1089538459729867</v>
      </c>
      <c r="G98" s="110">
        <f t="shared" ref="G98:J98" si="62">G74</f>
        <v>1.8120000000000001</v>
      </c>
      <c r="H98" s="138">
        <f t="shared" si="62"/>
        <v>3.1477733672662836E-2</v>
      </c>
      <c r="I98" s="138">
        <f t="shared" si="62"/>
        <v>7.4999999999999997E-2</v>
      </c>
      <c r="J98" s="138">
        <f t="shared" si="62"/>
        <v>8.5000000000000006E-2</v>
      </c>
      <c r="K98" s="94">
        <f t="shared" si="52"/>
        <v>1.8890100000000001</v>
      </c>
      <c r="L98" s="94">
        <f t="shared" si="53"/>
        <v>2.0495758500000001</v>
      </c>
      <c r="M98" s="94">
        <f t="shared" si="46"/>
        <v>2.2237897972499998</v>
      </c>
      <c r="N98" s="94">
        <f t="shared" si="47"/>
        <v>2.4128119300162498</v>
      </c>
      <c r="O98" s="94">
        <f t="shared" si="48"/>
        <v>2.6179009440676309</v>
      </c>
      <c r="P98" s="94">
        <f t="shared" si="49"/>
        <v>2.8404225243133796</v>
      </c>
      <c r="Q98" s="94">
        <f t="shared" si="56"/>
        <v>83.655398760222567</v>
      </c>
      <c r="R98" s="94"/>
      <c r="S98" s="94"/>
      <c r="T98" s="94"/>
    </row>
    <row r="99" spans="2:20">
      <c r="B99" s="94" t="str">
        <f t="shared" ref="B99:C99" si="63">B75</f>
        <v>Southwest Gas</v>
      </c>
      <c r="C99" s="110">
        <f t="shared" si="63"/>
        <v>47.920999999999999</v>
      </c>
      <c r="D99" s="110">
        <f t="shared" si="43"/>
        <v>47.921115882607836</v>
      </c>
      <c r="E99" s="135">
        <f t="shared" si="44"/>
        <v>-1.1588260783668147E-4</v>
      </c>
      <c r="F99" s="138">
        <v>0.10585270478350996</v>
      </c>
      <c r="G99" s="110">
        <f t="shared" ref="G99:J99" si="64">G75</f>
        <v>1.27</v>
      </c>
      <c r="H99" s="138">
        <f t="shared" si="64"/>
        <v>2.6501951127898001E-2</v>
      </c>
      <c r="I99" s="138">
        <f t="shared" si="64"/>
        <v>0.08</v>
      </c>
      <c r="J99" s="138">
        <f t="shared" si="64"/>
        <v>7.0000000000000007E-2</v>
      </c>
      <c r="K99" s="94">
        <f t="shared" si="52"/>
        <v>1.3144499999999999</v>
      </c>
      <c r="L99" s="94">
        <f t="shared" si="53"/>
        <v>1.4064615</v>
      </c>
      <c r="M99" s="94">
        <f t="shared" si="46"/>
        <v>1.5049138050000002</v>
      </c>
      <c r="N99" s="94">
        <f t="shared" si="47"/>
        <v>1.6102577713500004</v>
      </c>
      <c r="O99" s="94">
        <f t="shared" si="48"/>
        <v>1.7229758153445005</v>
      </c>
      <c r="P99" s="94">
        <f t="shared" si="49"/>
        <v>1.8435841224186156</v>
      </c>
      <c r="Q99" s="94">
        <f t="shared" si="56"/>
        <v>71.311073168426788</v>
      </c>
      <c r="R99" s="94"/>
      <c r="S99" s="94"/>
      <c r="T99" s="94"/>
    </row>
    <row r="100" spans="2:20">
      <c r="B100" s="94"/>
      <c r="C100" s="94"/>
      <c r="D100" s="135"/>
      <c r="E100" s="135"/>
      <c r="F100" s="102"/>
      <c r="G100" s="94"/>
      <c r="H100" s="97"/>
      <c r="I100" s="99"/>
      <c r="J100" s="97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2:20">
      <c r="B101" s="356" t="s">
        <v>80</v>
      </c>
      <c r="C101" s="94"/>
      <c r="D101" s="135"/>
      <c r="E101" s="135"/>
      <c r="F101" s="102">
        <f>AVERAGE(F93:F100)</f>
        <v>9.8142563848681044E-2</v>
      </c>
      <c r="G101" s="94"/>
      <c r="H101" s="102">
        <f>AVERAGE(H93:H100)</f>
        <v>3.6492204971486045E-2</v>
      </c>
      <c r="I101" s="102">
        <f>AVERAGE(I93:I100)</f>
        <v>6.4285714285714293E-2</v>
      </c>
      <c r="J101" s="102">
        <f>AVERAGE(J93:J100)</f>
        <v>4.3571428571428573E-2</v>
      </c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2:20">
      <c r="B102" s="356" t="s">
        <v>43</v>
      </c>
      <c r="C102" s="94"/>
      <c r="D102" s="94"/>
      <c r="E102" s="94"/>
      <c r="F102" s="102">
        <f>STDEV(F93:F100)</f>
        <v>1.5798293335298429E-2</v>
      </c>
      <c r="G102" s="94"/>
      <c r="H102" s="102"/>
      <c r="I102" s="102"/>
      <c r="J102" s="102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2:20">
      <c r="B103" s="356" t="s">
        <v>21</v>
      </c>
      <c r="C103" s="94"/>
      <c r="D103" s="94"/>
      <c r="E103" s="94"/>
      <c r="F103" s="102">
        <f>+MEDIAN(F93:F99)</f>
        <v>9.546391395515709E-2</v>
      </c>
      <c r="G103" s="94"/>
      <c r="H103" s="102"/>
      <c r="I103" s="102"/>
      <c r="J103" s="102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2:20">
      <c r="B104" s="356"/>
      <c r="C104" s="94"/>
      <c r="D104" s="94"/>
      <c r="E104" s="94"/>
      <c r="F104" s="94"/>
      <c r="G104" s="94"/>
      <c r="H104" s="102"/>
      <c r="I104" s="94"/>
      <c r="J104" s="94"/>
      <c r="K104" s="102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2:20" ht="15.75">
      <c r="B105" s="775" t="s">
        <v>42</v>
      </c>
      <c r="C105" s="94"/>
      <c r="D105" s="594"/>
      <c r="E105" s="594"/>
      <c r="F105" s="594">
        <f>F101</f>
        <v>9.8142563848681044E-2</v>
      </c>
      <c r="G105" s="270"/>
      <c r="H105" s="594"/>
      <c r="I105" s="94"/>
      <c r="J105" s="94"/>
      <c r="K105" s="102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2:20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135"/>
      <c r="N106" s="135"/>
      <c r="O106" s="94"/>
      <c r="P106" s="94"/>
      <c r="Q106" s="94"/>
      <c r="R106" s="94"/>
      <c r="S106" s="94"/>
      <c r="T106" s="94"/>
    </row>
    <row r="107" spans="2:20">
      <c r="B107" s="94"/>
      <c r="C107" s="100" t="s">
        <v>181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135"/>
      <c r="P107" s="135"/>
      <c r="Q107" s="94"/>
      <c r="R107" s="94"/>
      <c r="S107" s="94"/>
      <c r="T107" s="94"/>
    </row>
    <row r="108" spans="2:20">
      <c r="B108" s="94"/>
      <c r="C108" s="94" t="s">
        <v>119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135"/>
      <c r="P108" s="135"/>
      <c r="Q108" s="94"/>
      <c r="R108" s="94"/>
      <c r="S108" s="94"/>
      <c r="T108" s="94"/>
    </row>
    <row r="109" spans="2:20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135"/>
      <c r="P109" s="135"/>
      <c r="Q109" s="94"/>
      <c r="R109" s="94"/>
      <c r="S109" s="94"/>
      <c r="T109" s="94"/>
    </row>
    <row r="110" spans="2:20">
      <c r="B110" s="94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779"/>
      <c r="P110" s="779"/>
      <c r="Q110" s="538"/>
      <c r="R110" s="538"/>
      <c r="S110" s="538"/>
      <c r="T110" s="94"/>
    </row>
    <row r="111" spans="2:20" ht="18.75">
      <c r="B111" s="776" t="str">
        <f>+B58</f>
        <v>Questar Gas Company</v>
      </c>
      <c r="C111" s="531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777"/>
      <c r="P111" s="777"/>
      <c r="Q111" s="531"/>
      <c r="R111" s="94"/>
      <c r="S111" s="94"/>
      <c r="T111" s="94"/>
    </row>
    <row r="112" spans="2:20" ht="15.75">
      <c r="B112" s="778" t="s">
        <v>71</v>
      </c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777"/>
      <c r="P112" s="777"/>
      <c r="Q112" s="531"/>
      <c r="R112" s="94"/>
      <c r="S112" s="94"/>
      <c r="T112" s="94"/>
    </row>
    <row r="113" spans="2:20" ht="15.75">
      <c r="B113" s="530" t="str">
        <f>+B58</f>
        <v>Questar Gas Company</v>
      </c>
      <c r="C113" s="531"/>
      <c r="D113" s="531"/>
      <c r="E113" s="531"/>
      <c r="F113" s="531"/>
      <c r="G113" s="531"/>
      <c r="H113" s="531"/>
      <c r="I113" s="531"/>
      <c r="J113" s="531"/>
      <c r="K113" s="531"/>
      <c r="L113" s="531"/>
      <c r="M113" s="531"/>
      <c r="N113" s="531"/>
      <c r="O113" s="777"/>
      <c r="P113" s="777"/>
      <c r="Q113" s="531"/>
      <c r="R113" s="94"/>
      <c r="S113" s="94"/>
      <c r="T113" s="94"/>
    </row>
    <row r="114" spans="2:20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135"/>
      <c r="N114" s="135"/>
      <c r="O114" s="94"/>
      <c r="P114" s="94"/>
      <c r="Q114" s="94"/>
      <c r="R114" s="94"/>
      <c r="S114" s="94"/>
      <c r="T114" s="94"/>
    </row>
    <row r="115" spans="2:20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135"/>
      <c r="N115" s="135"/>
      <c r="O115" s="94"/>
      <c r="P115" s="94"/>
      <c r="Q115" s="94"/>
      <c r="R115" s="94"/>
      <c r="S115" s="94"/>
      <c r="T115" s="94"/>
    </row>
    <row r="116" spans="2:20" ht="15.75">
      <c r="B116" s="588" t="s">
        <v>405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586"/>
      <c r="P116" s="586"/>
      <c r="Q116" s="773"/>
      <c r="R116" s="94"/>
      <c r="S116" s="94"/>
      <c r="T116" s="94"/>
    </row>
    <row r="117" spans="2:20" ht="15.75">
      <c r="B117" s="589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586"/>
      <c r="P117" s="586"/>
      <c r="Q117" s="773"/>
      <c r="R117" s="94"/>
      <c r="S117" s="94"/>
      <c r="T117" s="94"/>
    </row>
    <row r="118" spans="2:20">
      <c r="B118" s="94"/>
      <c r="C118" s="157" t="str">
        <f>+C89</f>
        <v xml:space="preserve">30 Day </v>
      </c>
      <c r="D118" s="158"/>
      <c r="E118" s="158"/>
      <c r="F118" s="157" t="s">
        <v>45</v>
      </c>
      <c r="G118" s="158"/>
      <c r="H118" s="157" t="s">
        <v>40</v>
      </c>
      <c r="I118" s="157" t="s">
        <v>27</v>
      </c>
      <c r="J118" s="157" t="s">
        <v>283</v>
      </c>
      <c r="K118" s="593"/>
      <c r="L118" s="158"/>
      <c r="M118" s="157"/>
      <c r="N118" s="158"/>
      <c r="O118" s="158"/>
      <c r="P118" s="158"/>
      <c r="Q118" s="158"/>
      <c r="R118" s="94"/>
      <c r="S118" s="94"/>
      <c r="T118" s="94"/>
    </row>
    <row r="119" spans="2:20">
      <c r="B119" s="94"/>
      <c r="C119" s="523" t="str">
        <f>+C90</f>
        <v>Average</v>
      </c>
      <c r="D119" s="591" t="s">
        <v>44</v>
      </c>
      <c r="E119" s="591"/>
      <c r="F119" s="157" t="s">
        <v>63</v>
      </c>
      <c r="G119" s="157" t="s">
        <v>22</v>
      </c>
      <c r="H119" s="157" t="s">
        <v>41</v>
      </c>
      <c r="I119" s="157" t="s">
        <v>64</v>
      </c>
      <c r="J119" s="157" t="s">
        <v>65</v>
      </c>
      <c r="K119" s="157" t="s">
        <v>23</v>
      </c>
      <c r="L119" s="157" t="s">
        <v>23</v>
      </c>
      <c r="M119" s="157" t="s">
        <v>23</v>
      </c>
      <c r="N119" s="157" t="s">
        <v>23</v>
      </c>
      <c r="O119" s="157" t="s">
        <v>23</v>
      </c>
      <c r="P119" s="157" t="s">
        <v>51</v>
      </c>
      <c r="Q119" s="157" t="s">
        <v>51</v>
      </c>
      <c r="R119" s="94"/>
      <c r="S119" s="94"/>
      <c r="T119" s="94"/>
    </row>
    <row r="120" spans="2:20">
      <c r="B120" s="586" t="s">
        <v>3</v>
      </c>
      <c r="C120" s="157" t="str">
        <f>+C91</f>
        <v>Stock Price</v>
      </c>
      <c r="D120" s="591" t="s">
        <v>37</v>
      </c>
      <c r="E120" s="591" t="s">
        <v>53</v>
      </c>
      <c r="F120" s="157" t="s">
        <v>24</v>
      </c>
      <c r="G120" s="157" t="s">
        <v>23</v>
      </c>
      <c r="H120" s="157" t="s">
        <v>37</v>
      </c>
      <c r="I120" s="157" t="s">
        <v>26</v>
      </c>
      <c r="J120" s="157" t="s">
        <v>26</v>
      </c>
      <c r="K120" s="157" t="s">
        <v>46</v>
      </c>
      <c r="L120" s="157" t="s">
        <v>47</v>
      </c>
      <c r="M120" s="157" t="s">
        <v>48</v>
      </c>
      <c r="N120" s="157" t="s">
        <v>49</v>
      </c>
      <c r="O120" s="157" t="s">
        <v>50</v>
      </c>
      <c r="P120" s="157" t="s">
        <v>23</v>
      </c>
      <c r="Q120" s="157" t="s">
        <v>52</v>
      </c>
      <c r="R120" s="94"/>
      <c r="S120" s="94"/>
      <c r="T120" s="94"/>
    </row>
    <row r="121" spans="2:20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774"/>
      <c r="P121" s="774"/>
      <c r="Q121" s="97"/>
      <c r="R121" s="94"/>
      <c r="S121" s="94"/>
      <c r="T121" s="94"/>
    </row>
    <row r="122" spans="2:20">
      <c r="B122" s="94" t="str">
        <f>+B14</f>
        <v>AGL Resources</v>
      </c>
      <c r="C122" s="110">
        <f>+C69</f>
        <v>44.933999999999997</v>
      </c>
      <c r="D122" s="135">
        <f t="shared" ref="D122" si="65">(K122/(1+$F122)^0.5+L122/(1+$F122)^1.5+M122/(1+$F122)^2.5+N122/(1+$F122)^3.5+O122/(1+$F122)^4.5+P122/(1+F122)^5.5+Q122/(1+$F122)^5.5)</f>
        <v>44.93380660964749</v>
      </c>
      <c r="E122" s="135">
        <f t="shared" ref="E122:E128" si="66">C122-D122</f>
        <v>1.9339035250709458E-4</v>
      </c>
      <c r="F122" s="102">
        <v>8.9059747765587394E-2</v>
      </c>
      <c r="G122" s="110">
        <f t="shared" ref="G122:G128" si="67">+G14</f>
        <v>1.861</v>
      </c>
      <c r="H122" s="138">
        <f t="shared" ref="H122:H128" si="68">G122/C122</f>
        <v>4.1416299461432327E-2</v>
      </c>
      <c r="I122" s="138">
        <f>+'1.7 Growth &amp; Beta'!H12</f>
        <v>4.6766666666666672E-2</v>
      </c>
      <c r="J122" s="138">
        <f>+J93</f>
        <v>4.4999999999999998E-2</v>
      </c>
      <c r="K122" s="94">
        <f>+K14</f>
        <v>1.9028725</v>
      </c>
      <c r="L122" s="94">
        <f t="shared" ref="L122:O122" si="69">+L14</f>
        <v>1.9885017624999999</v>
      </c>
      <c r="M122" s="94">
        <f t="shared" si="69"/>
        <v>2.0779843418124999</v>
      </c>
      <c r="N122" s="94">
        <f t="shared" si="69"/>
        <v>2.1714936371940623</v>
      </c>
      <c r="O122" s="94">
        <f t="shared" si="69"/>
        <v>2.2692108508677951</v>
      </c>
      <c r="P122" s="94">
        <f t="shared" ref="P122:P128" si="70">O122*(1+$J122)</f>
        <v>2.3713253391568458</v>
      </c>
      <c r="Q122" s="94">
        <f>P122/($F122-$I122)-$J122</f>
        <v>56.02387172893534</v>
      </c>
      <c r="R122" s="94"/>
      <c r="S122" s="94"/>
      <c r="T122" s="94"/>
    </row>
    <row r="123" spans="2:20">
      <c r="B123" s="94" t="str">
        <f t="shared" ref="B123" si="71">+B15</f>
        <v>Atmos Energy</v>
      </c>
      <c r="C123" s="110">
        <f t="shared" ref="C123:C128" si="72">+C70</f>
        <v>41.037500000000001</v>
      </c>
      <c r="D123" s="135">
        <f t="shared" ref="D123:D128" si="73">(K123/(1+$F123)^0.5+L123/(1+$F123)^1.5+M123/(1+$F123)^2.5+N123/(1+$F123)^3.5+O123/(1+$F123)^4.5+P123/(1+F123)^5.5+Q123/(1+$F123)^5.5)</f>
        <v>41.037554159279246</v>
      </c>
      <c r="E123" s="135">
        <f t="shared" si="66"/>
        <v>-5.4159279244458958E-5</v>
      </c>
      <c r="F123" s="102">
        <v>8.9595356678206881E-2</v>
      </c>
      <c r="G123" s="110">
        <f t="shared" si="67"/>
        <v>1.4049999999999998</v>
      </c>
      <c r="H123" s="138">
        <f t="shared" si="68"/>
        <v>3.423697837343892E-2</v>
      </c>
      <c r="I123" s="138">
        <f>+'1.7 Growth &amp; Beta'!H13</f>
        <v>6.1766666666666664E-2</v>
      </c>
      <c r="J123" s="138">
        <f t="shared" ref="J123:J128" si="74">+J94</f>
        <v>1.4999999999999999E-2</v>
      </c>
      <c r="K123" s="94">
        <f t="shared" ref="K123:O123" si="75">+K15</f>
        <v>1.4155374999999999</v>
      </c>
      <c r="L123" s="94">
        <f t="shared" si="75"/>
        <v>1.4367705624999998</v>
      </c>
      <c r="M123" s="94">
        <f t="shared" si="75"/>
        <v>1.4583221209374997</v>
      </c>
      <c r="N123" s="94">
        <f t="shared" si="75"/>
        <v>1.4801969527515619</v>
      </c>
      <c r="O123" s="94">
        <f t="shared" si="75"/>
        <v>1.5023999070428353</v>
      </c>
      <c r="P123" s="94">
        <f t="shared" si="70"/>
        <v>1.5249359056484777</v>
      </c>
      <c r="Q123" s="94">
        <f t="shared" ref="Q123:Q128" si="76">P123/($F123-$I123)-$J123</f>
        <v>54.782257974274231</v>
      </c>
      <c r="R123" s="94"/>
      <c r="S123" s="94"/>
      <c r="T123" s="94"/>
    </row>
    <row r="124" spans="2:20">
      <c r="B124" s="94" t="str">
        <f t="shared" ref="B124" si="77">+B16</f>
        <v>Laclede Group</v>
      </c>
      <c r="C124" s="110">
        <f t="shared" si="72"/>
        <v>43.985500000000002</v>
      </c>
      <c r="D124" s="135">
        <f t="shared" si="73"/>
        <v>43.985502454724532</v>
      </c>
      <c r="E124" s="135">
        <f t="shared" si="66"/>
        <v>-2.4547245303097043E-6</v>
      </c>
      <c r="F124" s="102">
        <v>8.3153925393749301E-2</v>
      </c>
      <c r="G124" s="110">
        <f t="shared" si="67"/>
        <v>1.71</v>
      </c>
      <c r="H124" s="138">
        <f t="shared" si="68"/>
        <v>3.8876447920337384E-2</v>
      </c>
      <c r="I124" s="138">
        <f>+'1.7 Growth &amp; Beta'!H14</f>
        <v>4.5133333333333338E-2</v>
      </c>
      <c r="J124" s="138">
        <f t="shared" si="74"/>
        <v>3.5000000000000003E-2</v>
      </c>
      <c r="K124" s="94">
        <f t="shared" ref="K124:O124" si="78">+K16</f>
        <v>1.7399250000000002</v>
      </c>
      <c r="L124" s="94">
        <f t="shared" si="78"/>
        <v>1.8008223750000001</v>
      </c>
      <c r="M124" s="94">
        <f t="shared" si="78"/>
        <v>1.8638511581249999</v>
      </c>
      <c r="N124" s="94">
        <f t="shared" si="78"/>
        <v>1.9290859486593748</v>
      </c>
      <c r="O124" s="94">
        <f t="shared" si="78"/>
        <v>1.9966039568624527</v>
      </c>
      <c r="P124" s="94">
        <f t="shared" si="70"/>
        <v>2.0664850953526384</v>
      </c>
      <c r="Q124" s="94">
        <f t="shared" si="76"/>
        <v>54.316733714954417</v>
      </c>
      <c r="R124" s="94"/>
      <c r="S124" s="94"/>
      <c r="T124" s="94"/>
    </row>
    <row r="125" spans="2:20">
      <c r="B125" s="94" t="str">
        <f t="shared" ref="B125" si="79">+B17</f>
        <v>Northwest Nat. Gas</v>
      </c>
      <c r="C125" s="110">
        <f t="shared" si="72"/>
        <v>41.033000000000001</v>
      </c>
      <c r="D125" s="135">
        <f t="shared" si="73"/>
        <v>41.033016860692683</v>
      </c>
      <c r="E125" s="135">
        <f t="shared" si="66"/>
        <v>-1.6860692682030276E-5</v>
      </c>
      <c r="F125" s="102">
        <v>8.2965866822801534E-2</v>
      </c>
      <c r="G125" s="110">
        <f t="shared" si="67"/>
        <v>1.84</v>
      </c>
      <c r="H125" s="138">
        <f t="shared" si="68"/>
        <v>4.4841956474057469E-2</v>
      </c>
      <c r="I125" s="138">
        <f>+'1.7 Growth &amp; Beta'!H15</f>
        <v>0.04</v>
      </c>
      <c r="J125" s="138">
        <f t="shared" si="74"/>
        <v>2.5000000000000001E-2</v>
      </c>
      <c r="K125" s="94">
        <f t="shared" ref="K125:O125" si="80">+K17</f>
        <v>1.863</v>
      </c>
      <c r="L125" s="94">
        <f t="shared" si="80"/>
        <v>1.9095749999999998</v>
      </c>
      <c r="M125" s="94">
        <f t="shared" si="80"/>
        <v>1.9573143749999997</v>
      </c>
      <c r="N125" s="94">
        <f t="shared" si="80"/>
        <v>2.0062472343749995</v>
      </c>
      <c r="O125" s="94">
        <f t="shared" si="80"/>
        <v>2.0564034152343744</v>
      </c>
      <c r="P125" s="94">
        <f t="shared" si="70"/>
        <v>2.1078135006152334</v>
      </c>
      <c r="Q125" s="94">
        <f t="shared" si="76"/>
        <v>49.032860494429478</v>
      </c>
      <c r="R125" s="94"/>
      <c r="S125" s="94"/>
      <c r="T125" s="94"/>
    </row>
    <row r="126" spans="2:20">
      <c r="B126" s="94" t="str">
        <f t="shared" ref="B126" si="81">+B18</f>
        <v>Piedmont Natural Gas</v>
      </c>
      <c r="C126" s="110">
        <f t="shared" si="72"/>
        <v>32.551000000000002</v>
      </c>
      <c r="D126" s="135">
        <f t="shared" si="73"/>
        <v>32.551060459728475</v>
      </c>
      <c r="E126" s="135">
        <f t="shared" si="66"/>
        <v>-6.0459728473460927E-5</v>
      </c>
      <c r="F126" s="102">
        <v>8.5485275604496688E-2</v>
      </c>
      <c r="G126" s="110">
        <f t="shared" si="67"/>
        <v>1.24</v>
      </c>
      <c r="H126" s="138">
        <f t="shared" si="68"/>
        <v>3.8094067770575404E-2</v>
      </c>
      <c r="I126" s="138">
        <f>+'1.7 Growth &amp; Beta'!H16</f>
        <v>5.000000000000001E-2</v>
      </c>
      <c r="J126" s="138">
        <f t="shared" si="74"/>
        <v>0.03</v>
      </c>
      <c r="K126" s="94">
        <f t="shared" ref="K126:O126" si="82">+K18</f>
        <v>1.2585999999999999</v>
      </c>
      <c r="L126" s="94">
        <f t="shared" si="82"/>
        <v>1.2963579999999999</v>
      </c>
      <c r="M126" s="94">
        <f t="shared" si="82"/>
        <v>1.3352487399999999</v>
      </c>
      <c r="N126" s="94">
        <f t="shared" si="82"/>
        <v>1.3753062022</v>
      </c>
      <c r="O126" s="94">
        <f t="shared" si="82"/>
        <v>1.4165653882660001</v>
      </c>
      <c r="P126" s="94">
        <f t="shared" si="70"/>
        <v>1.4590623499139801</v>
      </c>
      <c r="Q126" s="94">
        <f t="shared" si="76"/>
        <v>41.087402219896759</v>
      </c>
      <c r="R126" s="94"/>
      <c r="S126" s="94"/>
      <c r="T126" s="94"/>
    </row>
    <row r="127" spans="2:20">
      <c r="B127" s="94" t="str">
        <f t="shared" ref="B127" si="83">+B19</f>
        <v>South Jersey Inds.</v>
      </c>
      <c r="C127" s="110">
        <f t="shared" si="72"/>
        <v>57.564500000000002</v>
      </c>
      <c r="D127" s="135">
        <f t="shared" si="73"/>
        <v>57.564516521716961</v>
      </c>
      <c r="E127" s="135">
        <f t="shared" ref="E127" si="84">C127-D127</f>
        <v>-1.6521716958095567E-5</v>
      </c>
      <c r="F127" s="102">
        <v>9.6380357032627206E-2</v>
      </c>
      <c r="G127" s="110">
        <f t="shared" si="67"/>
        <v>1.8120000000000001</v>
      </c>
      <c r="H127" s="138">
        <f t="shared" si="68"/>
        <v>3.1477733672662836E-2</v>
      </c>
      <c r="I127" s="138">
        <f>+'1.7 Growth &amp; Beta'!H17</f>
        <v>0.06</v>
      </c>
      <c r="J127" s="138">
        <f t="shared" si="74"/>
        <v>8.5000000000000006E-2</v>
      </c>
      <c r="K127" s="94">
        <f t="shared" ref="K127:O127" si="85">+K19</f>
        <v>1.8890100000000001</v>
      </c>
      <c r="L127" s="94">
        <f t="shared" si="85"/>
        <v>2.0495758500000001</v>
      </c>
      <c r="M127" s="94">
        <f t="shared" si="85"/>
        <v>2.2237897972499998</v>
      </c>
      <c r="N127" s="94">
        <f t="shared" si="85"/>
        <v>2.4128119300162498</v>
      </c>
      <c r="O127" s="94">
        <f t="shared" si="85"/>
        <v>2.6179009440676309</v>
      </c>
      <c r="P127" s="94">
        <f t="shared" si="70"/>
        <v>2.8404225243133796</v>
      </c>
      <c r="Q127" s="94">
        <f t="shared" si="76"/>
        <v>77.990718766750618</v>
      </c>
      <c r="R127" s="94"/>
      <c r="S127" s="94"/>
      <c r="T127" s="94"/>
    </row>
    <row r="128" spans="2:20">
      <c r="B128" s="94" t="str">
        <f t="shared" ref="B128" si="86">+B20</f>
        <v>Southwest Gas</v>
      </c>
      <c r="C128" s="110">
        <f t="shared" si="72"/>
        <v>47.920999999999999</v>
      </c>
      <c r="D128" s="135">
        <f t="shared" si="73"/>
        <v>47.921896684496481</v>
      </c>
      <c r="E128" s="135">
        <f t="shared" si="66"/>
        <v>-8.9668449648172555E-4</v>
      </c>
      <c r="F128" s="102">
        <v>6.7284877814984684E-2</v>
      </c>
      <c r="G128" s="110">
        <f t="shared" si="67"/>
        <v>1.27</v>
      </c>
      <c r="H128" s="138">
        <f t="shared" si="68"/>
        <v>2.6501951127898001E-2</v>
      </c>
      <c r="I128" s="138">
        <f>+'1.7 Growth &amp; Beta'!H18</f>
        <v>3.5299999999999998E-2</v>
      </c>
      <c r="J128" s="138">
        <f t="shared" si="74"/>
        <v>7.0000000000000007E-2</v>
      </c>
      <c r="K128" s="94">
        <f t="shared" ref="K128:O128" si="87">+K20</f>
        <v>1.3144499999999999</v>
      </c>
      <c r="L128" s="94">
        <f t="shared" si="87"/>
        <v>1.4064615</v>
      </c>
      <c r="M128" s="94">
        <f t="shared" si="87"/>
        <v>1.5049138050000002</v>
      </c>
      <c r="N128" s="94">
        <f t="shared" si="87"/>
        <v>1.6102577713500004</v>
      </c>
      <c r="O128" s="94">
        <f t="shared" si="87"/>
        <v>1.7229758153445005</v>
      </c>
      <c r="P128" s="94">
        <f t="shared" si="70"/>
        <v>1.8435841224186156</v>
      </c>
      <c r="Q128" s="94">
        <f t="shared" si="76"/>
        <v>57.569242303277136</v>
      </c>
      <c r="R128" s="94"/>
      <c r="S128" s="94"/>
      <c r="T128" s="94"/>
    </row>
    <row r="129" spans="2:20">
      <c r="B129" s="94"/>
      <c r="C129" s="94"/>
      <c r="D129" s="135"/>
      <c r="E129" s="135"/>
      <c r="F129" s="102"/>
      <c r="G129" s="94"/>
      <c r="H129" s="97"/>
      <c r="I129" s="99"/>
      <c r="J129" s="97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2:20">
      <c r="B130" s="356" t="s">
        <v>80</v>
      </c>
      <c r="C130" s="94"/>
      <c r="D130" s="135"/>
      <c r="E130" s="135"/>
      <c r="F130" s="102">
        <f>AVERAGE(F122:F129)</f>
        <v>8.4846486730350543E-2</v>
      </c>
      <c r="G130" s="94"/>
      <c r="H130" s="102">
        <f>AVERAGE(H122:H129)</f>
        <v>3.6492204971486045E-2</v>
      </c>
      <c r="I130" s="102">
        <f>AVERAGE(I122:I129)</f>
        <v>4.8423809523809529E-2</v>
      </c>
      <c r="J130" s="102">
        <f>AVERAGE(J122:J129)</f>
        <v>4.3571428571428573E-2</v>
      </c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2:20">
      <c r="B131" s="356" t="s">
        <v>43</v>
      </c>
      <c r="C131" s="94"/>
      <c r="D131" s="94"/>
      <c r="E131" s="94"/>
      <c r="F131" s="102">
        <f>STDEV(F122:F129)</f>
        <v>9.0236093344002819E-3</v>
      </c>
      <c r="G131" s="94"/>
      <c r="H131" s="102"/>
      <c r="I131" s="102"/>
      <c r="J131" s="102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2:20">
      <c r="B132" s="5" t="s">
        <v>21</v>
      </c>
      <c r="F132" s="6">
        <f>+MEDIAN(F122:F129)</f>
        <v>8.5485275604496688E-2</v>
      </c>
      <c r="H132" s="6"/>
      <c r="I132" s="6"/>
      <c r="J132" s="6"/>
      <c r="O132"/>
      <c r="P132"/>
    </row>
    <row r="133" spans="2:20">
      <c r="B133" s="5"/>
      <c r="H133" s="6"/>
      <c r="K133" s="6"/>
      <c r="O133"/>
      <c r="P133"/>
    </row>
    <row r="134" spans="2:20" ht="15.75">
      <c r="B134" s="8" t="s">
        <v>42</v>
      </c>
      <c r="D134" s="9"/>
      <c r="E134" s="9"/>
      <c r="F134" s="9">
        <f>F130</f>
        <v>8.4846486730350543E-2</v>
      </c>
      <c r="G134" s="4"/>
      <c r="H134" s="9"/>
      <c r="K134" s="6"/>
      <c r="O134"/>
      <c r="P134"/>
    </row>
    <row r="135" spans="2:20">
      <c r="M135" s="12"/>
      <c r="N135" s="12"/>
      <c r="O135"/>
      <c r="P135"/>
    </row>
    <row r="136" spans="2:20">
      <c r="C136" s="37" t="s">
        <v>180</v>
      </c>
    </row>
    <row r="137" spans="2:20">
      <c r="C137" t="s">
        <v>119</v>
      </c>
    </row>
    <row r="139" spans="2:20">
      <c r="P139" s="54"/>
    </row>
    <row r="140" spans="2:20" ht="15.75">
      <c r="B140" s="68" t="s">
        <v>392</v>
      </c>
      <c r="O140" s="2"/>
      <c r="P140" s="5"/>
      <c r="Q140" s="13"/>
    </row>
    <row r="141" spans="2:20" ht="15.75">
      <c r="B141" s="10"/>
      <c r="O141" s="2"/>
      <c r="P141" s="2"/>
      <c r="Q141" s="13"/>
    </row>
    <row r="142" spans="2:20">
      <c r="C142" s="277"/>
      <c r="D142" s="365"/>
      <c r="E142" s="365"/>
      <c r="F142" s="277" t="s">
        <v>45</v>
      </c>
      <c r="G142" s="365"/>
      <c r="H142" s="277" t="s">
        <v>40</v>
      </c>
      <c r="I142" s="277" t="str">
        <f>+I118</f>
        <v>Projected</v>
      </c>
      <c r="J142" s="277" t="str">
        <f>+J118</f>
        <v>VL Projected</v>
      </c>
      <c r="K142" s="25"/>
      <c r="L142" s="365"/>
      <c r="M142" s="277"/>
      <c r="N142" s="365"/>
      <c r="O142" s="365"/>
      <c r="P142" s="365"/>
      <c r="Q142" s="365"/>
    </row>
    <row r="143" spans="2:20">
      <c r="C143" s="51" t="str">
        <f>C119</f>
        <v>Average</v>
      </c>
      <c r="D143" s="24" t="s">
        <v>44</v>
      </c>
      <c r="E143" s="24"/>
      <c r="F143" s="277" t="s">
        <v>63</v>
      </c>
      <c r="G143" s="277" t="s">
        <v>22</v>
      </c>
      <c r="H143" s="277" t="s">
        <v>41</v>
      </c>
      <c r="I143" s="277" t="s">
        <v>64</v>
      </c>
      <c r="J143" s="277" t="s">
        <v>65</v>
      </c>
      <c r="K143" s="277" t="s">
        <v>23</v>
      </c>
      <c r="L143" s="277" t="s">
        <v>23</v>
      </c>
      <c r="M143" s="277" t="s">
        <v>23</v>
      </c>
      <c r="N143" s="277" t="s">
        <v>23</v>
      </c>
      <c r="O143" s="277" t="s">
        <v>23</v>
      </c>
      <c r="P143" s="277" t="s">
        <v>51</v>
      </c>
      <c r="Q143" s="277" t="s">
        <v>51</v>
      </c>
    </row>
    <row r="144" spans="2:20">
      <c r="B144" s="2" t="s">
        <v>3</v>
      </c>
      <c r="C144" s="277" t="s">
        <v>4</v>
      </c>
      <c r="D144" s="24" t="s">
        <v>37</v>
      </c>
      <c r="E144" s="24" t="s">
        <v>53</v>
      </c>
      <c r="F144" s="277" t="s">
        <v>24</v>
      </c>
      <c r="G144" s="277" t="s">
        <v>23</v>
      </c>
      <c r="H144" s="277" t="s">
        <v>37</v>
      </c>
      <c r="I144" s="277" t="s">
        <v>26</v>
      </c>
      <c r="J144" s="277" t="s">
        <v>26</v>
      </c>
      <c r="K144" s="277" t="s">
        <v>46</v>
      </c>
      <c r="L144" s="277" t="s">
        <v>47</v>
      </c>
      <c r="M144" s="277" t="s">
        <v>48</v>
      </c>
      <c r="N144" s="277" t="s">
        <v>49</v>
      </c>
      <c r="O144" s="277" t="s">
        <v>50</v>
      </c>
      <c r="P144" s="277" t="s">
        <v>23</v>
      </c>
      <c r="Q144" s="277" t="s">
        <v>52</v>
      </c>
    </row>
    <row r="145" spans="2:17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4"/>
      <c r="P145" s="14"/>
      <c r="Q145" s="3"/>
    </row>
    <row r="146" spans="2:17">
      <c r="B146" t="str">
        <f t="shared" ref="B146:C146" si="88">B122</f>
        <v>AGL Resources</v>
      </c>
      <c r="C146" s="36">
        <f t="shared" si="88"/>
        <v>44.933999999999997</v>
      </c>
      <c r="D146" s="36">
        <f t="shared" ref="D146:D152" si="89">(K146/(1+$F146)^0.5+L146/(1+$F146)^1.5+M146/(1+$F146)^2.5+N146/(1+$F146)^3.5+O146/(1+$F146)^4.5+P146/(1+F146)^5.5+Q146/(1+$F146)^5.5)</f>
        <v>44.957464282723691</v>
      </c>
      <c r="E146" s="336">
        <f t="shared" ref="E146:E152" si="90">C146-D146</f>
        <v>-2.3464282723693941E-2</v>
      </c>
      <c r="F146" s="138">
        <v>8.9064096042295954E-2</v>
      </c>
      <c r="G146" s="36">
        <f t="shared" ref="G146:J146" si="91">G122</f>
        <v>1.861</v>
      </c>
      <c r="H146" s="21">
        <f t="shared" si="91"/>
        <v>4.1416299461432327E-2</v>
      </c>
      <c r="I146" s="21">
        <f t="shared" si="91"/>
        <v>4.6766666666666672E-2</v>
      </c>
      <c r="J146" s="21">
        <f t="shared" si="91"/>
        <v>4.4999999999999998E-2</v>
      </c>
      <c r="K146">
        <f>G146*(1+$J146/2)</f>
        <v>1.9028725</v>
      </c>
      <c r="L146">
        <f>K146*(1+$J146)</f>
        <v>1.9885017624999999</v>
      </c>
      <c r="M146">
        <f t="shared" ref="M146:M152" si="92">L146*(1+$J146)</f>
        <v>2.0779843418124999</v>
      </c>
      <c r="N146">
        <f t="shared" ref="N146:N152" si="93">M146*(1+$J146)</f>
        <v>2.1714936371940623</v>
      </c>
      <c r="O146">
        <f t="shared" ref="O146:O152" si="94">N146*(1+$J146)</f>
        <v>2.2692108508677951</v>
      </c>
      <c r="P146">
        <f t="shared" ref="P146:P152" si="95">O146*(1+$J146)</f>
        <v>2.3713253391568458</v>
      </c>
      <c r="Q146">
        <f>P146/($F146-I146)</f>
        <v>56.063107715078878</v>
      </c>
    </row>
    <row r="147" spans="2:17">
      <c r="B147" t="str">
        <f t="shared" ref="B147:C147" si="96">B123</f>
        <v>Atmos Energy</v>
      </c>
      <c r="C147" s="36">
        <f t="shared" si="96"/>
        <v>41.037500000000001</v>
      </c>
      <c r="D147" s="36">
        <f t="shared" si="89"/>
        <v>42.590075776201573</v>
      </c>
      <c r="E147" s="336">
        <f t="shared" si="90"/>
        <v>-1.5525757762015715</v>
      </c>
      <c r="F147" s="138">
        <v>8.8548307120520114E-2</v>
      </c>
      <c r="G147" s="36">
        <f t="shared" ref="G147:J147" si="97">G123</f>
        <v>1.4049999999999998</v>
      </c>
      <c r="H147" s="21">
        <f t="shared" si="97"/>
        <v>3.423697837343892E-2</v>
      </c>
      <c r="I147" s="21">
        <f t="shared" si="97"/>
        <v>6.1766666666666664E-2</v>
      </c>
      <c r="J147" s="21">
        <f t="shared" si="97"/>
        <v>1.4999999999999999E-2</v>
      </c>
      <c r="K147">
        <f t="shared" ref="K147:K152" si="98">G147*(1+$J147/2)</f>
        <v>1.4155374999999999</v>
      </c>
      <c r="L147">
        <f t="shared" ref="L147:L152" si="99">K147*(1+$J147)</f>
        <v>1.4367705624999998</v>
      </c>
      <c r="M147">
        <f t="shared" si="92"/>
        <v>1.4583221209374997</v>
      </c>
      <c r="N147">
        <f t="shared" si="93"/>
        <v>1.4801969527515619</v>
      </c>
      <c r="O147">
        <f t="shared" si="94"/>
        <v>1.5023999070428353</v>
      </c>
      <c r="P147">
        <f t="shared" si="95"/>
        <v>1.5249359056484777</v>
      </c>
      <c r="Q147">
        <f>P147/($F147-I147)</f>
        <v>56.939600405585452</v>
      </c>
    </row>
    <row r="148" spans="2:17">
      <c r="B148" t="str">
        <f t="shared" ref="B148:C148" si="100">B124</f>
        <v>Laclede Group</v>
      </c>
      <c r="C148" s="36">
        <f t="shared" si="100"/>
        <v>43.985500000000002</v>
      </c>
      <c r="D148" s="36">
        <f t="shared" si="89"/>
        <v>45.00004788771038</v>
      </c>
      <c r="E148" s="336">
        <f t="shared" si="90"/>
        <v>-1.0145478877103784</v>
      </c>
      <c r="F148" s="138">
        <v>8.2290568566442637E-2</v>
      </c>
      <c r="G148" s="36">
        <f t="shared" ref="G148:J148" si="101">G124</f>
        <v>1.71</v>
      </c>
      <c r="H148" s="21">
        <f t="shared" si="101"/>
        <v>3.8876447920337384E-2</v>
      </c>
      <c r="I148" s="21">
        <f t="shared" si="101"/>
        <v>4.5133333333333338E-2</v>
      </c>
      <c r="J148" s="21">
        <f t="shared" si="101"/>
        <v>3.5000000000000003E-2</v>
      </c>
      <c r="K148">
        <f t="shared" si="98"/>
        <v>1.7399250000000002</v>
      </c>
      <c r="L148">
        <f t="shared" si="99"/>
        <v>1.8008223750000001</v>
      </c>
      <c r="M148">
        <f t="shared" si="92"/>
        <v>1.8638511581249999</v>
      </c>
      <c r="N148">
        <f t="shared" si="93"/>
        <v>1.9290859486593748</v>
      </c>
      <c r="O148">
        <f t="shared" si="94"/>
        <v>1.9966039568624527</v>
      </c>
      <c r="P148">
        <f t="shared" si="95"/>
        <v>2.0664850953526384</v>
      </c>
      <c r="Q148">
        <f t="shared" ref="Q148:Q152" si="102">P148/($F148-I148)</f>
        <v>55.614608632433388</v>
      </c>
    </row>
    <row r="149" spans="2:17">
      <c r="B149" t="str">
        <f t="shared" ref="B149:C149" si="103">B125</f>
        <v>Northwest Nat. Gas</v>
      </c>
      <c r="C149" s="36">
        <f t="shared" si="103"/>
        <v>41.033000000000001</v>
      </c>
      <c r="D149" s="36">
        <f t="shared" si="89"/>
        <v>41.980026270567421</v>
      </c>
      <c r="E149" s="336">
        <f t="shared" si="90"/>
        <v>-0.94702627056742017</v>
      </c>
      <c r="F149" s="138">
        <v>8.1979303601285386E-2</v>
      </c>
      <c r="G149" s="36">
        <f t="shared" ref="G149:J149" si="104">G125</f>
        <v>1.84</v>
      </c>
      <c r="H149" s="21">
        <f t="shared" si="104"/>
        <v>4.4841956474057469E-2</v>
      </c>
      <c r="I149" s="21">
        <f t="shared" si="104"/>
        <v>0.04</v>
      </c>
      <c r="J149" s="21">
        <f t="shared" si="104"/>
        <v>2.5000000000000001E-2</v>
      </c>
      <c r="K149">
        <f t="shared" si="98"/>
        <v>1.863</v>
      </c>
      <c r="L149">
        <f t="shared" si="99"/>
        <v>1.9095749999999998</v>
      </c>
      <c r="M149">
        <f t="shared" si="92"/>
        <v>1.9573143749999997</v>
      </c>
      <c r="N149">
        <f t="shared" si="93"/>
        <v>2.0062472343749995</v>
      </c>
      <c r="O149">
        <f t="shared" si="94"/>
        <v>2.0564034152343744</v>
      </c>
      <c r="P149">
        <f t="shared" si="95"/>
        <v>2.1078135006152334</v>
      </c>
      <c r="Q149">
        <f t="shared" si="102"/>
        <v>50.210778164283155</v>
      </c>
    </row>
    <row r="150" spans="2:17">
      <c r="B150" t="str">
        <f t="shared" ref="B150:C150" si="105">B126</f>
        <v>Piedmont Natural Gas</v>
      </c>
      <c r="C150" s="36">
        <f t="shared" si="105"/>
        <v>32.551000000000002</v>
      </c>
      <c r="D150" s="36">
        <f t="shared" si="89"/>
        <v>32.880024739612679</v>
      </c>
      <c r="E150" s="336">
        <f t="shared" si="90"/>
        <v>-0.32902473961267731</v>
      </c>
      <c r="F150" s="138">
        <v>8.5139503307596204E-2</v>
      </c>
      <c r="G150" s="36">
        <f t="shared" ref="G150:J150" si="106">G126</f>
        <v>1.24</v>
      </c>
      <c r="H150" s="21">
        <f t="shared" si="106"/>
        <v>3.8094067770575404E-2</v>
      </c>
      <c r="I150" s="21">
        <f t="shared" si="106"/>
        <v>5.000000000000001E-2</v>
      </c>
      <c r="J150" s="21">
        <f t="shared" si="106"/>
        <v>0.03</v>
      </c>
      <c r="K150">
        <f t="shared" si="98"/>
        <v>1.2585999999999999</v>
      </c>
      <c r="L150">
        <f t="shared" si="99"/>
        <v>1.2963579999999999</v>
      </c>
      <c r="M150">
        <f t="shared" si="92"/>
        <v>1.3352487399999999</v>
      </c>
      <c r="N150">
        <f t="shared" si="93"/>
        <v>1.3753062022</v>
      </c>
      <c r="O150">
        <f t="shared" si="94"/>
        <v>1.4165653882660001</v>
      </c>
      <c r="P150">
        <f t="shared" si="95"/>
        <v>1.4590623499139801</v>
      </c>
      <c r="Q150">
        <f t="shared" si="102"/>
        <v>41.521996971384937</v>
      </c>
    </row>
    <row r="151" spans="2:17">
      <c r="B151" t="str">
        <f t="shared" ref="B151:C151" si="107">B127</f>
        <v>South Jersey Inds.</v>
      </c>
      <c r="C151" s="36">
        <f t="shared" si="107"/>
        <v>57.564500000000002</v>
      </c>
      <c r="D151" s="36">
        <f t="shared" si="89"/>
        <v>58.879996994851822</v>
      </c>
      <c r="E151" s="336">
        <f t="shared" si="90"/>
        <v>-1.31549699485182</v>
      </c>
      <c r="F151" s="138">
        <v>9.5586838879077499E-2</v>
      </c>
      <c r="G151" s="36">
        <f t="shared" ref="G151:J151" si="108">G127</f>
        <v>1.8120000000000001</v>
      </c>
      <c r="H151" s="21">
        <f t="shared" si="108"/>
        <v>3.1477733672662836E-2</v>
      </c>
      <c r="I151" s="21">
        <f t="shared" si="108"/>
        <v>0.06</v>
      </c>
      <c r="J151" s="21">
        <f t="shared" si="108"/>
        <v>8.5000000000000006E-2</v>
      </c>
      <c r="K151">
        <f t="shared" si="98"/>
        <v>1.8890100000000001</v>
      </c>
      <c r="L151">
        <f t="shared" si="99"/>
        <v>2.0495758500000001</v>
      </c>
      <c r="M151">
        <f t="shared" si="92"/>
        <v>2.2237897972499998</v>
      </c>
      <c r="N151">
        <f t="shared" si="93"/>
        <v>2.4128119300162498</v>
      </c>
      <c r="O151">
        <f t="shared" si="94"/>
        <v>2.6179009440676309</v>
      </c>
      <c r="P151">
        <f t="shared" si="95"/>
        <v>2.8404225243133796</v>
      </c>
      <c r="Q151">
        <f t="shared" si="102"/>
        <v>79.816657331240052</v>
      </c>
    </row>
    <row r="152" spans="2:17">
      <c r="B152" t="str">
        <f t="shared" ref="B152:C152" si="109">B128</f>
        <v>Southwest Gas</v>
      </c>
      <c r="C152" s="36">
        <f t="shared" si="109"/>
        <v>47.920999999999999</v>
      </c>
      <c r="D152" s="36">
        <f t="shared" si="89"/>
        <v>49.999621591654531</v>
      </c>
      <c r="E152" s="336">
        <f t="shared" si="90"/>
        <v>-2.0786215916545316</v>
      </c>
      <c r="F152" s="138">
        <v>6.5977914232319426E-2</v>
      </c>
      <c r="G152" s="36">
        <f t="shared" ref="G152:J152" si="110">G128</f>
        <v>1.27</v>
      </c>
      <c r="H152" s="21">
        <f t="shared" si="110"/>
        <v>2.6501951127898001E-2</v>
      </c>
      <c r="I152" s="21">
        <f t="shared" si="110"/>
        <v>3.5299999999999998E-2</v>
      </c>
      <c r="J152" s="21">
        <f t="shared" si="110"/>
        <v>7.0000000000000007E-2</v>
      </c>
      <c r="K152">
        <f t="shared" si="98"/>
        <v>1.3144499999999999</v>
      </c>
      <c r="L152">
        <f t="shared" si="99"/>
        <v>1.4064615</v>
      </c>
      <c r="M152">
        <f t="shared" si="92"/>
        <v>1.5049138050000002</v>
      </c>
      <c r="N152">
        <f t="shared" si="93"/>
        <v>1.6102577713500004</v>
      </c>
      <c r="O152">
        <f t="shared" si="94"/>
        <v>1.7229758153445005</v>
      </c>
      <c r="P152">
        <f t="shared" si="95"/>
        <v>1.8435841224186156</v>
      </c>
      <c r="Q152">
        <f t="shared" si="102"/>
        <v>60.09483266878636</v>
      </c>
    </row>
    <row r="153" spans="2:17">
      <c r="D153" s="12"/>
      <c r="E153" s="12"/>
      <c r="F153" s="6"/>
      <c r="H153" s="3"/>
      <c r="I153" s="11"/>
      <c r="J153" s="3"/>
      <c r="O153"/>
      <c r="P153"/>
    </row>
    <row r="154" spans="2:17">
      <c r="B154" s="5" t="s">
        <v>80</v>
      </c>
      <c r="D154" s="12"/>
      <c r="E154" s="12"/>
      <c r="F154" s="6">
        <f>AVERAGE(F146:F153)</f>
        <v>8.4083790249933885E-2</v>
      </c>
      <c r="H154" s="6">
        <f>AVERAGE(H146:H153)</f>
        <v>3.6492204971486045E-2</v>
      </c>
      <c r="I154" s="6">
        <f>AVERAGE(I146:I153)</f>
        <v>4.8423809523809529E-2</v>
      </c>
      <c r="J154" s="6">
        <f>AVERAGE(J146:J153)</f>
        <v>4.3571428571428573E-2</v>
      </c>
      <c r="O154"/>
      <c r="P154"/>
    </row>
    <row r="155" spans="2:17">
      <c r="B155" s="5" t="s">
        <v>43</v>
      </c>
      <c r="F155" s="6">
        <f>STDEV(F146:F153)</f>
        <v>9.2523624814012627E-3</v>
      </c>
      <c r="H155" s="6"/>
      <c r="I155" s="6"/>
      <c r="J155" s="6"/>
      <c r="O155"/>
      <c r="P155"/>
    </row>
    <row r="156" spans="2:17">
      <c r="B156" s="5" t="s">
        <v>21</v>
      </c>
      <c r="F156" s="6">
        <f>+MEDIAN(F146:F152)</f>
        <v>8.5139503307596204E-2</v>
      </c>
      <c r="H156" s="6"/>
      <c r="I156" s="6"/>
      <c r="J156" s="6"/>
      <c r="O156"/>
      <c r="P156"/>
    </row>
    <row r="157" spans="2:17">
      <c r="B157" s="5"/>
      <c r="H157" s="6"/>
      <c r="K157" s="6"/>
      <c r="O157"/>
      <c r="P157"/>
    </row>
    <row r="158" spans="2:17" ht="15.75">
      <c r="B158" s="8" t="s">
        <v>42</v>
      </c>
      <c r="D158" s="9"/>
      <c r="E158" s="9"/>
      <c r="F158" s="594">
        <f>F154</f>
        <v>8.4083790249933885E-2</v>
      </c>
      <c r="G158" s="4"/>
      <c r="H158" s="9"/>
      <c r="K158" s="6"/>
      <c r="O158"/>
      <c r="P158"/>
    </row>
    <row r="159" spans="2:17">
      <c r="M159" s="12"/>
      <c r="N159" s="12"/>
      <c r="O159"/>
      <c r="P159"/>
    </row>
    <row r="160" spans="2:17">
      <c r="C160" s="37" t="s">
        <v>181</v>
      </c>
    </row>
    <row r="161" spans="2:17">
      <c r="C161" t="s">
        <v>119</v>
      </c>
    </row>
    <row r="164" spans="2:17" ht="18.75" hidden="1">
      <c r="B164" s="28" t="str">
        <f>+B111</f>
        <v>Questar Gas Company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30"/>
      <c r="P164" s="30"/>
      <c r="Q164" s="29"/>
    </row>
    <row r="165" spans="2:17" ht="15.75" hidden="1">
      <c r="B165" s="31" t="s">
        <v>71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30"/>
      <c r="P165" s="30"/>
      <c r="Q165" s="29"/>
    </row>
    <row r="166" spans="2:17" ht="15.75" hidden="1">
      <c r="B166" s="50" t="str">
        <f>+B111</f>
        <v>Questar Gas Company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30"/>
      <c r="P166" s="30"/>
      <c r="Q166" s="29"/>
    </row>
    <row r="167" spans="2:17" hidden="1">
      <c r="M167" s="12"/>
      <c r="N167" s="12"/>
      <c r="O167"/>
      <c r="P167"/>
    </row>
    <row r="168" spans="2:17" hidden="1">
      <c r="M168" s="12"/>
      <c r="N168" s="12"/>
      <c r="O168"/>
      <c r="P168"/>
    </row>
    <row r="169" spans="2:17" ht="15.75" hidden="1">
      <c r="B169" s="68" t="s">
        <v>320</v>
      </c>
      <c r="O169" s="2"/>
      <c r="P169" s="2"/>
      <c r="Q169" s="13"/>
    </row>
    <row r="170" spans="2:17" ht="15.75" hidden="1">
      <c r="B170" s="10"/>
      <c r="O170" s="2"/>
      <c r="P170" s="2"/>
      <c r="Q170" s="13"/>
    </row>
    <row r="171" spans="2:17" hidden="1">
      <c r="C171" s="277" t="str">
        <f>+C65</f>
        <v xml:space="preserve">30 Day </v>
      </c>
      <c r="D171" s="365"/>
      <c r="E171" s="365"/>
      <c r="F171" s="277" t="s">
        <v>45</v>
      </c>
      <c r="G171" s="365"/>
      <c r="H171" s="277" t="s">
        <v>40</v>
      </c>
      <c r="I171" s="277" t="s">
        <v>283</v>
      </c>
      <c r="J171" s="277" t="s">
        <v>283</v>
      </c>
      <c r="K171" s="25"/>
      <c r="L171" s="365"/>
      <c r="M171" s="277"/>
      <c r="N171" s="365"/>
      <c r="O171" s="365"/>
      <c r="P171" s="365"/>
      <c r="Q171" s="365"/>
    </row>
    <row r="172" spans="2:17" hidden="1">
      <c r="C172" s="277" t="str">
        <f>+C66</f>
        <v>Average</v>
      </c>
      <c r="D172" s="24" t="s">
        <v>44</v>
      </c>
      <c r="E172" s="24"/>
      <c r="F172" s="277" t="s">
        <v>63</v>
      </c>
      <c r="G172" s="277" t="s">
        <v>22</v>
      </c>
      <c r="H172" s="277" t="s">
        <v>41</v>
      </c>
      <c r="I172" s="277" t="s">
        <v>64</v>
      </c>
      <c r="J172" s="277" t="s">
        <v>65</v>
      </c>
      <c r="K172" s="277" t="s">
        <v>23</v>
      </c>
      <c r="L172" s="277" t="s">
        <v>23</v>
      </c>
      <c r="M172" s="277" t="s">
        <v>23</v>
      </c>
      <c r="N172" s="277" t="s">
        <v>23</v>
      </c>
      <c r="O172" s="277" t="s">
        <v>23</v>
      </c>
      <c r="P172" s="277" t="s">
        <v>51</v>
      </c>
      <c r="Q172" s="277" t="s">
        <v>51</v>
      </c>
    </row>
    <row r="173" spans="2:17" hidden="1">
      <c r="B173" s="2" t="s">
        <v>3</v>
      </c>
      <c r="C173" s="277" t="s">
        <v>4</v>
      </c>
      <c r="D173" s="24" t="s">
        <v>37</v>
      </c>
      <c r="E173" s="24" t="s">
        <v>53</v>
      </c>
      <c r="F173" s="277" t="s">
        <v>24</v>
      </c>
      <c r="G173" s="277" t="s">
        <v>23</v>
      </c>
      <c r="H173" s="277" t="s">
        <v>37</v>
      </c>
      <c r="I173" s="277" t="s">
        <v>26</v>
      </c>
      <c r="J173" s="277" t="s">
        <v>26</v>
      </c>
      <c r="K173" s="277" t="s">
        <v>46</v>
      </c>
      <c r="L173" s="277" t="s">
        <v>47</v>
      </c>
      <c r="M173" s="277" t="s">
        <v>48</v>
      </c>
      <c r="N173" s="277" t="s">
        <v>49</v>
      </c>
      <c r="O173" s="277" t="s">
        <v>50</v>
      </c>
      <c r="P173" s="277" t="s">
        <v>23</v>
      </c>
      <c r="Q173" s="277" t="s">
        <v>52</v>
      </c>
    </row>
    <row r="174" spans="2:17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4"/>
      <c r="P174" s="14"/>
      <c r="Q174" s="3"/>
    </row>
    <row r="175" spans="2:17" hidden="1">
      <c r="B175" t="str">
        <f>+B144</f>
        <v>Company Name</v>
      </c>
      <c r="C175" s="36">
        <f>+'1.8 DCF SS'!B159</f>
        <v>0</v>
      </c>
      <c r="D175" s="12" t="e">
        <f t="shared" ref="D175:D182" si="111">(K175/(1+$F175)^0.5+L175/(1+$F175)^1.5+M175/(1+$F175)^2.5+N175/(1+$F175)^3.5+O175/(1+$F175)^4.5+P175/(1+F175)^5.5+Q175/(1+$F175)^5.5)</f>
        <v>#VALUE!</v>
      </c>
      <c r="E175" s="336" t="e">
        <f t="shared" ref="E175:E182" si="112">C175-D175</f>
        <v>#VALUE!</v>
      </c>
      <c r="F175" s="134">
        <v>8.1869999999999998E-2</v>
      </c>
      <c r="G175" s="36" t="str">
        <f>+G120</f>
        <v>Dividend</v>
      </c>
      <c r="H175" s="21" t="e">
        <f t="shared" ref="H175:H182" si="113">G175/C175</f>
        <v>#VALUE!</v>
      </c>
      <c r="I175" s="21" t="str">
        <f>+I120</f>
        <v>Growth</v>
      </c>
      <c r="J175" s="21" t="str">
        <f>+J120</f>
        <v>Growth</v>
      </c>
      <c r="K175" s="94" t="e">
        <f>G175*(1+$J175/2)</f>
        <v>#VALUE!</v>
      </c>
      <c r="L175" s="94" t="e">
        <f t="shared" ref="L175:L182" si="114">K175*(1+$J175)</f>
        <v>#VALUE!</v>
      </c>
      <c r="M175" s="94" t="e">
        <f t="shared" ref="M175:M182" si="115">L175*(1+$J175)</f>
        <v>#VALUE!</v>
      </c>
      <c r="N175" s="94" t="e">
        <f t="shared" ref="N175:N182" si="116">M175*(1+$J175)</f>
        <v>#VALUE!</v>
      </c>
      <c r="O175" s="94" t="e">
        <f t="shared" ref="O175:O182" si="117">N175*(1+$J175)</f>
        <v>#VALUE!</v>
      </c>
      <c r="P175" s="94" t="e">
        <f t="shared" ref="P175:P182" si="118">O175*(1+$J175)</f>
        <v>#VALUE!</v>
      </c>
      <c r="Q175" t="e">
        <f>P175/($F175-$I175*0.75-$J175*0.25)</f>
        <v>#VALUE!</v>
      </c>
    </row>
    <row r="176" spans="2:17" hidden="1">
      <c r="B176">
        <f>+B145</f>
        <v>0</v>
      </c>
      <c r="C176" s="36">
        <f>+'1.8 DCF SS'!B160</f>
        <v>0</v>
      </c>
      <c r="D176" s="12">
        <f t="shared" si="111"/>
        <v>0</v>
      </c>
      <c r="E176" s="336">
        <f t="shared" si="112"/>
        <v>0</v>
      </c>
      <c r="F176" s="134">
        <v>7.9500000000000001E-2</v>
      </c>
      <c r="G176" s="36">
        <f>+G121</f>
        <v>0</v>
      </c>
      <c r="H176" s="21" t="e">
        <f t="shared" si="113"/>
        <v>#DIV/0!</v>
      </c>
      <c r="I176" s="21">
        <f t="shared" ref="I176:J176" si="119">+I121</f>
        <v>0</v>
      </c>
      <c r="J176" s="21">
        <f t="shared" si="119"/>
        <v>0</v>
      </c>
      <c r="K176" s="94">
        <f t="shared" ref="K176:K182" si="120">G176*(1+$J176/2)</f>
        <v>0</v>
      </c>
      <c r="L176" s="94">
        <f t="shared" si="114"/>
        <v>0</v>
      </c>
      <c r="M176" s="94">
        <f t="shared" si="115"/>
        <v>0</v>
      </c>
      <c r="N176" s="94">
        <f t="shared" si="116"/>
        <v>0</v>
      </c>
      <c r="O176" s="94">
        <f t="shared" si="117"/>
        <v>0</v>
      </c>
      <c r="P176" s="94">
        <f t="shared" si="118"/>
        <v>0</v>
      </c>
      <c r="Q176">
        <f t="shared" ref="Q176:Q182" si="121">P176/($F176-$I176*0.75-$J176*0.25)</f>
        <v>0</v>
      </c>
    </row>
    <row r="177" spans="2:17" hidden="1">
      <c r="B177" t="str">
        <f>+B146</f>
        <v>AGL Resources</v>
      </c>
      <c r="C177" s="36">
        <f>+'1.8 DCF SS'!B161</f>
        <v>0</v>
      </c>
      <c r="D177" s="12">
        <f t="shared" si="111"/>
        <v>53.616767326290791</v>
      </c>
      <c r="E177" s="336">
        <f t="shared" si="112"/>
        <v>-53.616767326290791</v>
      </c>
      <c r="F177" s="134">
        <v>8.1695000000000004E-2</v>
      </c>
      <c r="G177" s="36">
        <f>+G122</f>
        <v>1.861</v>
      </c>
      <c r="H177" s="21" t="e">
        <f t="shared" si="113"/>
        <v>#DIV/0!</v>
      </c>
      <c r="I177" s="21">
        <f t="shared" ref="I177:J177" si="122">+I122</f>
        <v>4.6766666666666672E-2</v>
      </c>
      <c r="J177" s="21">
        <f t="shared" si="122"/>
        <v>4.4999999999999998E-2</v>
      </c>
      <c r="K177" s="94">
        <f t="shared" si="120"/>
        <v>1.9028725</v>
      </c>
      <c r="L177" s="94">
        <f t="shared" si="114"/>
        <v>1.9885017624999999</v>
      </c>
      <c r="M177" s="94">
        <f t="shared" si="115"/>
        <v>2.0779843418124999</v>
      </c>
      <c r="N177" s="94">
        <f t="shared" si="116"/>
        <v>2.1714936371940623</v>
      </c>
      <c r="O177" s="94">
        <f t="shared" si="117"/>
        <v>2.2692108508677951</v>
      </c>
      <c r="P177" s="94">
        <f t="shared" si="118"/>
        <v>2.3713253391568458</v>
      </c>
      <c r="Q177">
        <f t="shared" si="121"/>
        <v>67.043407949020235</v>
      </c>
    </row>
    <row r="178" spans="2:17" hidden="1">
      <c r="B178" t="str">
        <f>+B147</f>
        <v>Atmos Energy</v>
      </c>
      <c r="C178" s="36">
        <f>+'1.8 DCF SS'!B162</f>
        <v>0</v>
      </c>
      <c r="D178" s="12">
        <f t="shared" si="111"/>
        <v>185.64255179399223</v>
      </c>
      <c r="E178" s="336">
        <f t="shared" si="112"/>
        <v>-185.64255179399223</v>
      </c>
      <c r="F178" s="134">
        <v>5.6404999999999997E-2</v>
      </c>
      <c r="G178" s="36">
        <f>+G123</f>
        <v>1.4049999999999998</v>
      </c>
      <c r="H178" s="21" t="e">
        <f t="shared" si="113"/>
        <v>#DIV/0!</v>
      </c>
      <c r="I178" s="21">
        <f t="shared" ref="I178:J178" si="123">+I123</f>
        <v>6.1766666666666664E-2</v>
      </c>
      <c r="J178" s="21">
        <f t="shared" si="123"/>
        <v>1.4999999999999999E-2</v>
      </c>
      <c r="K178" s="94">
        <f t="shared" si="120"/>
        <v>1.4155374999999999</v>
      </c>
      <c r="L178" s="94">
        <f t="shared" si="114"/>
        <v>1.4367705624999998</v>
      </c>
      <c r="M178" s="94">
        <f t="shared" si="115"/>
        <v>1.4583221209374997</v>
      </c>
      <c r="N178" s="94">
        <f t="shared" si="116"/>
        <v>1.4801969527515619</v>
      </c>
      <c r="O178" s="94">
        <f t="shared" si="117"/>
        <v>1.5023999070428353</v>
      </c>
      <c r="P178" s="94">
        <f t="shared" si="118"/>
        <v>1.5249359056484777</v>
      </c>
      <c r="Q178">
        <f t="shared" si="121"/>
        <v>240.90614623198704</v>
      </c>
    </row>
    <row r="179" spans="2:17" hidden="1">
      <c r="B179" t="str">
        <f>+B148</f>
        <v>Laclede Group</v>
      </c>
      <c r="C179" s="36">
        <f>+'1.8 DCF SS'!B163</f>
        <v>0</v>
      </c>
      <c r="D179" s="12">
        <f t="shared" si="111"/>
        <v>32.286910172463585</v>
      </c>
      <c r="E179" s="336">
        <f t="shared" si="112"/>
        <v>-32.286910172463585</v>
      </c>
      <c r="F179" s="134">
        <v>9.5604999999999996E-2</v>
      </c>
      <c r="G179" s="36">
        <f>+G124</f>
        <v>1.71</v>
      </c>
      <c r="H179" s="21" t="e">
        <f t="shared" si="113"/>
        <v>#DIV/0!</v>
      </c>
      <c r="I179" s="21">
        <f t="shared" ref="I179:J179" si="124">+I124</f>
        <v>4.5133333333333338E-2</v>
      </c>
      <c r="J179" s="21">
        <f t="shared" si="124"/>
        <v>3.5000000000000003E-2</v>
      </c>
      <c r="K179" s="94">
        <f t="shared" si="120"/>
        <v>1.7399250000000002</v>
      </c>
      <c r="L179" s="94">
        <f t="shared" si="114"/>
        <v>1.8008223750000001</v>
      </c>
      <c r="M179" s="94">
        <f t="shared" si="115"/>
        <v>1.8638511581249999</v>
      </c>
      <c r="N179" s="94">
        <f t="shared" si="116"/>
        <v>1.9290859486593748</v>
      </c>
      <c r="O179" s="94">
        <f t="shared" si="117"/>
        <v>1.9966039568624527</v>
      </c>
      <c r="P179" s="94">
        <f t="shared" si="118"/>
        <v>2.0664850953526384</v>
      </c>
      <c r="Q179">
        <f t="shared" si="121"/>
        <v>38.986606836197318</v>
      </c>
    </row>
    <row r="180" spans="2:17" hidden="1">
      <c r="B180" t="str">
        <f t="shared" ref="B180:B182" si="125">+B149</f>
        <v>Northwest Nat. Gas</v>
      </c>
      <c r="C180" s="36">
        <f>+'1.8 DCF SS'!B165</f>
        <v>0</v>
      </c>
      <c r="D180" s="12">
        <f t="shared" si="111"/>
        <v>28.609047810056836</v>
      </c>
      <c r="E180" s="336">
        <f t="shared" si="112"/>
        <v>-28.609047810056836</v>
      </c>
      <c r="F180" s="134">
        <v>9.9915000000000004E-2</v>
      </c>
      <c r="G180" s="36">
        <f t="shared" ref="G180:G182" si="126">+G125</f>
        <v>1.84</v>
      </c>
      <c r="H180" s="21" t="e">
        <f t="shared" si="113"/>
        <v>#DIV/0!</v>
      </c>
      <c r="I180" s="21">
        <f t="shared" ref="I180:J180" si="127">+I125</f>
        <v>0.04</v>
      </c>
      <c r="J180" s="21">
        <f t="shared" si="127"/>
        <v>2.5000000000000001E-2</v>
      </c>
      <c r="K180" s="94">
        <f t="shared" si="120"/>
        <v>1.863</v>
      </c>
      <c r="L180" s="94">
        <f t="shared" si="114"/>
        <v>1.9095749999999998</v>
      </c>
      <c r="M180" s="94">
        <f t="shared" si="115"/>
        <v>1.9573143749999997</v>
      </c>
      <c r="N180" s="94">
        <f t="shared" si="116"/>
        <v>2.0062472343749995</v>
      </c>
      <c r="O180" s="94">
        <f t="shared" si="117"/>
        <v>2.0564034152343744</v>
      </c>
      <c r="P180" s="94">
        <f t="shared" si="118"/>
        <v>2.1078135006152334</v>
      </c>
      <c r="Q180">
        <f t="shared" si="121"/>
        <v>33.107885032831753</v>
      </c>
    </row>
    <row r="181" spans="2:17" hidden="1">
      <c r="B181" t="str">
        <f t="shared" si="125"/>
        <v>Piedmont Natural Gas</v>
      </c>
      <c r="C181" s="36">
        <f>+'1.8 DCF SS'!B166</f>
        <v>0</v>
      </c>
      <c r="D181" s="12">
        <f t="shared" si="111"/>
        <v>25.613790539556248</v>
      </c>
      <c r="E181" s="336">
        <f t="shared" si="112"/>
        <v>-25.613790539556248</v>
      </c>
      <c r="F181" s="134">
        <v>9.1605000000000006E-2</v>
      </c>
      <c r="G181" s="36">
        <f t="shared" si="126"/>
        <v>1.24</v>
      </c>
      <c r="H181" s="21" t="e">
        <f t="shared" si="113"/>
        <v>#DIV/0!</v>
      </c>
      <c r="I181" s="21">
        <f t="shared" ref="I181:J181" si="128">+I126</f>
        <v>5.000000000000001E-2</v>
      </c>
      <c r="J181" s="21">
        <f t="shared" si="128"/>
        <v>0.03</v>
      </c>
      <c r="K181" s="94">
        <f t="shared" si="120"/>
        <v>1.2585999999999999</v>
      </c>
      <c r="L181" s="94">
        <f t="shared" si="114"/>
        <v>1.2963579999999999</v>
      </c>
      <c r="M181" s="94">
        <f t="shared" si="115"/>
        <v>1.3352487399999999</v>
      </c>
      <c r="N181" s="94">
        <f t="shared" si="116"/>
        <v>1.3753062022</v>
      </c>
      <c r="O181" s="94">
        <f t="shared" si="117"/>
        <v>1.4165653882660001</v>
      </c>
      <c r="P181" s="94">
        <f t="shared" si="118"/>
        <v>1.4590623499139801</v>
      </c>
      <c r="Q181">
        <f t="shared" si="121"/>
        <v>31.306991737238068</v>
      </c>
    </row>
    <row r="182" spans="2:17" hidden="1">
      <c r="B182" t="str">
        <f t="shared" si="125"/>
        <v>South Jersey Inds.</v>
      </c>
      <c r="C182" s="36">
        <f>+'1.8 DCF SS'!B167</f>
        <v>0</v>
      </c>
      <c r="D182" s="12">
        <f t="shared" si="111"/>
        <v>118.90854744935012</v>
      </c>
      <c r="E182" s="336">
        <f t="shared" si="112"/>
        <v>-118.90854744935012</v>
      </c>
      <c r="F182" s="134">
        <v>8.3199999999999996E-2</v>
      </c>
      <c r="G182" s="36">
        <f t="shared" si="126"/>
        <v>1.8120000000000001</v>
      </c>
      <c r="H182" s="21" t="e">
        <f t="shared" si="113"/>
        <v>#DIV/0!</v>
      </c>
      <c r="I182" s="21">
        <f t="shared" ref="I182:J182" si="129">+I127</f>
        <v>0.06</v>
      </c>
      <c r="J182" s="21">
        <f t="shared" si="129"/>
        <v>8.5000000000000006E-2</v>
      </c>
      <c r="K182" s="94">
        <f t="shared" si="120"/>
        <v>1.8890100000000001</v>
      </c>
      <c r="L182" s="94">
        <f t="shared" si="114"/>
        <v>2.0495758500000001</v>
      </c>
      <c r="M182" s="94">
        <f t="shared" si="115"/>
        <v>2.2237897972499998</v>
      </c>
      <c r="N182" s="94">
        <f t="shared" si="116"/>
        <v>2.4128119300162498</v>
      </c>
      <c r="O182" s="94">
        <f t="shared" si="117"/>
        <v>2.6179009440676309</v>
      </c>
      <c r="P182" s="94">
        <f t="shared" si="118"/>
        <v>2.8404225243133796</v>
      </c>
      <c r="Q182">
        <f t="shared" si="121"/>
        <v>167.57655010698409</v>
      </c>
    </row>
    <row r="183" spans="2:17" hidden="1">
      <c r="D183" s="12"/>
      <c r="E183" s="12"/>
      <c r="F183" s="6"/>
      <c r="H183" s="3"/>
      <c r="I183" s="11"/>
      <c r="J183" s="3"/>
      <c r="O183"/>
      <c r="P183"/>
    </row>
    <row r="184" spans="2:17" hidden="1">
      <c r="B184" s="5" t="s">
        <v>80</v>
      </c>
      <c r="D184" s="12"/>
      <c r="E184" s="12"/>
      <c r="F184" s="6">
        <f>AVERAGE(F175:F183)</f>
        <v>8.3724375000000018E-2</v>
      </c>
      <c r="H184" s="6" t="e">
        <f>AVERAGE(H175:H183)</f>
        <v>#VALUE!</v>
      </c>
      <c r="I184" s="6">
        <f>AVERAGE(I175:I183)</f>
        <v>4.3380952380952388E-2</v>
      </c>
      <c r="J184" s="6">
        <f>AVERAGE(J175:J183)</f>
        <v>3.3571428571428572E-2</v>
      </c>
      <c r="O184"/>
      <c r="P184"/>
    </row>
    <row r="185" spans="2:17" hidden="1">
      <c r="B185" s="5" t="s">
        <v>43</v>
      </c>
      <c r="F185" s="6">
        <f>STDEV(F175:F183)</f>
        <v>1.3295624800635779E-2</v>
      </c>
      <c r="H185" s="6"/>
      <c r="I185" s="6"/>
      <c r="J185" s="6"/>
      <c r="O185"/>
      <c r="P185"/>
    </row>
    <row r="186" spans="2:17" hidden="1">
      <c r="B186" s="5" t="s">
        <v>21</v>
      </c>
      <c r="F186" s="6">
        <f>+MEDIAN(F175:F183)</f>
        <v>8.2534999999999997E-2</v>
      </c>
      <c r="H186" s="6"/>
      <c r="I186" s="6"/>
      <c r="J186" s="6"/>
      <c r="O186"/>
      <c r="P186"/>
    </row>
    <row r="187" spans="2:17" hidden="1">
      <c r="B187" s="5"/>
      <c r="H187" s="6"/>
      <c r="K187" s="6"/>
      <c r="O187"/>
      <c r="P187"/>
    </row>
    <row r="188" spans="2:17" ht="15.75" hidden="1">
      <c r="B188" s="8" t="s">
        <v>42</v>
      </c>
      <c r="C188" s="9">
        <f>F184</f>
        <v>8.3724375000000018E-2</v>
      </c>
      <c r="D188" s="9"/>
      <c r="E188" s="9"/>
      <c r="F188" s="9"/>
      <c r="G188" s="4"/>
      <c r="H188" s="9"/>
      <c r="K188" s="6"/>
      <c r="O188"/>
      <c r="P188"/>
    </row>
    <row r="189" spans="2:17" hidden="1">
      <c r="M189" s="12"/>
      <c r="N189" s="12"/>
      <c r="O189"/>
      <c r="P189"/>
    </row>
    <row r="190" spans="2:17" hidden="1">
      <c r="C190" s="37" t="s">
        <v>180</v>
      </c>
    </row>
    <row r="191" spans="2:17" hidden="1">
      <c r="C191" t="s">
        <v>119</v>
      </c>
    </row>
    <row r="192" spans="2:17" hidden="1"/>
    <row r="193" spans="2:17" hidden="1">
      <c r="P193" s="54"/>
    </row>
    <row r="194" spans="2:17" ht="15.75" hidden="1">
      <c r="B194" s="68" t="s">
        <v>284</v>
      </c>
      <c r="O194" s="2"/>
      <c r="P194" s="5"/>
      <c r="Q194" s="13"/>
    </row>
    <row r="195" spans="2:17" ht="15.75" hidden="1">
      <c r="B195" s="10"/>
      <c r="O195" s="2"/>
      <c r="P195" s="2"/>
      <c r="Q195" s="13"/>
    </row>
    <row r="196" spans="2:17" hidden="1">
      <c r="C196" s="277" t="str">
        <f>+C171</f>
        <v xml:space="preserve">30 Day </v>
      </c>
      <c r="D196" s="365"/>
      <c r="E196" s="365"/>
      <c r="F196" s="277" t="s">
        <v>45</v>
      </c>
      <c r="G196" s="365"/>
      <c r="H196" s="277" t="s">
        <v>40</v>
      </c>
      <c r="I196" s="277" t="str">
        <f>+I171</f>
        <v>VL Projected</v>
      </c>
      <c r="J196" s="277" t="str">
        <f>+J171</f>
        <v>VL Projected</v>
      </c>
      <c r="K196" s="25"/>
      <c r="L196" s="365"/>
      <c r="M196" s="277"/>
      <c r="N196" s="365"/>
      <c r="O196" s="365"/>
      <c r="P196" s="365"/>
      <c r="Q196" s="365"/>
    </row>
    <row r="197" spans="2:17" hidden="1">
      <c r="C197" s="51" t="str">
        <f>C172</f>
        <v>Average</v>
      </c>
      <c r="D197" s="24" t="s">
        <v>44</v>
      </c>
      <c r="E197" s="24"/>
      <c r="F197" s="277" t="s">
        <v>63</v>
      </c>
      <c r="G197" s="277" t="s">
        <v>22</v>
      </c>
      <c r="H197" s="277" t="s">
        <v>41</v>
      </c>
      <c r="I197" s="277" t="s">
        <v>64</v>
      </c>
      <c r="J197" s="277" t="s">
        <v>65</v>
      </c>
      <c r="K197" s="277" t="s">
        <v>23</v>
      </c>
      <c r="L197" s="277" t="s">
        <v>23</v>
      </c>
      <c r="M197" s="277" t="s">
        <v>23</v>
      </c>
      <c r="N197" s="277" t="s">
        <v>23</v>
      </c>
      <c r="O197" s="277" t="s">
        <v>23</v>
      </c>
      <c r="P197" s="277" t="s">
        <v>51</v>
      </c>
      <c r="Q197" s="277" t="s">
        <v>51</v>
      </c>
    </row>
    <row r="198" spans="2:17" hidden="1">
      <c r="B198" s="2" t="s">
        <v>3</v>
      </c>
      <c r="C198" s="277" t="s">
        <v>4</v>
      </c>
      <c r="D198" s="24" t="s">
        <v>37</v>
      </c>
      <c r="E198" s="24" t="s">
        <v>53</v>
      </c>
      <c r="F198" s="277" t="s">
        <v>24</v>
      </c>
      <c r="G198" s="277" t="s">
        <v>23</v>
      </c>
      <c r="H198" s="277" t="s">
        <v>37</v>
      </c>
      <c r="I198" s="277" t="s">
        <v>26</v>
      </c>
      <c r="J198" s="277" t="s">
        <v>26</v>
      </c>
      <c r="K198" s="277" t="s">
        <v>46</v>
      </c>
      <c r="L198" s="277" t="s">
        <v>47</v>
      </c>
      <c r="M198" s="277" t="s">
        <v>48</v>
      </c>
      <c r="N198" s="277" t="s">
        <v>49</v>
      </c>
      <c r="O198" s="277" t="s">
        <v>50</v>
      </c>
      <c r="P198" s="277" t="s">
        <v>23</v>
      </c>
      <c r="Q198" s="277" t="s">
        <v>52</v>
      </c>
    </row>
    <row r="199" spans="2:17" hidden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4"/>
      <c r="P199" s="14"/>
      <c r="Q199" s="3"/>
    </row>
    <row r="200" spans="2:17" hidden="1">
      <c r="B200" t="str">
        <f t="shared" ref="B200:C200" si="130">B175</f>
        <v>Company Name</v>
      </c>
      <c r="C200" s="36">
        <f t="shared" si="130"/>
        <v>0</v>
      </c>
      <c r="D200" s="36" t="e">
        <f t="shared" ref="D200:D207" si="131">(K200/(1+$F200)^0.5+L200/(1+$F200)^1.5+M200/(1+$F200)^2.5+N200/(1+$F200)^3.5+O200/(1+$F200)^4.5+P200/(1+F200)^5.5+Q200/(1+$F200)^5.5)</f>
        <v>#VALUE!</v>
      </c>
      <c r="E200" s="336" t="e">
        <f t="shared" ref="E200:E207" si="132">C200-D200</f>
        <v>#VALUE!</v>
      </c>
      <c r="F200" s="146">
        <v>8.3799999999999999E-2</v>
      </c>
      <c r="G200" s="36" t="str">
        <f t="shared" ref="G200:J200" si="133">G175</f>
        <v>Dividend</v>
      </c>
      <c r="H200" s="21" t="e">
        <f t="shared" si="133"/>
        <v>#VALUE!</v>
      </c>
      <c r="I200" s="21" t="str">
        <f t="shared" si="133"/>
        <v>Growth</v>
      </c>
      <c r="J200" s="21" t="str">
        <f t="shared" si="133"/>
        <v>Growth</v>
      </c>
      <c r="K200" t="e">
        <f>G200*(1+$J200/2)</f>
        <v>#VALUE!</v>
      </c>
      <c r="L200" t="e">
        <f>K200*(1+$J200)</f>
        <v>#VALUE!</v>
      </c>
      <c r="M200" t="e">
        <f t="shared" ref="M200:M207" si="134">L200*(1+$J200)</f>
        <v>#VALUE!</v>
      </c>
      <c r="N200" t="e">
        <f t="shared" ref="N200:N207" si="135">M200*(1+$J200)</f>
        <v>#VALUE!</v>
      </c>
      <c r="O200" t="e">
        <f t="shared" ref="O200:O207" si="136">N200*(1+$J200)</f>
        <v>#VALUE!</v>
      </c>
      <c r="P200" t="e">
        <f t="shared" ref="P200:P207" si="137">O200*(1+$J200)</f>
        <v>#VALUE!</v>
      </c>
      <c r="Q200" t="e">
        <f>P200/($F200-I200)</f>
        <v>#VALUE!</v>
      </c>
    </row>
    <row r="201" spans="2:17" hidden="1">
      <c r="B201">
        <f t="shared" ref="B201:C201" si="138">B176</f>
        <v>0</v>
      </c>
      <c r="C201" s="36">
        <f t="shared" si="138"/>
        <v>0</v>
      </c>
      <c r="D201" s="36">
        <f t="shared" si="131"/>
        <v>0</v>
      </c>
      <c r="E201" s="336">
        <f t="shared" si="132"/>
        <v>0</v>
      </c>
      <c r="F201" s="146">
        <v>8.4430000000000005E-2</v>
      </c>
      <c r="G201" s="36">
        <f t="shared" ref="G201:J201" si="139">G176</f>
        <v>0</v>
      </c>
      <c r="H201" s="21" t="e">
        <f t="shared" si="139"/>
        <v>#DIV/0!</v>
      </c>
      <c r="I201" s="21">
        <f t="shared" si="139"/>
        <v>0</v>
      </c>
      <c r="J201" s="21">
        <f t="shared" si="139"/>
        <v>0</v>
      </c>
      <c r="K201">
        <f t="shared" ref="K201:K207" si="140">G201*(1+$J201/2)</f>
        <v>0</v>
      </c>
      <c r="L201">
        <f t="shared" ref="L201:L207" si="141">K201*(1+$J201)</f>
        <v>0</v>
      </c>
      <c r="M201">
        <f t="shared" si="134"/>
        <v>0</v>
      </c>
      <c r="N201">
        <f t="shared" si="135"/>
        <v>0</v>
      </c>
      <c r="O201">
        <f t="shared" si="136"/>
        <v>0</v>
      </c>
      <c r="P201">
        <f t="shared" si="137"/>
        <v>0</v>
      </c>
      <c r="Q201">
        <f>P201/($F201-I201)</f>
        <v>0</v>
      </c>
    </row>
    <row r="202" spans="2:17" hidden="1">
      <c r="B202" t="str">
        <f t="shared" ref="B202:C202" si="142">B177</f>
        <v>AGL Resources</v>
      </c>
      <c r="C202" s="36">
        <f t="shared" si="142"/>
        <v>0</v>
      </c>
      <c r="D202" s="36">
        <f t="shared" si="131"/>
        <v>51.392768656709954</v>
      </c>
      <c r="E202" s="336">
        <f t="shared" si="132"/>
        <v>-51.392768656709954</v>
      </c>
      <c r="F202" s="146">
        <v>8.3629999999999996E-2</v>
      </c>
      <c r="G202" s="36">
        <f t="shared" ref="G202:J202" si="143">G177</f>
        <v>1.861</v>
      </c>
      <c r="H202" s="21" t="e">
        <f t="shared" si="143"/>
        <v>#DIV/0!</v>
      </c>
      <c r="I202" s="21">
        <f t="shared" si="143"/>
        <v>4.6766666666666672E-2</v>
      </c>
      <c r="J202" s="21">
        <f t="shared" si="143"/>
        <v>4.4999999999999998E-2</v>
      </c>
      <c r="K202">
        <f t="shared" si="140"/>
        <v>1.9028725</v>
      </c>
      <c r="L202">
        <f t="shared" si="141"/>
        <v>1.9885017624999999</v>
      </c>
      <c r="M202">
        <f t="shared" si="134"/>
        <v>2.0779843418124999</v>
      </c>
      <c r="N202">
        <f t="shared" si="135"/>
        <v>2.1714936371940623</v>
      </c>
      <c r="O202">
        <f t="shared" si="136"/>
        <v>2.2692108508677951</v>
      </c>
      <c r="P202">
        <f t="shared" si="137"/>
        <v>2.3713253391568458</v>
      </c>
      <c r="Q202">
        <f t="shared" ref="Q202:Q207" si="144">P202/($F202-I202)</f>
        <v>64.32748003861596</v>
      </c>
    </row>
    <row r="203" spans="2:17" hidden="1">
      <c r="B203" t="str">
        <f t="shared" ref="B203:C203" si="145">B178</f>
        <v>Atmos Energy</v>
      </c>
      <c r="C203" s="36">
        <f t="shared" si="145"/>
        <v>0</v>
      </c>
      <c r="D203" s="36">
        <f t="shared" si="131"/>
        <v>-453.04005007365424</v>
      </c>
      <c r="E203" s="336">
        <f t="shared" si="132"/>
        <v>453.04005007365424</v>
      </c>
      <c r="F203" s="146">
        <v>5.9354999999999998E-2</v>
      </c>
      <c r="G203" s="36">
        <f t="shared" ref="G203:J203" si="146">G178</f>
        <v>1.4049999999999998</v>
      </c>
      <c r="H203" s="21" t="e">
        <f t="shared" si="146"/>
        <v>#DIV/0!</v>
      </c>
      <c r="I203" s="21">
        <f t="shared" si="146"/>
        <v>6.1766666666666664E-2</v>
      </c>
      <c r="J203" s="21">
        <f t="shared" si="146"/>
        <v>1.4999999999999999E-2</v>
      </c>
      <c r="K203">
        <f t="shared" si="140"/>
        <v>1.4155374999999999</v>
      </c>
      <c r="L203">
        <f t="shared" si="141"/>
        <v>1.4367705624999998</v>
      </c>
      <c r="M203">
        <f t="shared" si="134"/>
        <v>1.4583221209374997</v>
      </c>
      <c r="N203">
        <f t="shared" si="135"/>
        <v>1.4801969527515619</v>
      </c>
      <c r="O203">
        <f t="shared" si="136"/>
        <v>1.5023999070428353</v>
      </c>
      <c r="P203">
        <f t="shared" si="137"/>
        <v>1.5249359056484777</v>
      </c>
      <c r="Q203">
        <f t="shared" si="144"/>
        <v>-632.31620137462812</v>
      </c>
    </row>
    <row r="204" spans="2:17" hidden="1">
      <c r="B204" t="str">
        <f t="shared" ref="B204:C204" si="147">B179</f>
        <v>Laclede Group</v>
      </c>
      <c r="C204" s="36">
        <f t="shared" si="147"/>
        <v>0</v>
      </c>
      <c r="D204" s="36">
        <f t="shared" si="131"/>
        <v>35.516195098580909</v>
      </c>
      <c r="E204" s="336">
        <f t="shared" si="132"/>
        <v>-35.516195098580909</v>
      </c>
      <c r="F204" s="146">
        <v>9.2590000000000006E-2</v>
      </c>
      <c r="G204" s="36">
        <f t="shared" ref="G204:J204" si="148">G179</f>
        <v>1.71</v>
      </c>
      <c r="H204" s="21" t="e">
        <f t="shared" si="148"/>
        <v>#DIV/0!</v>
      </c>
      <c r="I204" s="21">
        <f t="shared" si="148"/>
        <v>4.5133333333333338E-2</v>
      </c>
      <c r="J204" s="21">
        <f t="shared" si="148"/>
        <v>3.5000000000000003E-2</v>
      </c>
      <c r="K204">
        <f t="shared" si="140"/>
        <v>1.7399250000000002</v>
      </c>
      <c r="L204">
        <f t="shared" si="141"/>
        <v>1.8008223750000001</v>
      </c>
      <c r="M204">
        <f t="shared" si="134"/>
        <v>1.8638511581249999</v>
      </c>
      <c r="N204">
        <f t="shared" si="135"/>
        <v>1.9290859486593748</v>
      </c>
      <c r="O204">
        <f t="shared" si="136"/>
        <v>1.9966039568624527</v>
      </c>
      <c r="P204">
        <f t="shared" si="137"/>
        <v>2.0664850953526384</v>
      </c>
      <c r="Q204">
        <f t="shared" si="144"/>
        <v>43.544674341911325</v>
      </c>
    </row>
    <row r="205" spans="2:17" hidden="1">
      <c r="B205" t="str">
        <f t="shared" ref="B205:C205" si="149">B180</f>
        <v>Northwest Nat. Gas</v>
      </c>
      <c r="C205" s="36">
        <f t="shared" si="149"/>
        <v>0</v>
      </c>
      <c r="D205" s="36">
        <f t="shared" si="131"/>
        <v>32.488251903698803</v>
      </c>
      <c r="E205" s="336">
        <f t="shared" si="132"/>
        <v>-32.488251903698803</v>
      </c>
      <c r="F205" s="146">
        <v>9.4805E-2</v>
      </c>
      <c r="G205" s="36">
        <f t="shared" ref="G205:J205" si="150">G180</f>
        <v>1.84</v>
      </c>
      <c r="H205" s="21" t="e">
        <f t="shared" si="150"/>
        <v>#DIV/0!</v>
      </c>
      <c r="I205" s="21">
        <f t="shared" si="150"/>
        <v>0.04</v>
      </c>
      <c r="J205" s="21">
        <f t="shared" si="150"/>
        <v>2.5000000000000001E-2</v>
      </c>
      <c r="K205">
        <f t="shared" si="140"/>
        <v>1.863</v>
      </c>
      <c r="L205">
        <f t="shared" si="141"/>
        <v>1.9095749999999998</v>
      </c>
      <c r="M205">
        <f t="shared" si="134"/>
        <v>1.9573143749999997</v>
      </c>
      <c r="N205">
        <f t="shared" si="135"/>
        <v>2.0062472343749995</v>
      </c>
      <c r="O205">
        <f t="shared" si="136"/>
        <v>2.0564034152343744</v>
      </c>
      <c r="P205">
        <f t="shared" si="137"/>
        <v>2.1078135006152334</v>
      </c>
      <c r="Q205">
        <f t="shared" si="144"/>
        <v>38.460240865162547</v>
      </c>
    </row>
    <row r="206" spans="2:17" hidden="1">
      <c r="B206" t="str">
        <f t="shared" ref="B206:C206" si="151">B181</f>
        <v>Piedmont Natural Gas</v>
      </c>
      <c r="C206" s="36">
        <f t="shared" si="151"/>
        <v>0</v>
      </c>
      <c r="D206" s="36">
        <f t="shared" si="131"/>
        <v>26.645742535789449</v>
      </c>
      <c r="E206" s="336">
        <f t="shared" si="132"/>
        <v>-26.645742535789449</v>
      </c>
      <c r="F206" s="146">
        <v>9.3704999999999997E-2</v>
      </c>
      <c r="G206" s="36">
        <f t="shared" ref="G206:J206" si="152">G181</f>
        <v>1.24</v>
      </c>
      <c r="H206" s="21" t="e">
        <f t="shared" si="152"/>
        <v>#DIV/0!</v>
      </c>
      <c r="I206" s="21">
        <f t="shared" si="152"/>
        <v>5.000000000000001E-2</v>
      </c>
      <c r="J206" s="21">
        <f t="shared" si="152"/>
        <v>0.03</v>
      </c>
      <c r="K206">
        <f t="shared" si="140"/>
        <v>1.2585999999999999</v>
      </c>
      <c r="L206">
        <f t="shared" si="141"/>
        <v>1.2963579999999999</v>
      </c>
      <c r="M206">
        <f t="shared" si="134"/>
        <v>1.3352487399999999</v>
      </c>
      <c r="N206">
        <f t="shared" si="135"/>
        <v>1.3753062022</v>
      </c>
      <c r="O206">
        <f t="shared" si="136"/>
        <v>1.4165653882660001</v>
      </c>
      <c r="P206">
        <f t="shared" si="137"/>
        <v>1.4590623499139801</v>
      </c>
      <c r="Q206">
        <f t="shared" si="144"/>
        <v>33.384334742340251</v>
      </c>
    </row>
    <row r="207" spans="2:17" hidden="1">
      <c r="B207" t="str">
        <f t="shared" ref="B207:C207" si="153">B182</f>
        <v>South Jersey Inds.</v>
      </c>
      <c r="C207" s="36">
        <f t="shared" si="153"/>
        <v>0</v>
      </c>
      <c r="D207" s="36">
        <f t="shared" si="131"/>
        <v>82.86423817858099</v>
      </c>
      <c r="E207" s="336">
        <f t="shared" si="132"/>
        <v>-82.86423817858099</v>
      </c>
      <c r="F207" s="146">
        <v>8.5169999999999996E-2</v>
      </c>
      <c r="G207" s="36">
        <f t="shared" ref="G207:J207" si="154">G182</f>
        <v>1.8120000000000001</v>
      </c>
      <c r="H207" s="21" t="e">
        <f t="shared" si="154"/>
        <v>#DIV/0!</v>
      </c>
      <c r="I207" s="21">
        <f t="shared" si="154"/>
        <v>0.06</v>
      </c>
      <c r="J207" s="21">
        <f t="shared" si="154"/>
        <v>8.5000000000000006E-2</v>
      </c>
      <c r="K207">
        <f t="shared" si="140"/>
        <v>1.8890100000000001</v>
      </c>
      <c r="L207">
        <f t="shared" si="141"/>
        <v>2.0495758500000001</v>
      </c>
      <c r="M207">
        <f t="shared" si="134"/>
        <v>2.2237897972499998</v>
      </c>
      <c r="N207">
        <f t="shared" si="135"/>
        <v>2.4128119300162498</v>
      </c>
      <c r="O207">
        <f t="shared" si="136"/>
        <v>2.6179009440676309</v>
      </c>
      <c r="P207">
        <f t="shared" si="137"/>
        <v>2.8404225243133796</v>
      </c>
      <c r="Q207">
        <f t="shared" si="144"/>
        <v>112.84952420792133</v>
      </c>
    </row>
    <row r="208" spans="2:17" hidden="1">
      <c r="D208" s="12"/>
      <c r="E208" s="12"/>
      <c r="F208" s="6"/>
      <c r="H208" s="3"/>
      <c r="I208" s="11"/>
      <c r="J208" s="3"/>
      <c r="O208"/>
      <c r="P208"/>
    </row>
    <row r="209" spans="2:16" hidden="1">
      <c r="B209" s="5" t="s">
        <v>80</v>
      </c>
      <c r="D209" s="12"/>
      <c r="E209" s="12"/>
      <c r="F209" s="6">
        <f>AVERAGE(F200:F208)</f>
        <v>8.4685625E-2</v>
      </c>
      <c r="H209" s="6" t="e">
        <f>AVERAGE(H200:H208)</f>
        <v>#VALUE!</v>
      </c>
      <c r="I209" s="6">
        <f>AVERAGE(I200:I208)</f>
        <v>4.3380952380952388E-2</v>
      </c>
      <c r="J209" s="6">
        <f>AVERAGE(J200:J208)</f>
        <v>3.3571428571428572E-2</v>
      </c>
      <c r="O209"/>
      <c r="P209"/>
    </row>
    <row r="210" spans="2:16" hidden="1">
      <c r="B210" s="5" t="s">
        <v>43</v>
      </c>
      <c r="F210" s="6">
        <f>STDEV(F200:F208)</f>
        <v>1.1276202640168521E-2</v>
      </c>
      <c r="H210" s="6"/>
      <c r="I210" s="6"/>
      <c r="J210" s="6"/>
      <c r="O210"/>
      <c r="P210"/>
    </row>
    <row r="211" spans="2:16" hidden="1">
      <c r="B211" s="5" t="s">
        <v>21</v>
      </c>
      <c r="F211" s="6">
        <f>+MEDIAN(F200:F207)</f>
        <v>8.48E-2</v>
      </c>
      <c r="H211" s="6"/>
      <c r="I211" s="6"/>
      <c r="J211" s="6"/>
      <c r="O211"/>
      <c r="P211"/>
    </row>
    <row r="212" spans="2:16" hidden="1">
      <c r="B212" s="5"/>
      <c r="H212" s="6"/>
      <c r="K212" s="6"/>
      <c r="O212"/>
      <c r="P212"/>
    </row>
    <row r="213" spans="2:16" ht="15.75" hidden="1">
      <c r="B213" s="8" t="s">
        <v>42</v>
      </c>
      <c r="C213" s="9">
        <f>F209</f>
        <v>8.4685625E-2</v>
      </c>
      <c r="D213" s="9"/>
      <c r="E213" s="9"/>
      <c r="F213" s="9"/>
      <c r="G213" s="4"/>
      <c r="H213" s="9"/>
      <c r="K213" s="6"/>
      <c r="O213"/>
      <c r="P213"/>
    </row>
    <row r="214" spans="2:16" hidden="1">
      <c r="M214" s="12"/>
      <c r="N214" s="12"/>
      <c r="O214"/>
      <c r="P214"/>
    </row>
    <row r="215" spans="2:16" hidden="1">
      <c r="C215" s="37" t="s">
        <v>181</v>
      </c>
    </row>
    <row r="216" spans="2:16" hidden="1">
      <c r="C216" t="s">
        <v>119</v>
      </c>
    </row>
    <row r="217" spans="2:16" hidden="1"/>
  </sheetData>
  <phoneticPr fontId="3" type="noConversion"/>
  <pageMargins left="0.75" right="0.75" top="1" bottom="1" header="0.5" footer="0.5"/>
  <pageSetup scale="65" fitToHeight="3" orientation="landscape" r:id="rId1"/>
  <headerFooter alignWithMargins="0"/>
  <rowBreaks count="3" manualBreakCount="3">
    <brk id="55" max="16" man="1"/>
    <brk id="110" max="16" man="1"/>
    <brk id="159" max="16" man="1"/>
  </rowBreaks>
  <colBreaks count="1" manualBreakCount="1">
    <brk id="18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zoomScaleNormal="10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P34" sqref="P34"/>
    </sheetView>
  </sheetViews>
  <sheetFormatPr defaultRowHeight="12.75"/>
  <cols>
    <col min="1" max="1" width="4.33203125" customWidth="1"/>
    <col min="2" max="2" width="7.83203125" customWidth="1"/>
    <col min="3" max="3" width="22.33203125" customWidth="1"/>
    <col min="4" max="4" width="8.33203125" customWidth="1"/>
    <col min="6" max="6" width="12.5" customWidth="1"/>
    <col min="7" max="8" width="10.1640625" customWidth="1"/>
    <col min="9" max="9" width="10" customWidth="1"/>
    <col min="10" max="10" width="9.83203125" customWidth="1"/>
    <col min="11" max="11" width="10.33203125" customWidth="1"/>
    <col min="12" max="12" width="8.5" customWidth="1"/>
    <col min="13" max="13" width="10" customWidth="1"/>
    <col min="14" max="16" width="9.5" bestFit="1" customWidth="1"/>
    <col min="17" max="18" width="9.33203125" hidden="1" customWidth="1"/>
    <col min="19" max="19" width="9.5" bestFit="1" customWidth="1"/>
    <col min="20" max="20" width="11.33203125" customWidth="1"/>
    <col min="21" max="21" width="9.83203125" customWidth="1"/>
    <col min="22" max="22" width="10.1640625" customWidth="1"/>
    <col min="23" max="23" width="9.83203125" customWidth="1"/>
    <col min="24" max="24" width="10.1640625" customWidth="1"/>
  </cols>
  <sheetData>
    <row r="1" spans="1:27" ht="18.75">
      <c r="A1" s="821" t="s">
        <v>236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</row>
    <row r="2" spans="1:27" ht="18.75">
      <c r="A2" s="207"/>
      <c r="B2" s="207"/>
      <c r="C2" s="207"/>
      <c r="D2" s="207"/>
      <c r="E2" s="207"/>
      <c r="F2" s="207"/>
      <c r="G2" s="207"/>
      <c r="H2" s="207"/>
      <c r="I2" s="207"/>
      <c r="J2" s="376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7" ht="18.75">
      <c r="A3" s="207"/>
      <c r="B3" s="207"/>
      <c r="C3" s="207"/>
      <c r="D3" s="207"/>
      <c r="E3" s="207"/>
      <c r="F3" s="888" t="s">
        <v>249</v>
      </c>
      <c r="G3" s="889"/>
      <c r="H3" s="890"/>
      <c r="I3" s="888" t="s">
        <v>250</v>
      </c>
      <c r="J3" s="889"/>
      <c r="K3" s="889"/>
      <c r="L3" s="889"/>
      <c r="M3" s="890"/>
      <c r="N3" s="888" t="s">
        <v>242</v>
      </c>
      <c r="O3" s="889"/>
      <c r="P3" s="889"/>
      <c r="Q3" s="889"/>
      <c r="R3" s="889"/>
      <c r="S3" s="890"/>
      <c r="T3" s="888" t="s">
        <v>257</v>
      </c>
      <c r="U3" s="889"/>
      <c r="V3" s="890"/>
      <c r="W3" s="888" t="s">
        <v>196</v>
      </c>
      <c r="X3" s="890"/>
    </row>
    <row r="4" spans="1:27" ht="38.25">
      <c r="D4" s="113" t="s">
        <v>117</v>
      </c>
      <c r="E4" s="113" t="s">
        <v>237</v>
      </c>
      <c r="F4" s="294" t="s">
        <v>241</v>
      </c>
      <c r="G4" s="228" t="s">
        <v>251</v>
      </c>
      <c r="H4" s="299" t="s">
        <v>252</v>
      </c>
      <c r="I4" s="298" t="s">
        <v>344</v>
      </c>
      <c r="J4" s="228" t="str">
        <f>+G4</f>
        <v>Historical 5 Yr Growth</v>
      </c>
      <c r="K4" s="228" t="s">
        <v>248</v>
      </c>
      <c r="L4" s="228" t="s">
        <v>227</v>
      </c>
      <c r="M4" s="296" t="s">
        <v>254</v>
      </c>
      <c r="N4" s="294" t="s">
        <v>243</v>
      </c>
      <c r="O4" s="228" t="s">
        <v>244</v>
      </c>
      <c r="P4" s="228" t="s">
        <v>245</v>
      </c>
      <c r="Q4" s="228" t="s">
        <v>246</v>
      </c>
      <c r="R4" s="228" t="s">
        <v>247</v>
      </c>
      <c r="S4" s="471" t="s">
        <v>253</v>
      </c>
      <c r="T4" s="294" t="s">
        <v>255</v>
      </c>
      <c r="U4" s="228" t="s">
        <v>256</v>
      </c>
      <c r="V4" s="295" t="s">
        <v>124</v>
      </c>
      <c r="W4" s="298" t="s">
        <v>258</v>
      </c>
      <c r="X4" s="299" t="s">
        <v>259</v>
      </c>
      <c r="Y4" s="208"/>
      <c r="Z4" s="208"/>
    </row>
    <row r="5" spans="1:27" hidden="1">
      <c r="A5" s="123">
        <v>1</v>
      </c>
      <c r="B5" s="123" t="s">
        <v>182</v>
      </c>
      <c r="C5" s="206" t="s">
        <v>5</v>
      </c>
      <c r="D5" s="25">
        <v>0.75</v>
      </c>
      <c r="E5" s="203" t="s">
        <v>6</v>
      </c>
      <c r="F5" s="229">
        <v>90</v>
      </c>
      <c r="G5" s="230">
        <v>8.5000000000000006E-2</v>
      </c>
      <c r="H5" s="231">
        <v>3.5000000000000003E-2</v>
      </c>
      <c r="I5" s="238">
        <v>0.05</v>
      </c>
      <c r="J5" s="230"/>
      <c r="K5" s="230">
        <v>2.5000000000000001E-2</v>
      </c>
      <c r="L5" s="243">
        <v>0.63</v>
      </c>
      <c r="M5" s="244">
        <v>0.56999999999999995</v>
      </c>
      <c r="N5" s="210">
        <v>20.9</v>
      </c>
      <c r="O5" s="211">
        <v>3.9</v>
      </c>
      <c r="P5" s="211">
        <v>30</v>
      </c>
      <c r="Q5" s="211">
        <v>15</v>
      </c>
      <c r="R5" s="211">
        <v>8</v>
      </c>
      <c r="S5" s="224">
        <f>(+Q5+R5)/2</f>
        <v>11.5</v>
      </c>
      <c r="T5" s="239">
        <v>0.53500000000000003</v>
      </c>
      <c r="U5" s="230">
        <v>0.46500000000000002</v>
      </c>
      <c r="V5" s="171">
        <v>3740</v>
      </c>
      <c r="W5" s="300">
        <v>0.12</v>
      </c>
      <c r="X5" s="301">
        <v>0.13</v>
      </c>
      <c r="Z5" s="121"/>
      <c r="AA5" s="121"/>
    </row>
    <row r="6" spans="1:27" hidden="1">
      <c r="A6" s="123">
        <v>2</v>
      </c>
      <c r="B6" s="123" t="s">
        <v>8</v>
      </c>
      <c r="C6" s="206" t="s">
        <v>7</v>
      </c>
      <c r="D6" s="25">
        <v>0.85</v>
      </c>
      <c r="E6" s="203" t="s">
        <v>9</v>
      </c>
      <c r="F6" s="229">
        <v>90</v>
      </c>
      <c r="G6" s="230">
        <v>0.05</v>
      </c>
      <c r="H6" s="231">
        <v>0.04</v>
      </c>
      <c r="I6" s="238">
        <v>4.9000000000000002E-2</v>
      </c>
      <c r="J6" s="230"/>
      <c r="K6" s="230">
        <v>1.4999999999999999E-2</v>
      </c>
      <c r="L6" s="243">
        <v>0.5</v>
      </c>
      <c r="M6" s="61">
        <v>0.51</v>
      </c>
      <c r="N6" s="210">
        <v>15.7</v>
      </c>
      <c r="O6" s="211">
        <v>-3.4</v>
      </c>
      <c r="P6" s="211">
        <v>28.3</v>
      </c>
      <c r="Q6" s="211">
        <v>13</v>
      </c>
      <c r="R6" s="211">
        <v>6</v>
      </c>
      <c r="S6" s="224">
        <f t="shared" ref="S6:S14" si="0">(+Q6+R6)/2</f>
        <v>9.5</v>
      </c>
      <c r="T6" s="238">
        <v>0.5</v>
      </c>
      <c r="U6" s="230">
        <v>0.5</v>
      </c>
      <c r="V6" s="171">
        <v>4345</v>
      </c>
      <c r="W6" s="238">
        <v>8.5000000000000006E-2</v>
      </c>
      <c r="X6" s="231">
        <v>9.5000000000000001E-2</v>
      </c>
      <c r="Z6" s="121"/>
      <c r="AA6" s="121"/>
    </row>
    <row r="7" spans="1:27" hidden="1">
      <c r="A7" s="123">
        <v>3</v>
      </c>
      <c r="B7" s="123" t="s">
        <v>11</v>
      </c>
      <c r="C7" s="206" t="s">
        <v>10</v>
      </c>
      <c r="D7" s="25">
        <v>0.6</v>
      </c>
      <c r="E7" s="203" t="s">
        <v>9</v>
      </c>
      <c r="F7" s="229">
        <v>85</v>
      </c>
      <c r="G7" s="230">
        <v>9.5000000000000001E-2</v>
      </c>
      <c r="H7" s="231">
        <v>3.5000000000000003E-2</v>
      </c>
      <c r="I7" s="238">
        <v>0.05</v>
      </c>
      <c r="J7" s="230"/>
      <c r="K7" s="230">
        <v>2.5000000000000001E-2</v>
      </c>
      <c r="L7" s="243">
        <v>0.54</v>
      </c>
      <c r="M7" s="61">
        <v>0.55000000000000004</v>
      </c>
      <c r="N7" s="210">
        <v>-38</v>
      </c>
      <c r="O7" s="211">
        <v>-2.8</v>
      </c>
      <c r="P7" s="211">
        <v>20.7</v>
      </c>
      <c r="Q7" s="211">
        <v>18</v>
      </c>
      <c r="R7" s="211">
        <v>10</v>
      </c>
      <c r="S7" s="224">
        <f t="shared" si="0"/>
        <v>14</v>
      </c>
      <c r="T7" s="238">
        <v>0.42499999999999999</v>
      </c>
      <c r="U7" s="230">
        <v>0.57499999999999996</v>
      </c>
      <c r="V7" s="171">
        <v>925</v>
      </c>
      <c r="W7" s="238">
        <v>0.12</v>
      </c>
      <c r="X7" s="231">
        <v>0.11</v>
      </c>
      <c r="Z7" s="121"/>
      <c r="AA7" s="121"/>
    </row>
    <row r="8" spans="1:27" hidden="1">
      <c r="A8" s="252">
        <v>4</v>
      </c>
      <c r="B8" s="252" t="s">
        <v>232</v>
      </c>
      <c r="C8" s="253" t="s">
        <v>12</v>
      </c>
      <c r="D8" s="25">
        <v>0.65</v>
      </c>
      <c r="E8" s="203" t="s">
        <v>13</v>
      </c>
      <c r="F8" s="232">
        <v>45</v>
      </c>
      <c r="G8" s="233">
        <v>7.4999999999999997E-2</v>
      </c>
      <c r="H8" s="234">
        <v>5.5E-2</v>
      </c>
      <c r="I8" s="239">
        <v>3.7999999999999999E-2</v>
      </c>
      <c r="J8" s="233"/>
      <c r="K8" s="233">
        <v>7.0000000000000007E-2</v>
      </c>
      <c r="L8" s="244">
        <v>0.51</v>
      </c>
      <c r="M8" s="61">
        <v>0.54</v>
      </c>
      <c r="N8" s="210">
        <v>-9.1</v>
      </c>
      <c r="O8" s="211">
        <v>12.8</v>
      </c>
      <c r="P8" s="211">
        <v>42.8</v>
      </c>
      <c r="Q8" s="211">
        <v>9</v>
      </c>
      <c r="R8" s="211">
        <v>3</v>
      </c>
      <c r="S8" s="224">
        <f t="shared" si="0"/>
        <v>6</v>
      </c>
      <c r="T8" s="238">
        <v>0.39800000000000002</v>
      </c>
      <c r="U8" s="230">
        <v>0.60199999999999998</v>
      </c>
      <c r="V8" s="171">
        <v>1145.2</v>
      </c>
      <c r="W8" s="238">
        <v>0.14800000000000002</v>
      </c>
      <c r="X8" s="231">
        <v>0.115</v>
      </c>
      <c r="Z8" s="121"/>
      <c r="AA8" s="121"/>
    </row>
    <row r="9" spans="1:27" hidden="1">
      <c r="A9" s="123">
        <v>5</v>
      </c>
      <c r="B9" s="123" t="s">
        <v>118</v>
      </c>
      <c r="C9" s="206" t="s">
        <v>233</v>
      </c>
      <c r="D9" s="25">
        <v>0.75</v>
      </c>
      <c r="E9" s="203" t="s">
        <v>13</v>
      </c>
      <c r="F9" s="229">
        <v>80</v>
      </c>
      <c r="G9" s="230">
        <v>0.01</v>
      </c>
      <c r="H9" s="231">
        <v>1.4999999999999999E-2</v>
      </c>
      <c r="I9" s="238">
        <v>4.7E-2</v>
      </c>
      <c r="J9" s="230"/>
      <c r="K9" s="230">
        <v>0</v>
      </c>
      <c r="L9" s="243">
        <v>0.67</v>
      </c>
      <c r="M9" s="61">
        <v>0.6</v>
      </c>
      <c r="N9" s="210">
        <v>1.3</v>
      </c>
      <c r="O9" s="211">
        <v>-9.1999999999999993</v>
      </c>
      <c r="P9" s="211">
        <v>33.799999999999997</v>
      </c>
      <c r="Q9" s="211">
        <v>14</v>
      </c>
      <c r="R9" s="211">
        <v>5</v>
      </c>
      <c r="S9" s="224">
        <f t="shared" si="0"/>
        <v>9.5</v>
      </c>
      <c r="T9" s="238">
        <v>0.33</v>
      </c>
      <c r="U9" s="230">
        <v>0.67</v>
      </c>
      <c r="V9" s="171">
        <v>1500</v>
      </c>
      <c r="W9" s="238">
        <v>0.125</v>
      </c>
      <c r="X9" s="231">
        <v>0.115</v>
      </c>
      <c r="Z9" s="121"/>
      <c r="AA9" s="121"/>
    </row>
    <row r="10" spans="1:27" hidden="1">
      <c r="A10" s="123">
        <v>6</v>
      </c>
      <c r="B10" s="123" t="s">
        <v>15</v>
      </c>
      <c r="C10" s="206" t="s">
        <v>154</v>
      </c>
      <c r="D10" s="25">
        <v>0.6</v>
      </c>
      <c r="E10" s="203" t="s">
        <v>13</v>
      </c>
      <c r="F10" s="229">
        <v>90</v>
      </c>
      <c r="G10" s="230">
        <v>0.08</v>
      </c>
      <c r="H10" s="231">
        <v>0.05</v>
      </c>
      <c r="I10" s="238">
        <v>3.9E-2</v>
      </c>
      <c r="J10" s="230"/>
      <c r="K10" s="230">
        <v>6.5000000000000002E-2</v>
      </c>
      <c r="L10" s="243">
        <v>0.56000000000000005</v>
      </c>
      <c r="M10" s="61">
        <v>0.61</v>
      </c>
      <c r="N10" s="210">
        <v>-10.9</v>
      </c>
      <c r="O10" s="211">
        <v>15.2</v>
      </c>
      <c r="P10" s="211">
        <v>51.2</v>
      </c>
      <c r="Q10" s="211">
        <v>16</v>
      </c>
      <c r="R10" s="211">
        <v>10</v>
      </c>
      <c r="S10" s="224">
        <f t="shared" si="0"/>
        <v>13</v>
      </c>
      <c r="T10" s="238">
        <v>0.47</v>
      </c>
      <c r="U10" s="230">
        <v>0.53</v>
      </c>
      <c r="V10" s="171">
        <v>1275</v>
      </c>
      <c r="W10" s="238">
        <v>0.115</v>
      </c>
      <c r="X10" s="231">
        <v>0.11</v>
      </c>
      <c r="Z10" s="121"/>
      <c r="AA10" s="121"/>
    </row>
    <row r="11" spans="1:27" hidden="1">
      <c r="A11" s="123">
        <v>7</v>
      </c>
      <c r="B11" s="123" t="s">
        <v>17</v>
      </c>
      <c r="C11" s="206" t="s">
        <v>16</v>
      </c>
      <c r="D11" s="25">
        <v>0.65</v>
      </c>
      <c r="E11" s="203" t="s">
        <v>6</v>
      </c>
      <c r="F11" s="229">
        <v>95</v>
      </c>
      <c r="G11" s="230">
        <v>6.5000000000000002E-2</v>
      </c>
      <c r="H11" s="231">
        <v>0.08</v>
      </c>
      <c r="I11" s="238">
        <v>4.4999999999999998E-2</v>
      </c>
      <c r="J11" s="230"/>
      <c r="K11" s="230">
        <v>3.5000000000000003E-2</v>
      </c>
      <c r="L11" s="243">
        <v>0.67</v>
      </c>
      <c r="M11" s="61">
        <v>0.57999999999999996</v>
      </c>
      <c r="N11" s="210">
        <v>-26.5</v>
      </c>
      <c r="O11" s="211">
        <v>-4.5999999999999996</v>
      </c>
      <c r="P11" s="211">
        <v>22.2</v>
      </c>
      <c r="Q11" s="211">
        <v>20</v>
      </c>
      <c r="R11" s="211">
        <v>10</v>
      </c>
      <c r="S11" s="224">
        <f t="shared" si="0"/>
        <v>15</v>
      </c>
      <c r="T11" s="238">
        <v>0.48</v>
      </c>
      <c r="U11" s="230">
        <v>0.52</v>
      </c>
      <c r="V11" s="171">
        <v>1765</v>
      </c>
      <c r="W11" s="238">
        <v>0.125</v>
      </c>
      <c r="X11" s="231">
        <v>0.14000000000000001</v>
      </c>
      <c r="Z11" s="121"/>
      <c r="AA11" s="121"/>
    </row>
    <row r="12" spans="1:27" hidden="1">
      <c r="A12" s="123">
        <v>8</v>
      </c>
      <c r="B12" s="123" t="s">
        <v>19</v>
      </c>
      <c r="C12" s="206" t="s">
        <v>234</v>
      </c>
      <c r="D12" s="25">
        <v>0.65</v>
      </c>
      <c r="E12" s="203" t="s">
        <v>6</v>
      </c>
      <c r="F12" s="229">
        <v>85</v>
      </c>
      <c r="G12" s="230">
        <v>0.13</v>
      </c>
      <c r="H12" s="231">
        <v>5.5E-2</v>
      </c>
      <c r="I12" s="238">
        <v>3.6999999999999998E-2</v>
      </c>
      <c r="J12" s="230"/>
      <c r="K12" s="230">
        <v>0.08</v>
      </c>
      <c r="L12" s="243">
        <v>0.51</v>
      </c>
      <c r="M12" s="61">
        <v>0.51</v>
      </c>
      <c r="N12" s="210">
        <v>-4.3</v>
      </c>
      <c r="O12" s="211">
        <v>18.7</v>
      </c>
      <c r="P12" s="211">
        <v>64</v>
      </c>
      <c r="Q12" s="211">
        <v>11</v>
      </c>
      <c r="R12" s="211">
        <v>3</v>
      </c>
      <c r="S12" s="224">
        <f t="shared" si="0"/>
        <v>7</v>
      </c>
      <c r="T12" s="238">
        <v>0.375</v>
      </c>
      <c r="U12" s="230">
        <v>0.625</v>
      </c>
      <c r="V12" s="171">
        <v>885</v>
      </c>
      <c r="W12" s="238">
        <v>0.125</v>
      </c>
      <c r="X12" s="231">
        <v>0.14499999999999999</v>
      </c>
      <c r="Z12" s="121"/>
      <c r="AA12" s="121"/>
    </row>
    <row r="13" spans="1:27" hidden="1">
      <c r="A13" s="123">
        <v>9</v>
      </c>
      <c r="B13" s="123" t="s">
        <v>139</v>
      </c>
      <c r="C13" s="206" t="s">
        <v>138</v>
      </c>
      <c r="D13" s="25">
        <v>0.75</v>
      </c>
      <c r="E13" s="203" t="s">
        <v>130</v>
      </c>
      <c r="F13" s="229">
        <v>70</v>
      </c>
      <c r="G13" s="230">
        <v>0.09</v>
      </c>
      <c r="H13" s="231">
        <v>0.06</v>
      </c>
      <c r="I13" s="238">
        <v>3.6999999999999998E-2</v>
      </c>
      <c r="J13" s="230"/>
      <c r="K13" s="230">
        <v>0.05</v>
      </c>
      <c r="L13" s="243">
        <v>0.51</v>
      </c>
      <c r="M13" s="61">
        <v>0.46</v>
      </c>
      <c r="N13" s="210">
        <v>5.3</v>
      </c>
      <c r="O13" s="211">
        <v>-23.1</v>
      </c>
      <c r="P13" s="211">
        <v>20.399999999999999</v>
      </c>
      <c r="Q13" s="211">
        <v>16</v>
      </c>
      <c r="R13" s="211">
        <v>6</v>
      </c>
      <c r="S13" s="224">
        <f t="shared" si="0"/>
        <v>11</v>
      </c>
      <c r="T13" s="238">
        <v>0.505</v>
      </c>
      <c r="U13" s="230">
        <v>0.495</v>
      </c>
      <c r="V13" s="171">
        <v>2280</v>
      </c>
      <c r="W13" s="238">
        <v>0.08</v>
      </c>
      <c r="X13" s="231">
        <v>8.5000000000000006E-2</v>
      </c>
      <c r="Z13" s="121"/>
      <c r="AA13" s="121"/>
    </row>
    <row r="14" spans="1:27" hidden="1">
      <c r="A14" s="123">
        <v>10</v>
      </c>
      <c r="B14" s="123" t="s">
        <v>120</v>
      </c>
      <c r="C14" s="206" t="s">
        <v>235</v>
      </c>
      <c r="D14" s="25">
        <v>0.65</v>
      </c>
      <c r="E14" s="203" t="s">
        <v>13</v>
      </c>
      <c r="F14" s="229">
        <v>80</v>
      </c>
      <c r="G14" s="230">
        <v>0.04</v>
      </c>
      <c r="H14" s="231">
        <v>0.04</v>
      </c>
      <c r="I14" s="238">
        <v>4.7E-2</v>
      </c>
      <c r="J14" s="230"/>
      <c r="K14" s="230">
        <v>0.03</v>
      </c>
      <c r="L14" s="243">
        <v>0.57999999999999996</v>
      </c>
      <c r="M14" s="61">
        <v>0.59</v>
      </c>
      <c r="N14" s="210">
        <v>-8.6999999999999993</v>
      </c>
      <c r="O14" s="211">
        <v>8.6999999999999993</v>
      </c>
      <c r="P14" s="211">
        <v>29.2</v>
      </c>
      <c r="Q14" s="211">
        <v>12</v>
      </c>
      <c r="R14" s="211">
        <v>7</v>
      </c>
      <c r="S14" s="224">
        <f t="shared" si="0"/>
        <v>9.5</v>
      </c>
      <c r="T14" s="297">
        <v>0.36499999999999999</v>
      </c>
      <c r="U14" s="236">
        <v>0.61899999999999999</v>
      </c>
      <c r="V14" s="172">
        <v>1780</v>
      </c>
      <c r="W14" s="297">
        <v>0.12</v>
      </c>
      <c r="X14" s="237">
        <v>0.11</v>
      </c>
      <c r="Z14" s="121"/>
      <c r="AA14" s="121"/>
    </row>
    <row r="15" spans="1:27" hidden="1">
      <c r="A15" s="123"/>
      <c r="B15" s="123"/>
      <c r="C15" s="206"/>
      <c r="D15" s="25"/>
      <c r="E15" s="203"/>
      <c r="F15" s="229"/>
      <c r="G15" s="230"/>
      <c r="H15" s="231"/>
      <c r="I15" s="238"/>
      <c r="J15" s="230"/>
      <c r="K15" s="230"/>
      <c r="L15" s="243"/>
      <c r="M15" s="61"/>
      <c r="N15" s="225"/>
      <c r="O15" s="226"/>
      <c r="P15" s="226"/>
      <c r="Q15" s="226"/>
      <c r="R15" s="226"/>
      <c r="S15" s="227"/>
      <c r="T15" s="247"/>
      <c r="U15" s="248"/>
      <c r="V15" s="249"/>
      <c r="W15" s="302"/>
      <c r="X15" s="303"/>
    </row>
    <row r="16" spans="1:27" hidden="1">
      <c r="A16" s="123"/>
      <c r="B16" s="86"/>
      <c r="C16" s="206" t="s">
        <v>80</v>
      </c>
      <c r="D16" s="25">
        <f>AVERAGE(D5:D14)</f>
        <v>0.69000000000000017</v>
      </c>
      <c r="E16" s="203"/>
      <c r="F16" s="229">
        <f t="shared" ref="F16:Q16" si="1">AVERAGE(F5:F14)</f>
        <v>81</v>
      </c>
      <c r="G16" s="230">
        <f>AVERAGE(G5:G14)</f>
        <v>7.2000000000000008E-2</v>
      </c>
      <c r="H16" s="231">
        <f>AVERAGE(H5:H14)</f>
        <v>4.65E-2</v>
      </c>
      <c r="I16" s="240">
        <f t="shared" ref="I16" si="2">AVERAGE(I5:I14)</f>
        <v>4.3899999999999995E-2</v>
      </c>
      <c r="J16" s="222"/>
      <c r="K16" s="222">
        <f>AVERAGE(K5:K14)</f>
        <v>3.95E-2</v>
      </c>
      <c r="L16" s="222">
        <f t="shared" ref="L16:M16" si="3">AVERAGE(L5:L14)</f>
        <v>0.56799999999999995</v>
      </c>
      <c r="M16" s="222">
        <f t="shared" si="3"/>
        <v>0.55199999999999994</v>
      </c>
      <c r="N16" s="212">
        <f t="shared" si="1"/>
        <v>-5.4300000000000015</v>
      </c>
      <c r="O16" s="213">
        <f t="shared" si="1"/>
        <v>1.6199999999999999</v>
      </c>
      <c r="P16" s="213">
        <f t="shared" si="1"/>
        <v>34.26</v>
      </c>
      <c r="Q16" s="213">
        <f t="shared" si="1"/>
        <v>14.4</v>
      </c>
      <c r="R16" s="213">
        <f>AVERAGE(R5:R14)</f>
        <v>6.8</v>
      </c>
      <c r="S16" s="214">
        <f>AVERAGE(S5:S14)</f>
        <v>10.6</v>
      </c>
      <c r="T16" s="240">
        <f t="shared" ref="T16" si="4">AVERAGE(T5:T14)</f>
        <v>0.43830000000000008</v>
      </c>
      <c r="U16" s="222">
        <f>AVERAGE(U5:U14)</f>
        <v>0.56010000000000004</v>
      </c>
      <c r="V16" s="171">
        <f>AVERAGE(V5:V14)</f>
        <v>1964.02</v>
      </c>
      <c r="W16" s="238">
        <f>AVERAGE(W5:W14)</f>
        <v>0.11630000000000003</v>
      </c>
      <c r="X16" s="231">
        <f>AVERAGE(X5:X14)</f>
        <v>0.11550000000000002</v>
      </c>
    </row>
    <row r="17" spans="1:24" hidden="1">
      <c r="C17" s="206" t="s">
        <v>21</v>
      </c>
      <c r="D17" s="203">
        <f>MEDIAN(D5:D14)</f>
        <v>0.65</v>
      </c>
      <c r="E17" s="203"/>
      <c r="F17" s="235">
        <f t="shared" ref="F17:Q17" si="5">MEDIAN(F5:F14)</f>
        <v>85</v>
      </c>
      <c r="G17" s="236">
        <f>MEDIAN(G5:G14)</f>
        <v>7.7499999999999999E-2</v>
      </c>
      <c r="H17" s="237">
        <f>MEDIAN(H5:H14)</f>
        <v>4.4999999999999998E-2</v>
      </c>
      <c r="I17" s="241">
        <f t="shared" ref="I17" si="6">MEDIAN(I5:I14)</f>
        <v>4.5999999999999999E-2</v>
      </c>
      <c r="J17" s="242"/>
      <c r="K17" s="242">
        <f>MEDIAN(K5:K14)</f>
        <v>3.2500000000000001E-2</v>
      </c>
      <c r="L17" s="242">
        <f t="shared" ref="L17:M17" si="7">MEDIAN(L5:L14)</f>
        <v>0.55000000000000004</v>
      </c>
      <c r="M17" s="242">
        <f t="shared" si="7"/>
        <v>0.56000000000000005</v>
      </c>
      <c r="N17" s="215">
        <f t="shared" si="5"/>
        <v>-6.5</v>
      </c>
      <c r="O17" s="216">
        <f t="shared" si="5"/>
        <v>0.54999999999999982</v>
      </c>
      <c r="P17" s="216">
        <f t="shared" si="5"/>
        <v>29.6</v>
      </c>
      <c r="Q17" s="216">
        <f t="shared" si="5"/>
        <v>14.5</v>
      </c>
      <c r="R17" s="216">
        <f>MEDIAN(R5:R14)</f>
        <v>6.5</v>
      </c>
      <c r="S17" s="219">
        <f>MEDIAN(S5:S14)</f>
        <v>10.25</v>
      </c>
      <c r="T17" s="241">
        <f t="shared" ref="T17" si="8">MEDIAN(T5:T14)</f>
        <v>0.44750000000000001</v>
      </c>
      <c r="U17" s="242">
        <f>MEDIAN(U5:U14)</f>
        <v>0.55249999999999999</v>
      </c>
      <c r="V17" s="172">
        <f>MEDIAN(V5:V14)</f>
        <v>1632.5</v>
      </c>
      <c r="W17" s="297">
        <f>MEDIAN(W5:W14)</f>
        <v>0.12</v>
      </c>
      <c r="X17" s="237">
        <f>MEDIAN(X5:X14)</f>
        <v>0.1125</v>
      </c>
    </row>
    <row r="18" spans="1:24" hidden="1">
      <c r="E18" s="203"/>
      <c r="F18" s="203"/>
      <c r="G18" s="220"/>
      <c r="H18" s="220"/>
      <c r="I18" s="221"/>
      <c r="J18" s="221"/>
      <c r="K18" s="222"/>
      <c r="L18" s="62"/>
      <c r="M18" s="61"/>
      <c r="N18" s="213"/>
      <c r="O18" s="213"/>
      <c r="P18" s="213"/>
      <c r="Q18" s="213"/>
      <c r="R18" s="213"/>
      <c r="S18" s="213"/>
      <c r="T18" s="223"/>
      <c r="U18" s="121"/>
      <c r="V18" s="118"/>
    </row>
    <row r="19" spans="1:24" hidden="1">
      <c r="E19" s="203"/>
      <c r="F19" s="203"/>
      <c r="G19" s="220"/>
      <c r="H19" s="220"/>
      <c r="I19" s="221"/>
      <c r="J19" s="221"/>
      <c r="K19" s="221"/>
      <c r="L19" s="62"/>
      <c r="M19" s="61"/>
      <c r="N19" s="209"/>
      <c r="O19" s="209"/>
      <c r="P19" s="209"/>
      <c r="Q19" s="209"/>
      <c r="R19" s="209"/>
      <c r="S19" s="209"/>
      <c r="T19" s="121"/>
      <c r="U19" s="121"/>
      <c r="V19" s="118"/>
    </row>
    <row r="20" spans="1:24">
      <c r="A20" s="86">
        <v>1</v>
      </c>
      <c r="B20" t="s">
        <v>182</v>
      </c>
      <c r="C20" s="26" t="s">
        <v>5</v>
      </c>
      <c r="D20" s="412">
        <v>0.75</v>
      </c>
      <c r="E20" s="667" t="s">
        <v>13</v>
      </c>
      <c r="F20" s="668">
        <v>70</v>
      </c>
      <c r="G20" s="669">
        <v>1.4999999999999999E-2</v>
      </c>
      <c r="H20" s="670">
        <v>0.09</v>
      </c>
      <c r="I20" s="239">
        <v>0.05</v>
      </c>
      <c r="J20" s="669">
        <v>6.5000000000000002E-2</v>
      </c>
      <c r="K20" s="669">
        <v>4.4999999999999998E-2</v>
      </c>
      <c r="L20" s="669">
        <v>0.75</v>
      </c>
      <c r="M20" s="671">
        <v>0.56000000000000005</v>
      </c>
      <c r="N20" s="672">
        <v>18.100000000000001</v>
      </c>
      <c r="O20" s="673">
        <v>38.299999999999997</v>
      </c>
      <c r="P20" s="673">
        <v>68.599999999999994</v>
      </c>
      <c r="Q20" s="673">
        <v>15</v>
      </c>
      <c r="R20" s="673">
        <v>9</v>
      </c>
      <c r="S20" s="188">
        <f>(+Q20+R20)/2</f>
        <v>12</v>
      </c>
      <c r="T20" s="674">
        <f>1-U20</f>
        <v>0.495</v>
      </c>
      <c r="U20" s="669">
        <v>0.505</v>
      </c>
      <c r="V20" s="675">
        <v>6716</v>
      </c>
      <c r="W20" s="674">
        <v>0.08</v>
      </c>
      <c r="X20" s="671">
        <v>0.115</v>
      </c>
    </row>
    <row r="21" spans="1:24">
      <c r="A21" s="86">
        <v>2</v>
      </c>
      <c r="B21" t="s">
        <v>8</v>
      </c>
      <c r="C21" s="26" t="s">
        <v>7</v>
      </c>
      <c r="D21" s="412">
        <v>0.7</v>
      </c>
      <c r="E21" s="667" t="s">
        <v>6</v>
      </c>
      <c r="F21" s="676">
        <v>90</v>
      </c>
      <c r="G21" s="677">
        <v>0.03</v>
      </c>
      <c r="H21" s="670">
        <v>5.5E-2</v>
      </c>
      <c r="I21" s="239">
        <v>1.4999999999999999E-2</v>
      </c>
      <c r="J21" s="677">
        <v>1.4999999999999999E-2</v>
      </c>
      <c r="K21" s="677">
        <v>1.4999999999999999E-2</v>
      </c>
      <c r="L21" s="677">
        <v>0.65</v>
      </c>
      <c r="M21" s="678">
        <v>0.5</v>
      </c>
      <c r="N21" s="679">
        <v>28</v>
      </c>
      <c r="O21" s="680">
        <v>72.400000000000006</v>
      </c>
      <c r="P21" s="680">
        <v>109.2</v>
      </c>
      <c r="Q21" s="680">
        <v>8</v>
      </c>
      <c r="R21" s="680">
        <v>0</v>
      </c>
      <c r="S21" s="402">
        <f t="shared" ref="S21:S26" si="9">(+Q21+R21)/2</f>
        <v>4</v>
      </c>
      <c r="T21" s="681">
        <f t="shared" ref="T21:T26" si="10">1-U21</f>
        <v>0.45299999999999996</v>
      </c>
      <c r="U21" s="677">
        <v>0.54700000000000004</v>
      </c>
      <c r="V21" s="682">
        <v>4315.5</v>
      </c>
      <c r="W21" s="681">
        <v>8.1000000000000003E-2</v>
      </c>
      <c r="X21" s="678">
        <v>8.5000000000000006E-2</v>
      </c>
    </row>
    <row r="22" spans="1:24">
      <c r="A22" s="86">
        <v>3</v>
      </c>
      <c r="B22" t="s">
        <v>11</v>
      </c>
      <c r="C22" s="26" t="s">
        <v>10</v>
      </c>
      <c r="D22" s="412">
        <v>0.6</v>
      </c>
      <c r="E22" s="667" t="s">
        <v>6</v>
      </c>
      <c r="F22" s="676">
        <v>85</v>
      </c>
      <c r="G22" s="677">
        <v>0.04</v>
      </c>
      <c r="H22" s="670">
        <v>0.06</v>
      </c>
      <c r="I22" s="239">
        <v>0.02</v>
      </c>
      <c r="J22" s="677">
        <v>0.03</v>
      </c>
      <c r="K22" s="677">
        <v>3.5000000000000003E-2</v>
      </c>
      <c r="L22" s="677">
        <v>0.6</v>
      </c>
      <c r="M22" s="678">
        <v>0.52</v>
      </c>
      <c r="N22" s="679">
        <v>14.2</v>
      </c>
      <c r="O22" s="680">
        <v>48.9</v>
      </c>
      <c r="P22" s="680">
        <v>33.799999999999997</v>
      </c>
      <c r="Q22" s="680">
        <v>15</v>
      </c>
      <c r="R22" s="680">
        <v>7</v>
      </c>
      <c r="S22" s="402">
        <f t="shared" si="9"/>
        <v>11</v>
      </c>
      <c r="T22" s="681">
        <f t="shared" si="10"/>
        <v>0.36</v>
      </c>
      <c r="U22" s="677">
        <v>0.64</v>
      </c>
      <c r="V22" s="682">
        <v>941</v>
      </c>
      <c r="W22" s="681">
        <v>0.106</v>
      </c>
      <c r="X22" s="678">
        <v>0.09</v>
      </c>
    </row>
    <row r="23" spans="1:24">
      <c r="A23" s="86">
        <v>4</v>
      </c>
      <c r="B23" t="s">
        <v>15</v>
      </c>
      <c r="C23" s="26" t="s">
        <v>154</v>
      </c>
      <c r="D23" s="412">
        <v>0.6</v>
      </c>
      <c r="E23" s="667" t="s">
        <v>13</v>
      </c>
      <c r="F23" s="676">
        <v>95</v>
      </c>
      <c r="G23" s="677">
        <v>5.0000000000000001E-3</v>
      </c>
      <c r="H23" s="670">
        <v>4.4999999999999998E-2</v>
      </c>
      <c r="I23" s="239">
        <v>3.5000000000000003E-2</v>
      </c>
      <c r="J23" s="677">
        <v>4.4999999999999998E-2</v>
      </c>
      <c r="K23" s="677">
        <v>2.5000000000000001E-2</v>
      </c>
      <c r="L23" s="677">
        <v>0.8</v>
      </c>
      <c r="M23" s="678">
        <v>0.63</v>
      </c>
      <c r="N23" s="679">
        <v>-7</v>
      </c>
      <c r="O23" s="680">
        <v>3</v>
      </c>
      <c r="P23" s="680">
        <v>15.9</v>
      </c>
      <c r="Q23" s="680">
        <v>13</v>
      </c>
      <c r="R23" s="680">
        <v>8</v>
      </c>
      <c r="S23" s="402">
        <f t="shared" si="9"/>
        <v>10.5</v>
      </c>
      <c r="T23" s="681">
        <f t="shared" si="10"/>
        <v>0.48499999999999999</v>
      </c>
      <c r="U23" s="677">
        <v>0.51500000000000001</v>
      </c>
      <c r="V23" s="682">
        <v>1424.7</v>
      </c>
      <c r="W23" s="681">
        <v>8.2000000000000003E-2</v>
      </c>
      <c r="X23" s="678">
        <v>0.1</v>
      </c>
    </row>
    <row r="24" spans="1:24">
      <c r="A24" s="86">
        <v>5</v>
      </c>
      <c r="B24" t="s">
        <v>17</v>
      </c>
      <c r="C24" s="26" t="s">
        <v>16</v>
      </c>
      <c r="D24" s="412">
        <v>0.7</v>
      </c>
      <c r="E24" s="667" t="s">
        <v>6</v>
      </c>
      <c r="F24" s="676">
        <v>95</v>
      </c>
      <c r="G24" s="677">
        <v>3.5000000000000003E-2</v>
      </c>
      <c r="H24" s="670">
        <v>4.4999999999999998E-2</v>
      </c>
      <c r="I24" s="239">
        <v>0.05</v>
      </c>
      <c r="J24" s="677">
        <v>5.5E-2</v>
      </c>
      <c r="K24" s="677">
        <v>0.03</v>
      </c>
      <c r="L24" s="677">
        <v>0.72</v>
      </c>
      <c r="M24" s="678">
        <v>0.68</v>
      </c>
      <c r="N24" s="679">
        <v>11.8</v>
      </c>
      <c r="O24" s="680">
        <v>44.4</v>
      </c>
      <c r="P24" s="680">
        <v>53.5</v>
      </c>
      <c r="Q24" s="680">
        <v>8</v>
      </c>
      <c r="R24" s="680">
        <v>2</v>
      </c>
      <c r="S24" s="402">
        <f t="shared" si="9"/>
        <v>5</v>
      </c>
      <c r="T24" s="681">
        <f t="shared" si="10"/>
        <v>0.48699999999999999</v>
      </c>
      <c r="U24" s="677">
        <v>0.51300000000000001</v>
      </c>
      <c r="V24" s="682">
        <v>2002</v>
      </c>
      <c r="W24" s="681">
        <v>0.11700000000000001</v>
      </c>
      <c r="X24" s="678">
        <v>0.115</v>
      </c>
    </row>
    <row r="25" spans="1:24">
      <c r="A25" s="86">
        <v>6</v>
      </c>
      <c r="B25" t="s">
        <v>19</v>
      </c>
      <c r="C25" s="26" t="s">
        <v>234</v>
      </c>
      <c r="D25" s="412">
        <v>0.65</v>
      </c>
      <c r="E25" s="667" t="s">
        <v>6</v>
      </c>
      <c r="F25" s="676">
        <v>90</v>
      </c>
      <c r="G25" s="677">
        <v>6.5000000000000002E-2</v>
      </c>
      <c r="H25" s="670">
        <v>7.4999999999999997E-2</v>
      </c>
      <c r="I25" s="239">
        <v>7.4999999999999997E-2</v>
      </c>
      <c r="J25" s="677">
        <v>0.1</v>
      </c>
      <c r="K25" s="677">
        <v>8.5000000000000006E-2</v>
      </c>
      <c r="L25" s="677">
        <v>0.55000000000000004</v>
      </c>
      <c r="M25" s="678">
        <v>0.55000000000000004</v>
      </c>
      <c r="N25" s="679">
        <v>19.399999999999999</v>
      </c>
      <c r="O25" s="680">
        <v>43.1</v>
      </c>
      <c r="P25" s="680">
        <v>91.6</v>
      </c>
      <c r="Q25" s="680">
        <v>8</v>
      </c>
      <c r="R25" s="680">
        <v>3</v>
      </c>
      <c r="S25" s="402">
        <f t="shared" si="9"/>
        <v>5.5</v>
      </c>
      <c r="T25" s="681">
        <f t="shared" si="10"/>
        <v>0.44999999999999996</v>
      </c>
      <c r="U25" s="677">
        <v>0.55000000000000004</v>
      </c>
      <c r="V25" s="682">
        <v>1337.6</v>
      </c>
      <c r="W25" s="681">
        <v>0.127</v>
      </c>
      <c r="X25" s="678">
        <v>0.14499999999999999</v>
      </c>
    </row>
    <row r="26" spans="1:24">
      <c r="A26" s="86">
        <v>7</v>
      </c>
      <c r="B26" t="s">
        <v>139</v>
      </c>
      <c r="C26" s="26" t="s">
        <v>138</v>
      </c>
      <c r="D26" s="412">
        <v>0.75</v>
      </c>
      <c r="E26" s="667" t="s">
        <v>9</v>
      </c>
      <c r="F26" s="676">
        <v>75</v>
      </c>
      <c r="G26" s="677">
        <v>6.5000000000000002E-2</v>
      </c>
      <c r="H26" s="670">
        <v>0.08</v>
      </c>
      <c r="I26" s="239">
        <v>0.02</v>
      </c>
      <c r="J26" s="677">
        <v>0.04</v>
      </c>
      <c r="K26" s="677">
        <v>7.0000000000000007E-2</v>
      </c>
      <c r="L26" s="677">
        <v>0.41</v>
      </c>
      <c r="M26" s="678">
        <v>0.41</v>
      </c>
      <c r="N26" s="679">
        <v>14.2</v>
      </c>
      <c r="O26" s="680">
        <v>67.7</v>
      </c>
      <c r="P26" s="680">
        <v>100.6</v>
      </c>
      <c r="Q26" s="680">
        <v>13</v>
      </c>
      <c r="R26" s="680">
        <v>5</v>
      </c>
      <c r="S26" s="402">
        <f t="shared" si="9"/>
        <v>9</v>
      </c>
      <c r="T26" s="681">
        <f t="shared" si="10"/>
        <v>0.49199999999999999</v>
      </c>
      <c r="U26" s="677">
        <v>0.50800000000000001</v>
      </c>
      <c r="V26" s="682">
        <v>2579</v>
      </c>
      <c r="W26" s="681">
        <v>0.10199999999999999</v>
      </c>
      <c r="X26" s="678">
        <v>0.11</v>
      </c>
    </row>
    <row r="27" spans="1:24">
      <c r="A27" s="86"/>
      <c r="C27" s="26"/>
      <c r="D27" s="276"/>
      <c r="E27" s="108"/>
      <c r="F27" s="310"/>
      <c r="G27" s="312"/>
      <c r="H27" s="301"/>
      <c r="I27" s="304"/>
      <c r="J27" s="311"/>
      <c r="K27" s="311"/>
      <c r="L27" s="311"/>
      <c r="M27" s="305"/>
      <c r="N27" s="217"/>
      <c r="O27" s="218"/>
      <c r="P27" s="218"/>
      <c r="Q27" s="218"/>
      <c r="R27" s="218"/>
      <c r="S27" s="227"/>
      <c r="T27" s="240"/>
      <c r="U27" s="311"/>
      <c r="V27" s="313"/>
      <c r="W27" s="304"/>
      <c r="X27" s="305"/>
    </row>
    <row r="28" spans="1:24">
      <c r="A28" s="86"/>
      <c r="C28" s="26" t="str">
        <f>+C16</f>
        <v>Mean</v>
      </c>
      <c r="D28" s="276">
        <f>AVERAGE(D20:D26)</f>
        <v>0.6785714285714286</v>
      </c>
      <c r="E28" s="108"/>
      <c r="F28" s="472">
        <f t="shared" ref="F28:X28" si="11">AVERAGE(F20:F26)</f>
        <v>85.714285714285708</v>
      </c>
      <c r="G28" s="473">
        <f t="shared" si="11"/>
        <v>3.6428571428571428E-2</v>
      </c>
      <c r="H28" s="474">
        <f t="shared" si="11"/>
        <v>6.4285714285714293E-2</v>
      </c>
      <c r="I28" s="475">
        <f t="shared" si="11"/>
        <v>3.785714285714286E-2</v>
      </c>
      <c r="J28" s="473">
        <f t="shared" si="11"/>
        <v>4.9999999999999996E-2</v>
      </c>
      <c r="K28" s="473">
        <f t="shared" si="11"/>
        <v>4.3571428571428573E-2</v>
      </c>
      <c r="L28" s="473">
        <f t="shared" si="11"/>
        <v>0.6399999999999999</v>
      </c>
      <c r="M28" s="474">
        <f t="shared" si="11"/>
        <v>0.55000000000000004</v>
      </c>
      <c r="N28" s="476">
        <f t="shared" si="11"/>
        <v>14.1</v>
      </c>
      <c r="O28" s="477">
        <f t="shared" si="11"/>
        <v>45.4</v>
      </c>
      <c r="P28" s="477">
        <f t="shared" si="11"/>
        <v>67.600000000000009</v>
      </c>
      <c r="Q28" s="477">
        <f t="shared" si="11"/>
        <v>11.428571428571429</v>
      </c>
      <c r="R28" s="477">
        <f t="shared" si="11"/>
        <v>4.8571428571428568</v>
      </c>
      <c r="S28" s="478">
        <f t="shared" si="11"/>
        <v>8.1428571428571423</v>
      </c>
      <c r="T28" s="475">
        <f t="shared" si="11"/>
        <v>0.46028571428571424</v>
      </c>
      <c r="U28" s="473">
        <f t="shared" si="11"/>
        <v>0.53971428571428581</v>
      </c>
      <c r="V28" s="479">
        <f t="shared" si="11"/>
        <v>2759.4</v>
      </c>
      <c r="W28" s="475">
        <f t="shared" si="11"/>
        <v>9.9285714285714283E-2</v>
      </c>
      <c r="X28" s="474">
        <f t="shared" si="11"/>
        <v>0.10857142857142857</v>
      </c>
    </row>
    <row r="29" spans="1:24">
      <c r="A29" s="86"/>
      <c r="C29" s="26" t="str">
        <f>+C17</f>
        <v>Median</v>
      </c>
      <c r="D29" s="276">
        <f>MEDIAN(D20:D26)</f>
        <v>0.7</v>
      </c>
      <c r="E29" s="203"/>
      <c r="F29" s="480">
        <f t="shared" ref="F29:X29" si="12">MEDIAN(F20:F26)</f>
        <v>90</v>
      </c>
      <c r="G29" s="481">
        <f t="shared" si="12"/>
        <v>3.5000000000000003E-2</v>
      </c>
      <c r="H29" s="482">
        <f t="shared" si="12"/>
        <v>0.06</v>
      </c>
      <c r="I29" s="483">
        <f t="shared" si="12"/>
        <v>3.5000000000000003E-2</v>
      </c>
      <c r="J29" s="481">
        <f t="shared" si="12"/>
        <v>4.4999999999999998E-2</v>
      </c>
      <c r="K29" s="481">
        <f t="shared" si="12"/>
        <v>3.5000000000000003E-2</v>
      </c>
      <c r="L29" s="481">
        <f t="shared" si="12"/>
        <v>0.65</v>
      </c>
      <c r="M29" s="482">
        <f t="shared" si="12"/>
        <v>0.55000000000000004</v>
      </c>
      <c r="N29" s="484">
        <f t="shared" si="12"/>
        <v>14.2</v>
      </c>
      <c r="O29" s="485">
        <f t="shared" si="12"/>
        <v>44.4</v>
      </c>
      <c r="P29" s="485">
        <f t="shared" si="12"/>
        <v>68.599999999999994</v>
      </c>
      <c r="Q29" s="485">
        <f t="shared" si="12"/>
        <v>13</v>
      </c>
      <c r="R29" s="485">
        <f t="shared" si="12"/>
        <v>5</v>
      </c>
      <c r="S29" s="486">
        <f t="shared" si="12"/>
        <v>9</v>
      </c>
      <c r="T29" s="483">
        <f t="shared" si="12"/>
        <v>0.48499999999999999</v>
      </c>
      <c r="U29" s="481">
        <f t="shared" si="12"/>
        <v>0.51500000000000001</v>
      </c>
      <c r="V29" s="487">
        <f t="shared" si="12"/>
        <v>2002</v>
      </c>
      <c r="W29" s="483">
        <f t="shared" si="12"/>
        <v>0.10199999999999999</v>
      </c>
      <c r="X29" s="482">
        <f t="shared" si="12"/>
        <v>0.11</v>
      </c>
    </row>
    <row r="30" spans="1:24">
      <c r="G30" s="121"/>
      <c r="H30" s="121"/>
      <c r="I30" s="121"/>
      <c r="J30" s="121"/>
      <c r="K30" s="121"/>
      <c r="L30" s="245"/>
      <c r="M30" s="246"/>
      <c r="N30" s="36"/>
      <c r="O30" s="36"/>
      <c r="P30" s="36"/>
      <c r="Q30" s="36"/>
      <c r="R30" s="36"/>
      <c r="S30" s="36"/>
      <c r="T30" s="223"/>
      <c r="U30" s="121"/>
      <c r="V30" s="118"/>
    </row>
    <row r="31" spans="1:24" ht="14.25">
      <c r="C31" s="306" t="s">
        <v>79</v>
      </c>
      <c r="D31" s="306"/>
      <c r="E31" s="306"/>
      <c r="F31" s="306"/>
      <c r="G31" s="307"/>
      <c r="H31" s="307"/>
      <c r="I31" s="306"/>
      <c r="J31" s="306"/>
      <c r="K31" s="306"/>
      <c r="L31" s="308">
        <v>0.68400000000000005</v>
      </c>
      <c r="M31" s="307">
        <v>0.67979999999999996</v>
      </c>
      <c r="N31" s="306"/>
      <c r="O31" s="306"/>
      <c r="P31" s="306"/>
      <c r="Q31" s="306"/>
      <c r="R31" s="306"/>
      <c r="S31" s="306"/>
      <c r="T31" s="307">
        <v>0.49</v>
      </c>
      <c r="U31" s="307">
        <v>0.51</v>
      </c>
      <c r="V31" s="309">
        <v>754.6</v>
      </c>
      <c r="W31" s="308">
        <v>0.1024</v>
      </c>
      <c r="X31" s="120"/>
    </row>
    <row r="32" spans="1:24">
      <c r="G32" s="124"/>
      <c r="H32" s="124"/>
    </row>
    <row r="33" spans="5:15">
      <c r="G33" s="124"/>
      <c r="H33" s="124"/>
    </row>
    <row r="34" spans="5:15">
      <c r="G34" s="124"/>
      <c r="H34" s="124"/>
      <c r="I34" s="586"/>
      <c r="J34" s="586"/>
      <c r="K34" s="586"/>
      <c r="L34" s="586"/>
      <c r="M34" s="586"/>
      <c r="N34" s="586"/>
      <c r="O34" s="586"/>
    </row>
    <row r="35" spans="5:15">
      <c r="G35" s="124"/>
      <c r="H35" s="124"/>
    </row>
    <row r="36" spans="5:15">
      <c r="G36" s="124"/>
      <c r="H36" s="124"/>
    </row>
    <row r="37" spans="5:15">
      <c r="G37" s="124"/>
      <c r="H37" s="124"/>
    </row>
    <row r="41" spans="5:15">
      <c r="E41" t="s">
        <v>345</v>
      </c>
    </row>
  </sheetData>
  <mergeCells count="6">
    <mergeCell ref="A1:X1"/>
    <mergeCell ref="I3:M3"/>
    <mergeCell ref="T3:V3"/>
    <mergeCell ref="N3:S3"/>
    <mergeCell ref="W3:X3"/>
    <mergeCell ref="F3:H3"/>
  </mergeCells>
  <pageMargins left="0.7" right="0.7" top="0.75" bottom="0.75" header="0.3" footer="0.3"/>
  <pageSetup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H19" sqref="H19"/>
    </sheetView>
  </sheetViews>
  <sheetFormatPr defaultRowHeight="12.75"/>
  <cols>
    <col min="1" max="1" width="22.83203125" customWidth="1"/>
    <col min="2" max="11" width="12.33203125" customWidth="1"/>
    <col min="12" max="12" width="13.1640625" customWidth="1"/>
  </cols>
  <sheetData>
    <row r="1" spans="1:22">
      <c r="H1" s="836"/>
      <c r="I1" s="836"/>
      <c r="J1" s="836"/>
      <c r="L1" s="5" t="s">
        <v>267</v>
      </c>
    </row>
    <row r="2" spans="1:22">
      <c r="K2" s="66" t="s">
        <v>209</v>
      </c>
      <c r="L2" s="5" t="s">
        <v>179</v>
      </c>
    </row>
    <row r="3" spans="1:22">
      <c r="B3" s="142">
        <v>2004</v>
      </c>
      <c r="C3" s="142">
        <v>2005</v>
      </c>
      <c r="D3" s="142">
        <v>2006</v>
      </c>
      <c r="E3" s="142">
        <v>2007</v>
      </c>
      <c r="F3" s="142">
        <v>2008</v>
      </c>
      <c r="G3" s="142">
        <v>2009</v>
      </c>
      <c r="H3" s="399">
        <v>2010</v>
      </c>
      <c r="I3" s="142">
        <f>+H3+1</f>
        <v>2011</v>
      </c>
      <c r="J3" s="142">
        <f>+I3+1</f>
        <v>2012</v>
      </c>
      <c r="K3" s="5" t="s">
        <v>210</v>
      </c>
      <c r="L3" s="5" t="s">
        <v>125</v>
      </c>
    </row>
    <row r="4" spans="1:22">
      <c r="B4" s="140" t="s">
        <v>23</v>
      </c>
      <c r="C4" s="140" t="s">
        <v>23</v>
      </c>
      <c r="D4" s="140" t="s">
        <v>23</v>
      </c>
      <c r="E4" s="140" t="s">
        <v>23</v>
      </c>
      <c r="F4" s="140" t="s">
        <v>23</v>
      </c>
      <c r="G4" s="140" t="s">
        <v>23</v>
      </c>
      <c r="H4" s="140" t="str">
        <f>+G4</f>
        <v>Dividend</v>
      </c>
      <c r="I4" s="140" t="str">
        <f t="shared" ref="I4:J4" si="0">+H4</f>
        <v>Dividend</v>
      </c>
      <c r="J4" s="140" t="str">
        <f t="shared" si="0"/>
        <v>Dividend</v>
      </c>
      <c r="K4" s="140" t="s">
        <v>208</v>
      </c>
      <c r="L4" s="279" t="s">
        <v>208</v>
      </c>
      <c r="M4" s="459">
        <v>2005</v>
      </c>
      <c r="N4" s="459">
        <f>+M4+1</f>
        <v>2006</v>
      </c>
      <c r="O4" s="459">
        <f t="shared" ref="O4:T4" si="1">+N4+1</f>
        <v>2007</v>
      </c>
      <c r="P4" s="459">
        <f t="shared" si="1"/>
        <v>2008</v>
      </c>
      <c r="Q4" s="459">
        <f t="shared" si="1"/>
        <v>2009</v>
      </c>
      <c r="R4" s="459">
        <f t="shared" si="1"/>
        <v>2010</v>
      </c>
      <c r="S4" s="459">
        <f t="shared" si="1"/>
        <v>2011</v>
      </c>
      <c r="T4" s="459">
        <f t="shared" si="1"/>
        <v>2012</v>
      </c>
    </row>
    <row r="5" spans="1:22">
      <c r="A5" s="36" t="s">
        <v>5</v>
      </c>
      <c r="B5">
        <v>1.1499999999999999</v>
      </c>
      <c r="C5">
        <f>(0.31*3)+0.37</f>
        <v>1.2999999999999998</v>
      </c>
      <c r="D5">
        <f>0.37*4</f>
        <v>1.48</v>
      </c>
      <c r="E5">
        <f>0.41*4</f>
        <v>1.64</v>
      </c>
      <c r="F5">
        <f>0.42*4</f>
        <v>1.68</v>
      </c>
      <c r="G5">
        <f>0.43*4</f>
        <v>1.72</v>
      </c>
      <c r="H5" s="94">
        <f>0.44*4</f>
        <v>1.76</v>
      </c>
      <c r="I5" s="94">
        <f>(0.45*4)+0.099</f>
        <v>1.899</v>
      </c>
      <c r="J5" s="94">
        <f>0.361+0.46+0.46+0.46</f>
        <v>1.7409999999999999</v>
      </c>
      <c r="K5" s="102">
        <f>RATE(5,,-E5,J5)</f>
        <v>1.2024402574019289E-2</v>
      </c>
      <c r="L5" s="94">
        <f>+'Value Line'!J20*100</f>
        <v>6.5</v>
      </c>
      <c r="M5" s="94">
        <f>+C5-B5</f>
        <v>0.14999999999999991</v>
      </c>
      <c r="N5">
        <f t="shared" ref="N5:Q5" si="2">+D5-C5</f>
        <v>0.18000000000000016</v>
      </c>
      <c r="O5">
        <f t="shared" si="2"/>
        <v>0.15999999999999992</v>
      </c>
      <c r="P5">
        <f t="shared" si="2"/>
        <v>4.0000000000000036E-2</v>
      </c>
      <c r="Q5">
        <f t="shared" si="2"/>
        <v>4.0000000000000036E-2</v>
      </c>
      <c r="R5">
        <f t="shared" ref="R5:R11" si="3">+H5-G5</f>
        <v>4.0000000000000036E-2</v>
      </c>
      <c r="S5">
        <f t="shared" ref="S5:S11" si="4">+I5-H5</f>
        <v>0.13900000000000001</v>
      </c>
      <c r="T5">
        <f t="shared" ref="T5:T11" si="5">+J5-I5</f>
        <v>-0.15800000000000014</v>
      </c>
      <c r="V5">
        <v>0.02</v>
      </c>
    </row>
    <row r="6" spans="1:22">
      <c r="A6" s="36" t="s">
        <v>7</v>
      </c>
      <c r="B6">
        <v>1.2250000000000001</v>
      </c>
      <c r="C6">
        <v>1.2450000000000001</v>
      </c>
      <c r="D6">
        <v>1.2649999999999999</v>
      </c>
      <c r="E6">
        <v>1.2849999999999999</v>
      </c>
      <c r="F6">
        <v>1.3</v>
      </c>
      <c r="G6">
        <v>1.32</v>
      </c>
      <c r="H6" s="94">
        <f>0.335+0.335+0.335+0.34</f>
        <v>1.3450000000000002</v>
      </c>
      <c r="I6" s="94">
        <f>0.34+0.34+0.34+0.345</f>
        <v>1.365</v>
      </c>
      <c r="J6" s="94">
        <f>0.345+0.345+0.345+0.35</f>
        <v>1.3849999999999998</v>
      </c>
      <c r="K6" s="102">
        <f>RATE(5,,-E6,J6)</f>
        <v>1.5101171883049502E-2</v>
      </c>
      <c r="L6" s="94">
        <f>+'Value Line'!J21*100</f>
        <v>1.5</v>
      </c>
      <c r="M6" s="94">
        <f t="shared" ref="M6:M11" si="6">+C6-B6</f>
        <v>2.0000000000000018E-2</v>
      </c>
      <c r="N6">
        <f t="shared" ref="N6:N11" si="7">+D6-C6</f>
        <v>1.9999999999999796E-2</v>
      </c>
      <c r="O6">
        <f t="shared" ref="O6:O11" si="8">+E6-D6</f>
        <v>2.0000000000000018E-2</v>
      </c>
      <c r="P6">
        <f t="shared" ref="P6:P11" si="9">+F6-E6</f>
        <v>1.5000000000000124E-2</v>
      </c>
      <c r="Q6">
        <f t="shared" ref="Q6:Q11" si="10">+G6-F6</f>
        <v>2.0000000000000018E-2</v>
      </c>
      <c r="R6">
        <f t="shared" si="3"/>
        <v>2.5000000000000133E-2</v>
      </c>
      <c r="S6">
        <f t="shared" si="4"/>
        <v>1.9999999999999796E-2</v>
      </c>
      <c r="T6">
        <f t="shared" si="5"/>
        <v>1.9999999999999796E-2</v>
      </c>
      <c r="V6">
        <f>AVERAGE(P6:T6)</f>
        <v>1.9999999999999973E-2</v>
      </c>
    </row>
    <row r="7" spans="1:22">
      <c r="A7" s="36" t="s">
        <v>10</v>
      </c>
      <c r="B7">
        <v>1.36</v>
      </c>
      <c r="C7">
        <v>1.38</v>
      </c>
      <c r="D7">
        <v>1.43</v>
      </c>
      <c r="E7">
        <v>1.47</v>
      </c>
      <c r="F7">
        <v>1.51</v>
      </c>
      <c r="G7">
        <v>1.55</v>
      </c>
      <c r="H7" s="94">
        <f>0.395+0.395+0.395+0.405</f>
        <v>1.59</v>
      </c>
      <c r="I7" s="94">
        <f>(0.405*4)+0.01</f>
        <v>1.6300000000000001</v>
      </c>
      <c r="J7" s="94">
        <f>0.415+0.415+0.415+0.425</f>
        <v>1.67</v>
      </c>
      <c r="K7" s="102">
        <f t="shared" ref="K7:K11" si="11">RATE(5,,-E7,J7)</f>
        <v>2.5840467743610377E-2</v>
      </c>
      <c r="L7" s="94">
        <f>+'Value Line'!J22*100</f>
        <v>3</v>
      </c>
      <c r="M7" s="94">
        <f t="shared" si="6"/>
        <v>1.9999999999999796E-2</v>
      </c>
      <c r="N7">
        <f t="shared" si="7"/>
        <v>5.0000000000000044E-2</v>
      </c>
      <c r="O7">
        <f t="shared" si="8"/>
        <v>4.0000000000000036E-2</v>
      </c>
      <c r="P7">
        <f t="shared" si="9"/>
        <v>4.0000000000000036E-2</v>
      </c>
      <c r="Q7">
        <f t="shared" si="10"/>
        <v>4.0000000000000036E-2</v>
      </c>
      <c r="R7">
        <f t="shared" si="3"/>
        <v>4.0000000000000036E-2</v>
      </c>
      <c r="S7">
        <f t="shared" si="4"/>
        <v>4.0000000000000036E-2</v>
      </c>
      <c r="T7">
        <f t="shared" si="5"/>
        <v>3.9999999999999813E-2</v>
      </c>
      <c r="V7">
        <f t="shared" ref="V7:V9" si="12">AVERAGE(P7:T7)</f>
        <v>3.9999999999999994E-2</v>
      </c>
    </row>
    <row r="8" spans="1:22">
      <c r="A8" s="36" t="s">
        <v>14</v>
      </c>
      <c r="B8">
        <v>1.3</v>
      </c>
      <c r="C8">
        <v>1.32</v>
      </c>
      <c r="D8">
        <v>1.39</v>
      </c>
      <c r="E8">
        <v>1.44</v>
      </c>
      <c r="F8">
        <v>1.52</v>
      </c>
      <c r="G8">
        <v>1.6</v>
      </c>
      <c r="H8" s="94">
        <f>0.415+0.415+0.415+0.435</f>
        <v>1.68</v>
      </c>
      <c r="I8" s="94">
        <f>0.435+0.435+0.435+0.445</f>
        <v>1.75</v>
      </c>
      <c r="J8" s="94">
        <f>0.445+0.445+0.445+0.455</f>
        <v>1.79</v>
      </c>
      <c r="K8" s="102">
        <f t="shared" si="11"/>
        <v>4.4475140400485329E-2</v>
      </c>
      <c r="L8" s="94">
        <f>+'Value Line'!J23*100</f>
        <v>4.5</v>
      </c>
      <c r="M8" s="94">
        <f t="shared" si="6"/>
        <v>2.0000000000000018E-2</v>
      </c>
      <c r="N8">
        <f t="shared" si="7"/>
        <v>6.999999999999984E-2</v>
      </c>
      <c r="O8">
        <f t="shared" si="8"/>
        <v>5.0000000000000044E-2</v>
      </c>
      <c r="P8">
        <f t="shared" si="9"/>
        <v>8.0000000000000071E-2</v>
      </c>
      <c r="Q8">
        <f t="shared" si="10"/>
        <v>8.0000000000000071E-2</v>
      </c>
      <c r="R8">
        <f t="shared" si="3"/>
        <v>7.9999999999999849E-2</v>
      </c>
      <c r="S8">
        <f t="shared" si="4"/>
        <v>7.0000000000000062E-2</v>
      </c>
      <c r="T8">
        <f t="shared" si="5"/>
        <v>4.0000000000000036E-2</v>
      </c>
      <c r="V8">
        <v>0.05</v>
      </c>
    </row>
    <row r="9" spans="1:22">
      <c r="A9" s="36" t="s">
        <v>16</v>
      </c>
      <c r="B9">
        <v>0.86</v>
      </c>
      <c r="C9">
        <v>0.92</v>
      </c>
      <c r="D9">
        <v>0.96</v>
      </c>
      <c r="E9">
        <v>1</v>
      </c>
      <c r="F9">
        <v>1.04</v>
      </c>
      <c r="G9">
        <v>1.08</v>
      </c>
      <c r="H9" s="94">
        <f>0.28*4</f>
        <v>1.1200000000000001</v>
      </c>
      <c r="I9" s="94">
        <v>1.1499999999999999</v>
      </c>
      <c r="J9" s="94">
        <f>0.3*4</f>
        <v>1.2</v>
      </c>
      <c r="K9" s="102">
        <f t="shared" si="11"/>
        <v>3.7137289336969921E-2</v>
      </c>
      <c r="L9" s="94">
        <f>+'Value Line'!J24*100</f>
        <v>5.5</v>
      </c>
      <c r="M9" s="94">
        <f t="shared" si="6"/>
        <v>6.0000000000000053E-2</v>
      </c>
      <c r="N9">
        <f t="shared" si="7"/>
        <v>3.9999999999999925E-2</v>
      </c>
      <c r="O9">
        <f t="shared" si="8"/>
        <v>4.0000000000000036E-2</v>
      </c>
      <c r="P9">
        <f t="shared" si="9"/>
        <v>4.0000000000000036E-2</v>
      </c>
      <c r="Q9">
        <f t="shared" si="10"/>
        <v>4.0000000000000036E-2</v>
      </c>
      <c r="R9">
        <f t="shared" si="3"/>
        <v>4.0000000000000036E-2</v>
      </c>
      <c r="S9">
        <f t="shared" si="4"/>
        <v>2.9999999999999805E-2</v>
      </c>
      <c r="T9">
        <f t="shared" si="5"/>
        <v>5.0000000000000044E-2</v>
      </c>
      <c r="V9">
        <f t="shared" si="12"/>
        <v>3.9999999999999994E-2</v>
      </c>
    </row>
    <row r="10" spans="1:22">
      <c r="A10" s="36" t="s">
        <v>18</v>
      </c>
      <c r="B10">
        <v>0.82</v>
      </c>
      <c r="C10">
        <v>0.86299999999999999</v>
      </c>
      <c r="D10">
        <v>0.92</v>
      </c>
      <c r="E10">
        <v>1.0049999999999999</v>
      </c>
      <c r="F10">
        <v>1.1080000000000001</v>
      </c>
      <c r="G10">
        <v>1.224</v>
      </c>
      <c r="H10" s="94">
        <f>0.33+0.33+0.33+0.365</f>
        <v>1.355</v>
      </c>
      <c r="I10" s="94">
        <f>0.365+0.365+0.365+0.403</f>
        <v>1.498</v>
      </c>
      <c r="J10" s="94">
        <f>0.403+0.403+0.403+0.443</f>
        <v>1.6520000000000001</v>
      </c>
      <c r="K10" s="102">
        <f t="shared" si="11"/>
        <v>0.10450782302394852</v>
      </c>
      <c r="L10" s="94">
        <f>+'Value Line'!J25*100</f>
        <v>10</v>
      </c>
      <c r="M10" s="94">
        <f t="shared" si="6"/>
        <v>4.3000000000000038E-2</v>
      </c>
      <c r="N10">
        <f t="shared" si="7"/>
        <v>5.7000000000000051E-2</v>
      </c>
      <c r="O10">
        <f t="shared" si="8"/>
        <v>8.4999999999999853E-2</v>
      </c>
      <c r="P10">
        <f t="shared" si="9"/>
        <v>0.1030000000000002</v>
      </c>
      <c r="Q10">
        <f t="shared" si="10"/>
        <v>0.11599999999999988</v>
      </c>
      <c r="R10">
        <f t="shared" si="3"/>
        <v>0.13100000000000001</v>
      </c>
      <c r="S10">
        <f t="shared" si="4"/>
        <v>0.14300000000000002</v>
      </c>
      <c r="T10">
        <f t="shared" si="5"/>
        <v>0.15400000000000014</v>
      </c>
      <c r="V10">
        <v>0.16</v>
      </c>
    </row>
    <row r="11" spans="1:22">
      <c r="A11" s="36" t="s">
        <v>138</v>
      </c>
      <c r="B11">
        <v>0.82</v>
      </c>
      <c r="C11">
        <v>0.82</v>
      </c>
      <c r="D11">
        <v>0.82</v>
      </c>
      <c r="E11">
        <v>0.85</v>
      </c>
      <c r="F11">
        <v>0.89</v>
      </c>
      <c r="G11">
        <v>0.93899999999999995</v>
      </c>
      <c r="H11" s="94">
        <f>0.238+0.25+0.25+0.25</f>
        <v>0.98799999999999999</v>
      </c>
      <c r="I11" s="94">
        <f>0.25+0.265+0.265+0.265</f>
        <v>1.0449999999999999</v>
      </c>
      <c r="J11" s="94">
        <f>0.265+0.295+0.295+0.295</f>
        <v>1.1499999999999999</v>
      </c>
      <c r="K11" s="102">
        <f t="shared" si="11"/>
        <v>6.2321039666165215E-2</v>
      </c>
      <c r="L11" s="94">
        <f>+'Value Line'!J26*100</f>
        <v>4</v>
      </c>
      <c r="M11" s="94">
        <f t="shared" si="6"/>
        <v>0</v>
      </c>
      <c r="N11">
        <f t="shared" si="7"/>
        <v>0</v>
      </c>
      <c r="O11">
        <f t="shared" si="8"/>
        <v>3.0000000000000027E-2</v>
      </c>
      <c r="P11">
        <f t="shared" si="9"/>
        <v>4.0000000000000036E-2</v>
      </c>
      <c r="Q11">
        <f t="shared" si="10"/>
        <v>4.8999999999999932E-2</v>
      </c>
      <c r="R11">
        <f t="shared" si="3"/>
        <v>4.9000000000000044E-2</v>
      </c>
      <c r="S11">
        <f t="shared" si="4"/>
        <v>5.699999999999994E-2</v>
      </c>
      <c r="T11">
        <f t="shared" si="5"/>
        <v>0.10499999999999998</v>
      </c>
      <c r="V11">
        <v>0.12</v>
      </c>
    </row>
    <row r="12" spans="1:22">
      <c r="K12" s="6"/>
    </row>
    <row r="13" spans="1:22">
      <c r="A13" t="s">
        <v>38</v>
      </c>
      <c r="K13" s="6">
        <f>AVERAGE(K5:K11)</f>
        <v>4.305819066117831E-2</v>
      </c>
      <c r="L13" s="52">
        <f>AVERAGE(L5:L11)</f>
        <v>5</v>
      </c>
    </row>
    <row r="14" spans="1:22">
      <c r="K14" s="6"/>
    </row>
    <row r="15" spans="1:22">
      <c r="A15" t="s">
        <v>79</v>
      </c>
      <c r="K15" s="6">
        <v>4.1000000000000002E-2</v>
      </c>
    </row>
    <row r="16" spans="1:22">
      <c r="K16" s="6"/>
    </row>
    <row r="17" spans="1:16">
      <c r="K17" s="6"/>
    </row>
    <row r="18" spans="1:16">
      <c r="C18" s="5"/>
      <c r="D18" s="5"/>
      <c r="E18" s="5"/>
      <c r="F18" s="5"/>
      <c r="G18" s="5"/>
      <c r="H18" s="5"/>
      <c r="I18" s="5"/>
      <c r="J18" s="5"/>
    </row>
    <row r="19" spans="1:16">
      <c r="B19" s="5" t="str">
        <f t="shared" ref="B19:B24" si="13">+K2</f>
        <v xml:space="preserve">Historical </v>
      </c>
      <c r="C19" s="891" t="s">
        <v>211</v>
      </c>
      <c r="D19" s="891"/>
      <c r="E19" s="891"/>
      <c r="F19" s="891"/>
      <c r="G19" s="891"/>
      <c r="H19" s="374"/>
      <c r="I19" s="374"/>
      <c r="J19" s="374"/>
      <c r="K19" s="5"/>
      <c r="L19" s="5"/>
    </row>
    <row r="20" spans="1:16">
      <c r="B20" s="5" t="str">
        <f t="shared" si="13"/>
        <v xml:space="preserve"> Dividend</v>
      </c>
      <c r="C20" s="63"/>
      <c r="D20" s="63"/>
      <c r="E20" s="65"/>
      <c r="F20" s="63"/>
      <c r="G20" s="63"/>
      <c r="H20" s="63"/>
      <c r="I20" s="63"/>
      <c r="J20" s="63"/>
      <c r="K20" s="5" t="s">
        <v>210</v>
      </c>
      <c r="L20" s="5" t="s">
        <v>262</v>
      </c>
    </row>
    <row r="21" spans="1:16">
      <c r="B21" s="140" t="str">
        <f t="shared" si="13"/>
        <v>Growth Rate</v>
      </c>
      <c r="C21" s="278">
        <v>2013</v>
      </c>
      <c r="D21" s="278">
        <f>+C21+1</f>
        <v>2014</v>
      </c>
      <c r="E21" s="278">
        <f t="shared" ref="E21:J21" si="14">+D21+1</f>
        <v>2015</v>
      </c>
      <c r="F21" s="278">
        <f t="shared" si="14"/>
        <v>2016</v>
      </c>
      <c r="G21" s="278">
        <f t="shared" si="14"/>
        <v>2017</v>
      </c>
      <c r="H21" s="278">
        <f t="shared" si="14"/>
        <v>2018</v>
      </c>
      <c r="I21" s="278">
        <f t="shared" si="14"/>
        <v>2019</v>
      </c>
      <c r="J21" s="278">
        <f t="shared" si="14"/>
        <v>2020</v>
      </c>
      <c r="K21" s="140" t="s">
        <v>208</v>
      </c>
      <c r="L21" s="140" t="s">
        <v>208</v>
      </c>
    </row>
    <row r="22" spans="1:16">
      <c r="A22" s="36" t="s">
        <v>5</v>
      </c>
      <c r="B22" s="116">
        <f t="shared" si="13"/>
        <v>1.2024402574019289E-2</v>
      </c>
      <c r="C22">
        <f>+J5+V5+0.1</f>
        <v>1.861</v>
      </c>
      <c r="D22">
        <f t="shared" ref="D22:G27" si="15">+C22+$V5</f>
        <v>1.881</v>
      </c>
      <c r="E22">
        <f t="shared" si="15"/>
        <v>1.901</v>
      </c>
      <c r="F22">
        <f t="shared" si="15"/>
        <v>1.921</v>
      </c>
      <c r="G22">
        <f t="shared" si="15"/>
        <v>1.9410000000000001</v>
      </c>
      <c r="H22">
        <f t="shared" ref="H22:H27" si="16">+G22+$V5</f>
        <v>1.9610000000000001</v>
      </c>
      <c r="I22">
        <f t="shared" ref="I22:I27" si="17">+H22+$V5</f>
        <v>1.9810000000000001</v>
      </c>
      <c r="J22">
        <f t="shared" ref="J22:J27" si="18">+I22+$V5</f>
        <v>2.0009999999999999</v>
      </c>
      <c r="K22" s="6">
        <f>RATE(5,,-J5,G22)</f>
        <v>2.1986956198704621E-2</v>
      </c>
      <c r="L22" s="116">
        <f>+'Value Line'!K20</f>
        <v>4.4999999999999998E-2</v>
      </c>
      <c r="M22" s="116"/>
    </row>
    <row r="23" spans="1:16">
      <c r="A23" s="36" t="s">
        <v>7</v>
      </c>
      <c r="B23" s="116">
        <f t="shared" si="13"/>
        <v>1.5101171883049502E-2</v>
      </c>
      <c r="C23">
        <f t="shared" ref="C23:C28" si="19">+J6+V6</f>
        <v>1.4049999999999998</v>
      </c>
      <c r="D23">
        <f t="shared" si="15"/>
        <v>1.4249999999999998</v>
      </c>
      <c r="E23">
        <f t="shared" si="15"/>
        <v>1.4449999999999998</v>
      </c>
      <c r="F23">
        <f t="shared" si="15"/>
        <v>1.4649999999999999</v>
      </c>
      <c r="G23">
        <f t="shared" si="15"/>
        <v>1.4849999999999999</v>
      </c>
      <c r="H23">
        <f t="shared" si="16"/>
        <v>1.5049999999999999</v>
      </c>
      <c r="I23">
        <f t="shared" si="17"/>
        <v>1.5249999999999999</v>
      </c>
      <c r="J23">
        <f t="shared" si="18"/>
        <v>1.5449999999999999</v>
      </c>
      <c r="K23" s="6">
        <f t="shared" ref="K23:K28" si="20">RATE(5,,-J6,G23)</f>
        <v>1.4040582465115048E-2</v>
      </c>
      <c r="L23" s="116">
        <f>+'Value Line'!K21</f>
        <v>1.4999999999999999E-2</v>
      </c>
      <c r="M23" s="116"/>
    </row>
    <row r="24" spans="1:16">
      <c r="A24" s="36" t="s">
        <v>10</v>
      </c>
      <c r="B24" s="116">
        <f t="shared" si="13"/>
        <v>2.5840467743610377E-2</v>
      </c>
      <c r="C24">
        <f t="shared" si="19"/>
        <v>1.71</v>
      </c>
      <c r="D24">
        <f t="shared" si="15"/>
        <v>1.75</v>
      </c>
      <c r="E24">
        <f t="shared" si="15"/>
        <v>1.79</v>
      </c>
      <c r="F24">
        <f t="shared" si="15"/>
        <v>1.83</v>
      </c>
      <c r="G24">
        <f t="shared" si="15"/>
        <v>1.87</v>
      </c>
      <c r="H24">
        <f t="shared" si="16"/>
        <v>1.9100000000000001</v>
      </c>
      <c r="I24">
        <f t="shared" si="17"/>
        <v>1.9500000000000002</v>
      </c>
      <c r="J24">
        <f t="shared" si="18"/>
        <v>1.9900000000000002</v>
      </c>
      <c r="K24" s="6">
        <f t="shared" si="20"/>
        <v>2.288080076759242E-2</v>
      </c>
      <c r="L24" s="116">
        <f>+'Value Line'!K22</f>
        <v>3.5000000000000003E-2</v>
      </c>
      <c r="M24" s="116"/>
    </row>
    <row r="25" spans="1:16">
      <c r="A25" s="36" t="s">
        <v>14</v>
      </c>
      <c r="B25" s="116">
        <f>+K8</f>
        <v>4.4475140400485329E-2</v>
      </c>
      <c r="C25">
        <f t="shared" si="19"/>
        <v>1.84</v>
      </c>
      <c r="D25">
        <f t="shared" si="15"/>
        <v>1.8900000000000001</v>
      </c>
      <c r="E25">
        <f t="shared" si="15"/>
        <v>1.9400000000000002</v>
      </c>
      <c r="F25">
        <f t="shared" si="15"/>
        <v>1.9900000000000002</v>
      </c>
      <c r="G25">
        <f t="shared" si="15"/>
        <v>2.04</v>
      </c>
      <c r="H25">
        <f t="shared" si="16"/>
        <v>2.09</v>
      </c>
      <c r="I25">
        <f t="shared" si="17"/>
        <v>2.1399999999999997</v>
      </c>
      <c r="J25">
        <f t="shared" si="18"/>
        <v>2.1899999999999995</v>
      </c>
      <c r="K25" s="6">
        <f t="shared" si="20"/>
        <v>2.649166498332715E-2</v>
      </c>
      <c r="L25" s="116">
        <f>+'Value Line'!K23</f>
        <v>2.5000000000000001E-2</v>
      </c>
      <c r="M25" s="116"/>
    </row>
    <row r="26" spans="1:16">
      <c r="A26" s="36" t="s">
        <v>16</v>
      </c>
      <c r="B26" s="116">
        <f>+K9</f>
        <v>3.7137289336969921E-2</v>
      </c>
      <c r="C26">
        <f t="shared" si="19"/>
        <v>1.24</v>
      </c>
      <c r="D26">
        <f t="shared" si="15"/>
        <v>1.28</v>
      </c>
      <c r="E26">
        <f t="shared" si="15"/>
        <v>1.32</v>
      </c>
      <c r="F26">
        <f t="shared" si="15"/>
        <v>1.36</v>
      </c>
      <c r="G26">
        <f t="shared" si="15"/>
        <v>1.4000000000000001</v>
      </c>
      <c r="H26">
        <f t="shared" si="16"/>
        <v>1.4400000000000002</v>
      </c>
      <c r="I26">
        <f t="shared" si="17"/>
        <v>1.4800000000000002</v>
      </c>
      <c r="J26">
        <f t="shared" si="18"/>
        <v>1.5200000000000002</v>
      </c>
      <c r="K26" s="6">
        <f t="shared" si="20"/>
        <v>3.1310306478541848E-2</v>
      </c>
      <c r="L26" s="116">
        <f>+'Value Line'!K24</f>
        <v>0.03</v>
      </c>
      <c r="M26" s="116"/>
    </row>
    <row r="27" spans="1:16">
      <c r="A27" s="36" t="s">
        <v>18</v>
      </c>
      <c r="B27" s="116">
        <f>+K10</f>
        <v>0.10450782302394852</v>
      </c>
      <c r="C27">
        <f t="shared" si="19"/>
        <v>1.8120000000000001</v>
      </c>
      <c r="D27">
        <f t="shared" si="15"/>
        <v>1.972</v>
      </c>
      <c r="E27">
        <f t="shared" si="15"/>
        <v>2.1320000000000001</v>
      </c>
      <c r="F27">
        <f t="shared" si="15"/>
        <v>2.2920000000000003</v>
      </c>
      <c r="G27">
        <f t="shared" si="15"/>
        <v>2.4520000000000004</v>
      </c>
      <c r="H27">
        <f t="shared" si="16"/>
        <v>2.6120000000000005</v>
      </c>
      <c r="I27">
        <f t="shared" si="17"/>
        <v>2.7720000000000007</v>
      </c>
      <c r="J27">
        <f t="shared" si="18"/>
        <v>2.9320000000000008</v>
      </c>
      <c r="K27" s="6">
        <f t="shared" si="20"/>
        <v>8.2186431861143813E-2</v>
      </c>
      <c r="L27" s="116">
        <f>+'Value Line'!K25</f>
        <v>8.5000000000000006E-2</v>
      </c>
      <c r="M27" s="116"/>
    </row>
    <row r="28" spans="1:16">
      <c r="A28" s="36" t="s">
        <v>138</v>
      </c>
      <c r="B28" s="116">
        <f>+K11</f>
        <v>6.2321039666165215E-2</v>
      </c>
      <c r="C28">
        <f t="shared" si="19"/>
        <v>1.27</v>
      </c>
      <c r="D28">
        <f>+C28+$V11-0.035</f>
        <v>1.3550000000000002</v>
      </c>
      <c r="E28">
        <f>+D28+$V11-0.035</f>
        <v>1.4400000000000002</v>
      </c>
      <c r="F28">
        <f>+E28+$V11-0.035</f>
        <v>1.5250000000000001</v>
      </c>
      <c r="G28">
        <f>+F28+$V11-0.035</f>
        <v>1.61</v>
      </c>
      <c r="H28">
        <f t="shared" ref="H28:J28" si="21">+G28+$V11-0.035</f>
        <v>1.6950000000000001</v>
      </c>
      <c r="I28">
        <f t="shared" si="21"/>
        <v>1.78</v>
      </c>
      <c r="J28">
        <f t="shared" si="21"/>
        <v>1.865</v>
      </c>
      <c r="K28" s="6">
        <f t="shared" si="20"/>
        <v>6.9610375725068868E-2</v>
      </c>
      <c r="L28" s="116">
        <f>+'Value Line'!K26</f>
        <v>7.0000000000000007E-2</v>
      </c>
      <c r="M28" s="116"/>
    </row>
    <row r="29" spans="1:16">
      <c r="B29" s="116"/>
      <c r="K29" s="6"/>
    </row>
    <row r="30" spans="1:16">
      <c r="A30" t="s">
        <v>38</v>
      </c>
      <c r="B30" s="116">
        <f>+K13</f>
        <v>4.305819066117831E-2</v>
      </c>
      <c r="K30" s="6">
        <f>AVERAGE(K22:K28)</f>
        <v>3.8358159782784833E-2</v>
      </c>
      <c r="L30" s="6">
        <f>AVERAGE(L22:L28)</f>
        <v>4.3571428571428573E-2</v>
      </c>
      <c r="M30" s="6"/>
    </row>
    <row r="31" spans="1:16">
      <c r="B31" s="116"/>
      <c r="P31" t="s">
        <v>268</v>
      </c>
    </row>
    <row r="32" spans="1:16">
      <c r="A32" t="s">
        <v>79</v>
      </c>
      <c r="B32" s="116">
        <f>+K15</f>
        <v>4.1000000000000002E-2</v>
      </c>
      <c r="L32" t="s">
        <v>212</v>
      </c>
    </row>
  </sheetData>
  <mergeCells count="2">
    <mergeCell ref="C19:G19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view="pageBreakPreview" topLeftCell="K26" zoomScale="120" zoomScaleNormal="100" zoomScaleSheetLayoutView="120" workbookViewId="0">
      <selection activeCell="W25" sqref="W25"/>
    </sheetView>
  </sheetViews>
  <sheetFormatPr defaultRowHeight="12.75"/>
  <cols>
    <col min="1" max="6" width="9.83203125" hidden="1" customWidth="1"/>
    <col min="7" max="7" width="11.33203125" hidden="1" customWidth="1"/>
    <col min="8" max="10" width="14.83203125" style="6" hidden="1" customWidth="1"/>
    <col min="11" max="11" width="3.83203125" customWidth="1"/>
    <col min="12" max="12" width="4" customWidth="1"/>
    <col min="15" max="15" width="30.33203125" customWidth="1"/>
    <col min="17" max="17" width="0" hidden="1" customWidth="1"/>
    <col min="18" max="18" width="13.5" customWidth="1"/>
    <col min="19" max="19" width="13.5" style="2" customWidth="1"/>
    <col min="20" max="20" width="13.5" customWidth="1"/>
    <col min="21" max="21" width="6.83203125" customWidth="1"/>
    <col min="22" max="24" width="11.33203125" customWidth="1"/>
  </cols>
  <sheetData>
    <row r="1" spans="1:24" ht="15.75">
      <c r="W1" s="4"/>
      <c r="X1" s="8" t="s">
        <v>346</v>
      </c>
    </row>
    <row r="2" spans="1:24" ht="15.75">
      <c r="J2" s="66"/>
      <c r="X2" s="513" t="s">
        <v>413</v>
      </c>
    </row>
    <row r="3" spans="1:24" ht="18.75">
      <c r="B3" s="29"/>
      <c r="C3" s="29"/>
      <c r="D3" s="29"/>
      <c r="E3" s="29"/>
      <c r="F3" s="29"/>
      <c r="G3" s="29"/>
      <c r="H3" s="33"/>
      <c r="I3" s="33"/>
      <c r="J3" s="33"/>
      <c r="L3" s="821" t="str">
        <f>'1.6 Comps'!B3</f>
        <v>Questar Gas Company</v>
      </c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</row>
    <row r="4" spans="1:24" ht="15.75">
      <c r="B4" s="29"/>
      <c r="C4" s="29"/>
      <c r="D4" s="29"/>
      <c r="E4" s="29"/>
      <c r="F4" s="29"/>
      <c r="G4" s="29"/>
      <c r="H4" s="33"/>
      <c r="I4" s="33"/>
      <c r="J4" s="33"/>
      <c r="L4" s="822" t="s">
        <v>75</v>
      </c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</row>
    <row r="5" spans="1:24" ht="16.5" thickBot="1">
      <c r="B5" s="29"/>
      <c r="C5" s="29"/>
      <c r="D5" s="29"/>
      <c r="E5" s="29"/>
      <c r="F5" s="29"/>
      <c r="G5" s="29"/>
      <c r="H5" s="33"/>
      <c r="I5" s="33"/>
      <c r="J5" s="33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</row>
    <row r="6" spans="1:24" ht="15.75">
      <c r="A6" s="50"/>
      <c r="B6" s="29"/>
      <c r="C6" s="29"/>
      <c r="D6" s="29"/>
      <c r="E6" s="29"/>
      <c r="F6" s="29"/>
      <c r="G6" s="29"/>
      <c r="H6" s="33"/>
      <c r="I6" s="33"/>
      <c r="J6" s="33"/>
      <c r="K6" s="326"/>
      <c r="L6" s="326"/>
      <c r="M6" s="326"/>
      <c r="N6" s="326"/>
      <c r="O6" s="326"/>
      <c r="P6" s="326"/>
      <c r="Q6" s="326"/>
      <c r="R6" s="826" t="s">
        <v>393</v>
      </c>
      <c r="S6" s="827"/>
      <c r="T6" s="828"/>
      <c r="U6" s="326"/>
      <c r="V6" s="826" t="s">
        <v>371</v>
      </c>
      <c r="W6" s="827"/>
      <c r="X6" s="828"/>
    </row>
    <row r="7" spans="1:24" ht="15">
      <c r="A7" s="29"/>
      <c r="B7" s="29"/>
      <c r="C7" s="29"/>
      <c r="D7" s="29"/>
      <c r="E7" s="29"/>
      <c r="F7" s="29"/>
      <c r="G7" s="29"/>
      <c r="H7" s="33"/>
      <c r="I7" s="33"/>
      <c r="J7" s="33"/>
      <c r="K7" s="326"/>
      <c r="L7" s="326"/>
      <c r="M7" s="326"/>
      <c r="N7" s="326"/>
      <c r="O7" s="326"/>
      <c r="P7" s="326"/>
      <c r="Q7" s="326"/>
      <c r="R7" s="829" t="s">
        <v>394</v>
      </c>
      <c r="S7" s="830"/>
      <c r="T7" s="831"/>
      <c r="U7" s="326"/>
      <c r="V7" s="829" t="s">
        <v>372</v>
      </c>
      <c r="W7" s="830"/>
      <c r="X7" s="831"/>
    </row>
    <row r="8" spans="1:24" ht="15">
      <c r="H8" s="32" t="s">
        <v>45</v>
      </c>
      <c r="I8" s="32" t="s">
        <v>45</v>
      </c>
      <c r="K8" s="326"/>
      <c r="L8" s="326"/>
      <c r="M8" s="326"/>
      <c r="N8" s="326"/>
      <c r="O8" s="326"/>
      <c r="P8" s="326"/>
      <c r="Q8" s="326"/>
      <c r="R8" s="615" t="s">
        <v>366</v>
      </c>
      <c r="S8" s="329" t="s">
        <v>369</v>
      </c>
      <c r="T8" s="616" t="s">
        <v>367</v>
      </c>
      <c r="U8" s="326"/>
      <c r="V8" s="657" t="str">
        <f>+R8</f>
        <v>LOW</v>
      </c>
      <c r="W8" s="659" t="str">
        <f>+S8</f>
        <v>AVG</v>
      </c>
      <c r="X8" s="658" t="str">
        <f>+T8</f>
        <v>HIGH</v>
      </c>
    </row>
    <row r="9" spans="1:24" ht="15" hidden="1">
      <c r="H9" s="46" t="s">
        <v>107</v>
      </c>
      <c r="I9" s="46" t="s">
        <v>107</v>
      </c>
      <c r="J9" s="32" t="s">
        <v>38</v>
      </c>
      <c r="K9" s="326"/>
      <c r="L9" s="326"/>
      <c r="M9" s="326"/>
      <c r="N9" s="326"/>
      <c r="O9" s="326"/>
      <c r="P9" s="326"/>
      <c r="Q9" s="326"/>
      <c r="R9" s="617"/>
      <c r="S9" s="618"/>
      <c r="T9" s="619"/>
      <c r="U9" s="326"/>
      <c r="V9" s="661"/>
      <c r="W9" s="662"/>
      <c r="X9" s="663"/>
    </row>
    <row r="10" spans="1:24" ht="15">
      <c r="A10" s="2" t="s">
        <v>72</v>
      </c>
      <c r="H10" s="32" t="s">
        <v>108</v>
      </c>
      <c r="I10" s="46" t="s">
        <v>109</v>
      </c>
      <c r="J10" s="32" t="s">
        <v>78</v>
      </c>
      <c r="K10" s="306" t="s">
        <v>72</v>
      </c>
      <c r="L10" s="326"/>
      <c r="M10" s="326"/>
      <c r="N10" s="326"/>
      <c r="O10" s="326"/>
      <c r="P10" s="326"/>
      <c r="Q10" s="326"/>
      <c r="R10" s="617"/>
      <c r="S10" s="618"/>
      <c r="T10" s="619"/>
      <c r="U10" s="326"/>
      <c r="V10" s="617"/>
      <c r="W10" s="620"/>
      <c r="X10" s="619"/>
    </row>
    <row r="11" spans="1:24" ht="12.75" customHeight="1">
      <c r="H11" s="11"/>
      <c r="I11" s="11"/>
      <c r="J11" s="11"/>
      <c r="K11" s="326"/>
      <c r="L11" s="326"/>
      <c r="M11" s="326"/>
      <c r="N11" s="326"/>
      <c r="O11" s="326"/>
      <c r="P11" s="326"/>
      <c r="Q11" s="326"/>
      <c r="R11" s="617"/>
      <c r="S11" s="618"/>
      <c r="T11" s="619"/>
      <c r="U11" s="326"/>
      <c r="V11" s="617"/>
      <c r="W11" s="620"/>
      <c r="X11" s="619"/>
    </row>
    <row r="12" spans="1:24" ht="12.75" hidden="1" customHeight="1">
      <c r="B12" s="47" t="s">
        <v>111</v>
      </c>
      <c r="H12" s="21"/>
      <c r="I12" s="21"/>
      <c r="J12" s="21"/>
      <c r="K12" s="326"/>
      <c r="L12" s="326" t="s">
        <v>112</v>
      </c>
      <c r="M12" s="326"/>
      <c r="N12" s="326"/>
      <c r="O12" s="326"/>
      <c r="P12" s="326"/>
      <c r="Q12" s="621"/>
      <c r="R12" s="622"/>
      <c r="S12" s="623"/>
      <c r="T12" s="624"/>
      <c r="U12" s="326"/>
      <c r="V12" s="617"/>
      <c r="W12" s="620"/>
      <c r="X12" s="619"/>
    </row>
    <row r="13" spans="1:24" ht="15" hidden="1">
      <c r="B13" t="s">
        <v>76</v>
      </c>
      <c r="H13" s="134">
        <f>'1.8 DCF SS'!J28</f>
        <v>8.4268147582684513E-2</v>
      </c>
      <c r="I13" s="6" t="e">
        <f>#REF!</f>
        <v>#REF!</v>
      </c>
      <c r="J13" s="6" t="e">
        <f>AVERAGE(H13:I13)</f>
        <v>#REF!</v>
      </c>
      <c r="K13" s="326"/>
      <c r="L13" s="326"/>
      <c r="M13" s="326" t="s">
        <v>76</v>
      </c>
      <c r="N13" s="326"/>
      <c r="O13" s="326"/>
      <c r="P13" s="326"/>
      <c r="Q13" s="621">
        <f>+'1.8 DCF SS'!T62</f>
        <v>9.7104001930725437E-2</v>
      </c>
      <c r="R13" s="622">
        <f>+'1.8 DCF SS'!Q54</f>
        <v>8.4808300820251287E-2</v>
      </c>
      <c r="S13" s="623">
        <f>+'1.8 DCF SS'!Q62</f>
        <v>0.10308594709205436</v>
      </c>
      <c r="T13" s="624">
        <f>+'1.8 DCF SS'!Q50</f>
        <v>0.13514376641296122</v>
      </c>
      <c r="U13" s="326"/>
      <c r="V13" s="617"/>
      <c r="W13" s="625"/>
      <c r="X13" s="626"/>
    </row>
    <row r="14" spans="1:24" ht="15" hidden="1">
      <c r="B14" s="37" t="s">
        <v>265</v>
      </c>
      <c r="H14" s="134">
        <f>+'1.8 DCF SS'!T28</f>
        <v>9.6164576154113071E-2</v>
      </c>
      <c r="I14" s="6" t="e">
        <f>#REF!</f>
        <v>#REF!</v>
      </c>
      <c r="J14" s="6" t="e">
        <f>AVERAGE(H14:I14)</f>
        <v>#REF!</v>
      </c>
      <c r="K14" s="326"/>
      <c r="L14" s="326"/>
      <c r="M14" s="326"/>
      <c r="N14" s="326"/>
      <c r="O14" s="326"/>
      <c r="P14" s="326"/>
      <c r="Q14" s="621"/>
      <c r="R14" s="622"/>
      <c r="S14" s="623"/>
      <c r="T14" s="624"/>
      <c r="U14" s="326"/>
      <c r="V14" s="617"/>
      <c r="W14" s="625"/>
      <c r="X14" s="626"/>
    </row>
    <row r="15" spans="1:24" ht="15" hidden="1">
      <c r="B15" t="s">
        <v>229</v>
      </c>
      <c r="H15" s="134"/>
      <c r="I15" s="6" t="e">
        <f>#REF!</f>
        <v>#REF!</v>
      </c>
      <c r="J15" s="6" t="e">
        <f>AVERAGE(H15:I15)</f>
        <v>#REF!</v>
      </c>
      <c r="K15" s="326"/>
      <c r="L15" s="326"/>
      <c r="M15" s="326"/>
      <c r="N15" s="326"/>
      <c r="O15" s="326"/>
      <c r="P15" s="326"/>
      <c r="Q15" s="621"/>
      <c r="R15" s="622"/>
      <c r="S15" s="623"/>
      <c r="T15" s="624"/>
      <c r="U15" s="326"/>
      <c r="V15" s="617"/>
      <c r="W15" s="625"/>
      <c r="X15" s="626"/>
    </row>
    <row r="16" spans="1:24" ht="15" hidden="1">
      <c r="F16" t="s">
        <v>89</v>
      </c>
      <c r="H16" s="11">
        <f>AVERAGE(H13:H15)</f>
        <v>9.0216361868398792E-2</v>
      </c>
      <c r="I16" s="11" t="e">
        <f>AVERAGE(I13:I14)</f>
        <v>#REF!</v>
      </c>
      <c r="J16" s="11" t="e">
        <f>AVERAGE(J13:J14)</f>
        <v>#REF!</v>
      </c>
      <c r="K16" s="326"/>
      <c r="L16" s="326" t="s">
        <v>114</v>
      </c>
      <c r="M16" s="326"/>
      <c r="N16" s="326"/>
      <c r="O16" s="326"/>
      <c r="P16" s="326"/>
      <c r="Q16" s="621"/>
      <c r="R16" s="622"/>
      <c r="S16" s="623"/>
      <c r="T16" s="624"/>
      <c r="U16" s="326"/>
      <c r="V16" s="617"/>
      <c r="W16" s="625"/>
      <c r="X16" s="626"/>
    </row>
    <row r="17" spans="1:24" ht="15" hidden="1">
      <c r="H17" s="21"/>
      <c r="J17" s="21"/>
      <c r="K17" s="326"/>
      <c r="L17" s="326"/>
      <c r="M17" s="326" t="s">
        <v>76</v>
      </c>
      <c r="N17" s="326"/>
      <c r="O17" s="326"/>
      <c r="P17" s="326"/>
      <c r="Q17" s="621">
        <f>+'1.8 DCF SS'!R62</f>
        <v>8.1568287645011159E-2</v>
      </c>
      <c r="R17" s="622">
        <f>+'1.8 DCF SS'!R51</f>
        <v>4.97505330490405E-2</v>
      </c>
      <c r="S17" s="623">
        <f>+'1.8 DCF SS'!R62</f>
        <v>8.1568287645011159E-2</v>
      </c>
      <c r="T17" s="624">
        <f>+'1.8 DCF SS'!R55</f>
        <v>0.11915334103483918</v>
      </c>
      <c r="U17" s="326"/>
      <c r="V17" s="617"/>
      <c r="W17" s="625"/>
      <c r="X17" s="626"/>
    </row>
    <row r="18" spans="1:24" ht="15" hidden="1">
      <c r="B18" s="48" t="s">
        <v>112</v>
      </c>
      <c r="H18" s="21"/>
      <c r="I18" s="21"/>
      <c r="J18" s="21"/>
      <c r="K18" s="326"/>
      <c r="L18" s="326"/>
      <c r="M18" s="326"/>
      <c r="N18" s="326"/>
      <c r="O18" s="326"/>
      <c r="P18" s="326"/>
      <c r="Q18" s="621"/>
      <c r="R18" s="622"/>
      <c r="S18" s="623"/>
      <c r="T18" s="624"/>
      <c r="U18" s="326"/>
      <c r="V18" s="617"/>
      <c r="W18" s="625"/>
      <c r="X18" s="626"/>
    </row>
    <row r="19" spans="1:24" ht="15" hidden="1">
      <c r="B19" t="s">
        <v>76</v>
      </c>
      <c r="H19" s="134">
        <f>'1.8 DCF SS'!G24</f>
        <v>8.5732707050348925E-2</v>
      </c>
      <c r="I19" s="6" t="e">
        <f>#REF!</f>
        <v>#REF!</v>
      </c>
      <c r="J19" s="6" t="e">
        <f>AVERAGE(H19:I19)</f>
        <v>#REF!</v>
      </c>
      <c r="K19" s="326"/>
      <c r="L19" s="326"/>
      <c r="M19" s="326"/>
      <c r="N19" s="326"/>
      <c r="O19" s="326"/>
      <c r="P19" s="326"/>
      <c r="Q19" s="621"/>
      <c r="R19" s="622"/>
      <c r="S19" s="623"/>
      <c r="T19" s="624"/>
      <c r="U19" s="326"/>
      <c r="V19" s="617"/>
      <c r="W19" s="627"/>
      <c r="X19" s="626"/>
    </row>
    <row r="20" spans="1:24" ht="15">
      <c r="B20" s="37" t="s">
        <v>113</v>
      </c>
      <c r="H20" s="134"/>
      <c r="I20" s="6" t="e">
        <f>#REF!</f>
        <v>#REF!</v>
      </c>
      <c r="J20" s="6" t="e">
        <f>AVERAGE(H20:I20)</f>
        <v>#REF!</v>
      </c>
      <c r="K20" s="326" t="s">
        <v>111</v>
      </c>
      <c r="L20" s="326"/>
      <c r="M20" s="326"/>
      <c r="N20" s="326"/>
      <c r="P20" s="326"/>
      <c r="Q20" s="621"/>
      <c r="R20" s="622"/>
      <c r="S20" s="623"/>
      <c r="T20" s="624"/>
      <c r="U20" s="326"/>
      <c r="V20" s="823" t="s">
        <v>380</v>
      </c>
      <c r="W20" s="824"/>
      <c r="X20" s="825"/>
    </row>
    <row r="21" spans="1:24" ht="15">
      <c r="B21" t="s">
        <v>98</v>
      </c>
      <c r="I21" s="6" t="e">
        <f>#REF!</f>
        <v>#REF!</v>
      </c>
      <c r="J21" s="6" t="e">
        <f>AVERAGE(H21:I21)</f>
        <v>#REF!</v>
      </c>
      <c r="K21" s="326"/>
      <c r="L21" s="326" t="s">
        <v>402</v>
      </c>
      <c r="M21" s="326"/>
      <c r="N21" s="326"/>
      <c r="P21" s="326"/>
      <c r="Q21" s="621">
        <f>+'1.8 DCF SS'!J62</f>
        <v>8.5207573359296865E-2</v>
      </c>
      <c r="R21" s="622">
        <f>+'1.8 DCF SS'!J56</f>
        <v>7.2332087706850859E-2</v>
      </c>
      <c r="S21" s="623">
        <f>+'1.8 DCF SS'!J62</f>
        <v>8.5207573359296865E-2</v>
      </c>
      <c r="T21" s="624">
        <f>+'1.8 DCF SS'!J55</f>
        <v>0.10040334103483918</v>
      </c>
      <c r="U21" s="326"/>
      <c r="V21" s="628">
        <v>7.9600000000000004E-2</v>
      </c>
      <c r="W21" s="536">
        <v>8.7300000000000003E-2</v>
      </c>
      <c r="X21" s="629">
        <v>9.5000000000000001E-2</v>
      </c>
    </row>
    <row r="22" spans="1:24" ht="15">
      <c r="F22" t="s">
        <v>89</v>
      </c>
      <c r="H22" s="11">
        <f>AVERAGE(H19:H20)</f>
        <v>8.5732707050348925E-2</v>
      </c>
      <c r="I22" s="11" t="e">
        <f>AVERAGE(I19:I20)</f>
        <v>#REF!</v>
      </c>
      <c r="J22" s="11" t="e">
        <f>AVERAGE(J19:J20)</f>
        <v>#REF!</v>
      </c>
      <c r="K22" s="326"/>
      <c r="L22" s="326" t="s">
        <v>403</v>
      </c>
      <c r="M22" s="326"/>
      <c r="N22" s="326"/>
      <c r="P22" s="326"/>
      <c r="Q22" s="621">
        <f>+'1.8 DCF SS'!T62</f>
        <v>9.7104001930725437E-2</v>
      </c>
      <c r="R22" s="622">
        <f>+'1.8 DCF SS'!T51</f>
        <v>7.9750533049040506E-2</v>
      </c>
      <c r="S22" s="623">
        <f>+'1.8 DCF SS'!T62</f>
        <v>9.7104001930725437E-2</v>
      </c>
      <c r="T22" s="624">
        <f>+'1.8 DCF SS'!T50</f>
        <v>0.12203003293719678</v>
      </c>
      <c r="U22" s="326"/>
      <c r="V22" s="596"/>
      <c r="W22" s="36"/>
      <c r="X22" s="597"/>
    </row>
    <row r="23" spans="1:24" ht="15">
      <c r="H23" s="21"/>
      <c r="J23" s="21"/>
      <c r="K23" s="326"/>
      <c r="L23" s="326"/>
      <c r="M23" s="326"/>
      <c r="N23" s="326"/>
      <c r="O23" s="326"/>
      <c r="P23" s="326"/>
      <c r="Q23" s="621"/>
      <c r="R23" s="622"/>
      <c r="S23" s="623"/>
      <c r="T23" s="624"/>
      <c r="U23" s="326"/>
      <c r="V23" s="617"/>
      <c r="W23" s="625"/>
      <c r="X23" s="626"/>
    </row>
    <row r="24" spans="1:24" ht="15" hidden="1">
      <c r="B24" s="47" t="s">
        <v>114</v>
      </c>
      <c r="H24" s="21"/>
      <c r="I24" s="21"/>
      <c r="J24" s="21"/>
      <c r="K24" s="326"/>
      <c r="L24" s="326"/>
      <c r="M24" s="326"/>
      <c r="N24" s="326"/>
      <c r="O24" s="326"/>
      <c r="P24" s="326"/>
      <c r="Q24" s="621"/>
      <c r="R24" s="622"/>
      <c r="S24" s="623"/>
      <c r="T24" s="624"/>
      <c r="U24" s="326"/>
      <c r="V24" s="617"/>
      <c r="W24" s="625"/>
      <c r="X24" s="626"/>
    </row>
    <row r="25" spans="1:24" ht="15">
      <c r="B25" t="s">
        <v>76</v>
      </c>
      <c r="H25" s="134">
        <f>'1.8 DCF SS'!H24</f>
        <v>8.0628861868398793E-2</v>
      </c>
      <c r="I25" s="6" t="e">
        <f>#REF!</f>
        <v>#REF!</v>
      </c>
      <c r="J25" s="6" t="e">
        <f>AVERAGE(H25:I25)</f>
        <v>#REF!</v>
      </c>
      <c r="K25" s="306" t="s">
        <v>71</v>
      </c>
      <c r="L25" s="326"/>
      <c r="M25" s="326"/>
      <c r="N25" s="326"/>
      <c r="O25" s="326"/>
      <c r="P25" s="326"/>
      <c r="Q25" s="621"/>
      <c r="R25" s="622"/>
      <c r="S25" s="623"/>
      <c r="T25" s="624"/>
      <c r="U25" s="326"/>
      <c r="V25" s="617"/>
      <c r="W25" s="625"/>
      <c r="X25" s="626"/>
    </row>
    <row r="26" spans="1:24" ht="15">
      <c r="B26" s="37" t="s">
        <v>113</v>
      </c>
      <c r="H26" s="134"/>
      <c r="I26" s="6" t="e">
        <f>#REF!</f>
        <v>#REF!</v>
      </c>
      <c r="J26" s="6" t="e">
        <f>AVERAGE(H26:I26)</f>
        <v>#REF!</v>
      </c>
      <c r="K26" s="326"/>
      <c r="L26" s="326"/>
      <c r="M26" s="326"/>
      <c r="N26" s="326"/>
      <c r="O26" s="326"/>
      <c r="P26" s="326"/>
      <c r="Q26" s="621"/>
      <c r="R26" s="596"/>
      <c r="S26" s="541"/>
      <c r="T26" s="597"/>
      <c r="U26" s="326"/>
      <c r="V26" s="617"/>
      <c r="W26" s="625"/>
      <c r="X26" s="626"/>
    </row>
    <row r="27" spans="1:24" ht="15">
      <c r="B27" t="s">
        <v>98</v>
      </c>
      <c r="I27" s="6" t="e">
        <f>#REF!</f>
        <v>#REF!</v>
      </c>
      <c r="J27" s="6" t="e">
        <f>AVERAGE(H27:I27)</f>
        <v>#REF!</v>
      </c>
      <c r="K27" s="326"/>
      <c r="L27" s="326" t="str">
        <f>+L21</f>
        <v>Forecast Growth Rates - Reuters, Zacks &amp; Yahoo</v>
      </c>
      <c r="M27" s="326"/>
      <c r="N27" s="326"/>
      <c r="O27" s="326"/>
      <c r="P27" s="326"/>
      <c r="Q27" s="621">
        <f>+H33</f>
        <v>8.4846486730350543E-2</v>
      </c>
      <c r="R27" s="622">
        <f>+'1.9 DCF 2S'!E22</f>
        <v>6.7284877814984684E-2</v>
      </c>
      <c r="S27" s="623">
        <f>+'1.9 DCF 2S'!E28</f>
        <v>8.4846486730350543E-2</v>
      </c>
      <c r="T27" s="624">
        <f>+'1.9 DCF 2S'!E21</f>
        <v>9.6380357032627206E-2</v>
      </c>
      <c r="U27" s="326"/>
      <c r="V27" s="617"/>
      <c r="W27" s="625"/>
      <c r="X27" s="626"/>
    </row>
    <row r="28" spans="1:24" ht="15">
      <c r="F28" t="s">
        <v>89</v>
      </c>
      <c r="H28" s="11">
        <f>AVERAGE(H25:H26)</f>
        <v>8.0628861868398793E-2</v>
      </c>
      <c r="I28" s="11" t="e">
        <f>AVERAGE(I25:I26)</f>
        <v>#REF!</v>
      </c>
      <c r="J28" s="11" t="e">
        <f>AVERAGE(J25:J26)</f>
        <v>#REF!</v>
      </c>
      <c r="K28" s="326"/>
      <c r="L28" s="326" t="str">
        <f>+L22</f>
        <v>Forecast Growth Rates - Value Line</v>
      </c>
      <c r="M28" s="326"/>
      <c r="N28" s="326"/>
      <c r="O28" s="326"/>
      <c r="P28" s="326"/>
      <c r="Q28" s="621">
        <f>+H34</f>
        <v>0</v>
      </c>
      <c r="R28" s="622">
        <f>+'1.9 DCF 2S'!E55</f>
        <v>8.1359650423493982E-2</v>
      </c>
      <c r="S28" s="623">
        <f>+'1.9 DCF 2S'!E63</f>
        <v>9.8142584146891823E-2</v>
      </c>
      <c r="T28" s="624">
        <f>+'1.9 DCF 2S'!E51</f>
        <v>0.12462012360379848</v>
      </c>
      <c r="U28" s="326"/>
      <c r="V28" s="617"/>
      <c r="W28" s="625"/>
      <c r="X28" s="626"/>
    </row>
    <row r="29" spans="1:24" ht="15">
      <c r="H29" s="21"/>
      <c r="J29" s="21"/>
      <c r="K29" s="326"/>
      <c r="L29" s="326"/>
      <c r="M29" s="326"/>
      <c r="N29" s="326"/>
      <c r="O29" s="326"/>
      <c r="P29" s="326"/>
      <c r="Q29" s="621"/>
      <c r="R29" s="622"/>
      <c r="S29" s="623"/>
      <c r="T29" s="624"/>
      <c r="U29" s="326"/>
      <c r="V29" s="617"/>
      <c r="W29" s="625"/>
      <c r="X29" s="626"/>
    </row>
    <row r="30" spans="1:24" ht="15" hidden="1">
      <c r="K30" s="326"/>
      <c r="L30" s="326"/>
      <c r="M30" s="326"/>
      <c r="N30" s="326"/>
      <c r="O30" s="326"/>
      <c r="P30" s="326"/>
      <c r="Q30" s="621"/>
      <c r="R30" s="622"/>
      <c r="S30" s="623"/>
      <c r="T30" s="624"/>
      <c r="U30" s="326"/>
      <c r="V30" s="617"/>
      <c r="W30" s="625"/>
      <c r="X30" s="626"/>
    </row>
    <row r="31" spans="1:24" ht="15">
      <c r="A31" s="2" t="s">
        <v>71</v>
      </c>
      <c r="K31" s="306" t="s">
        <v>408</v>
      </c>
      <c r="L31" s="326"/>
      <c r="M31" s="326"/>
      <c r="N31" s="326"/>
      <c r="O31" s="326"/>
      <c r="P31" s="326"/>
      <c r="Q31" s="621"/>
      <c r="R31" s="622"/>
      <c r="S31" s="623"/>
      <c r="T31" s="624"/>
      <c r="U31" s="326"/>
      <c r="V31" s="617"/>
      <c r="W31" s="625"/>
      <c r="X31" s="626"/>
    </row>
    <row r="32" spans="1:24" ht="12" customHeight="1">
      <c r="K32" s="326"/>
      <c r="L32" s="326"/>
      <c r="M32" s="326"/>
      <c r="N32" s="326"/>
      <c r="O32" s="326"/>
      <c r="P32" s="326"/>
      <c r="Q32" s="621"/>
      <c r="R32" s="622"/>
      <c r="S32" s="623"/>
      <c r="T32" s="624"/>
      <c r="U32" s="326"/>
      <c r="V32" s="617"/>
      <c r="W32" s="625"/>
      <c r="X32" s="626"/>
    </row>
    <row r="33" spans="1:24" ht="12.75" customHeight="1">
      <c r="B33" s="37" t="s">
        <v>95</v>
      </c>
      <c r="H33" s="134">
        <f>'1.9 DCF 2S'!E28</f>
        <v>8.4846486730350543E-2</v>
      </c>
      <c r="I33" s="6">
        <f>'DCF 2S B'!F26</f>
        <v>9.2926843501873732E-2</v>
      </c>
      <c r="J33" s="6">
        <f>AVERAGE(H33:I33)</f>
        <v>8.8886665116112137E-2</v>
      </c>
      <c r="K33" s="326"/>
      <c r="L33" s="326"/>
      <c r="M33" s="326"/>
      <c r="N33" s="630" t="s">
        <v>388</v>
      </c>
      <c r="O33" s="631">
        <f>+'1.10 CAPM'!AE113</f>
        <v>3.6900000000000002E-2</v>
      </c>
      <c r="P33" s="326"/>
      <c r="Q33" s="621"/>
      <c r="R33" s="622">
        <f>+'1.10 CAPM'!F15</f>
        <v>7.7100000000000002E-2</v>
      </c>
      <c r="S33" s="623">
        <f>+'1.10 CAPM'!F21</f>
        <v>8.2364285714285709E-2</v>
      </c>
      <c r="T33" s="624">
        <f>+'1.10 CAPM'!F13</f>
        <v>8.7150000000000005E-2</v>
      </c>
      <c r="U33" s="326"/>
      <c r="V33" s="622"/>
      <c r="W33" s="627"/>
      <c r="X33" s="626"/>
    </row>
    <row r="34" spans="1:24" ht="15">
      <c r="B34" s="37" t="s">
        <v>96</v>
      </c>
      <c r="H34" s="134">
        <f>'1.9 DCF 2S'!J63</f>
        <v>0</v>
      </c>
      <c r="I34" s="6">
        <f>'DCF 2S B'!F50</f>
        <v>9.8142584146891823E-2</v>
      </c>
      <c r="J34" s="6">
        <f>AVERAGE(H34:I34)</f>
        <v>4.9071292073445912E-2</v>
      </c>
      <c r="K34" s="326"/>
      <c r="L34" s="610"/>
      <c r="M34" s="610"/>
      <c r="N34" s="610"/>
      <c r="O34" s="632">
        <f>+'1.10 CAPM'!AC109</f>
        <v>41547</v>
      </c>
      <c r="P34" s="326"/>
      <c r="Q34" s="621"/>
      <c r="R34" s="622"/>
      <c r="S34" s="623"/>
      <c r="T34" s="624"/>
      <c r="U34" s="326"/>
      <c r="V34" s="617"/>
      <c r="W34" s="625"/>
      <c r="X34" s="626"/>
    </row>
    <row r="35" spans="1:24" ht="15" hidden="1">
      <c r="F35" t="s">
        <v>89</v>
      </c>
      <c r="H35" s="11">
        <f>AVERAGE(H32:H34)</f>
        <v>4.2423243365175271E-2</v>
      </c>
      <c r="I35" s="11">
        <f>AVERAGE(I32:I34)</f>
        <v>9.5534713824382778E-2</v>
      </c>
      <c r="J35" s="11">
        <f>AVERAGE(J32:J34)</f>
        <v>6.8978978594779028E-2</v>
      </c>
      <c r="K35" s="326"/>
      <c r="L35" s="326"/>
      <c r="M35" s="621"/>
      <c r="N35" s="326"/>
      <c r="O35" s="326"/>
      <c r="P35" s="326"/>
      <c r="Q35" s="621"/>
      <c r="R35" s="622"/>
      <c r="S35" s="623"/>
      <c r="T35" s="624"/>
      <c r="U35" s="326"/>
      <c r="V35" s="617"/>
      <c r="W35" s="625"/>
      <c r="X35" s="626"/>
    </row>
    <row r="36" spans="1:24" ht="15">
      <c r="H36" s="21"/>
      <c r="I36" s="21"/>
      <c r="J36" s="21"/>
      <c r="K36" s="306" t="s">
        <v>69</v>
      </c>
      <c r="L36" s="326"/>
      <c r="M36" s="621" t="s">
        <v>271</v>
      </c>
      <c r="N36" s="326"/>
      <c r="O36" s="326"/>
      <c r="P36" s="326"/>
      <c r="Q36" s="621"/>
      <c r="R36" s="622">
        <f>+'1.10 CAPM'!K15</f>
        <v>6.989999999999999E-2</v>
      </c>
      <c r="S36" s="623">
        <f>+'1.10 CAPM'!K21</f>
        <v>7.3150000000000007E-2</v>
      </c>
      <c r="T36" s="624">
        <f>+'1.10 CAPM'!K19</f>
        <v>7.9750000000000001E-2</v>
      </c>
      <c r="U36" s="326"/>
      <c r="V36" s="622">
        <v>9.5100000000000004E-2</v>
      </c>
      <c r="W36" s="627">
        <v>9.8199999999999996E-2</v>
      </c>
      <c r="X36" s="626">
        <v>0.10489999999999999</v>
      </c>
    </row>
    <row r="37" spans="1:24" ht="15">
      <c r="A37" s="71" t="s">
        <v>104</v>
      </c>
      <c r="B37" s="36"/>
      <c r="C37" s="36"/>
      <c r="D37" s="36"/>
      <c r="E37" s="36"/>
      <c r="F37" s="36"/>
      <c r="G37" s="36"/>
      <c r="H37" s="63" t="s">
        <v>106</v>
      </c>
      <c r="I37" s="72" t="s">
        <v>105</v>
      </c>
      <c r="J37" s="63" t="s">
        <v>38</v>
      </c>
      <c r="K37" s="326"/>
      <c r="L37" s="625"/>
      <c r="M37" s="621" t="s">
        <v>297</v>
      </c>
      <c r="N37" s="326"/>
      <c r="O37" s="326"/>
      <c r="P37" s="326"/>
      <c r="Q37" s="621"/>
      <c r="R37" s="622">
        <f>+'1.10 CAPM'!I95</f>
        <v>6.6879999999999995E-2</v>
      </c>
      <c r="S37" s="623">
        <f>+'1.10 CAPM'!I100</f>
        <v>7.9314285714285712E-2</v>
      </c>
      <c r="T37" s="624">
        <f>+'1.10 CAPM'!I92</f>
        <v>9.5500000000000002E-2</v>
      </c>
      <c r="U37" s="326"/>
      <c r="V37" s="617"/>
      <c r="W37" s="633"/>
      <c r="X37" s="619"/>
    </row>
    <row r="38" spans="1:24" ht="15">
      <c r="A38" s="36"/>
      <c r="B38" s="36"/>
      <c r="C38" s="36"/>
      <c r="D38" s="36"/>
      <c r="E38" s="36"/>
      <c r="F38" s="36"/>
      <c r="G38" s="36"/>
      <c r="H38" s="11"/>
      <c r="I38" s="11"/>
      <c r="J38" s="11"/>
      <c r="K38" s="326"/>
      <c r="L38" s="625"/>
      <c r="M38" s="621"/>
      <c r="N38" s="326"/>
      <c r="O38" s="326"/>
      <c r="P38" s="326"/>
      <c r="Q38" s="621"/>
      <c r="R38" s="622"/>
      <c r="S38" s="623"/>
      <c r="T38" s="624"/>
      <c r="U38" s="326"/>
      <c r="V38" s="617"/>
      <c r="W38" s="620"/>
      <c r="X38" s="619"/>
    </row>
    <row r="39" spans="1:24" ht="15">
      <c r="A39" s="36"/>
      <c r="B39" s="69" t="s">
        <v>101</v>
      </c>
      <c r="C39" s="36"/>
      <c r="D39" s="36"/>
      <c r="E39" s="36"/>
      <c r="F39" s="36"/>
      <c r="G39" s="36"/>
      <c r="H39" s="134">
        <f>+'1.10 CAPM'!F36</f>
        <v>7.5578571428571439E-2</v>
      </c>
      <c r="I39" s="21" t="e">
        <f>'1.10 CAPM'!G133</f>
        <v>#REF!</v>
      </c>
      <c r="J39" s="6" t="e">
        <f t="shared" ref="J39:J44" si="0">AVERAGE(H39:I39)</f>
        <v>#REF!</v>
      </c>
      <c r="K39" s="306" t="s">
        <v>340</v>
      </c>
      <c r="L39" s="326"/>
      <c r="M39" s="621"/>
      <c r="N39" s="326"/>
      <c r="O39" s="326"/>
      <c r="P39" s="326"/>
      <c r="Q39" s="621"/>
      <c r="R39" s="622"/>
      <c r="S39" s="618"/>
      <c r="T39" s="619"/>
      <c r="U39" s="326"/>
      <c r="V39" s="617"/>
      <c r="W39" s="620"/>
      <c r="X39" s="619"/>
    </row>
    <row r="40" spans="1:24" ht="12.75" customHeight="1">
      <c r="A40" s="36"/>
      <c r="B40" s="70" t="s">
        <v>277</v>
      </c>
      <c r="C40" s="36"/>
      <c r="D40" s="36"/>
      <c r="E40" s="36"/>
      <c r="F40" s="36"/>
      <c r="G40" s="36"/>
      <c r="H40" s="134">
        <f>+'1.10 CAPM'!F37</f>
        <v>6.5400000000000014E-2</v>
      </c>
      <c r="I40" s="21" t="e">
        <f>#REF!</f>
        <v>#REF!</v>
      </c>
      <c r="J40" s="6" t="e">
        <f t="shared" si="0"/>
        <v>#REF!</v>
      </c>
      <c r="K40" s="326"/>
      <c r="L40" s="820">
        <v>2012</v>
      </c>
      <c r="M40" s="820"/>
      <c r="N40" s="326"/>
      <c r="O40" s="326"/>
      <c r="P40" s="326"/>
      <c r="Q40" s="621"/>
      <c r="R40" s="622">
        <f>+'1.11 ROE Compare'!O10/100</f>
        <v>7.889374090247453E-2</v>
      </c>
      <c r="S40" s="623">
        <f>+'1.11 ROE Compare'!O18/100</f>
        <v>9.9860157727679311E-2</v>
      </c>
      <c r="T40" s="624">
        <f>+'1.11 ROE Compare'!O15/100</f>
        <v>0.12443121157706863</v>
      </c>
      <c r="U40" s="326"/>
      <c r="V40" s="622">
        <v>0.08</v>
      </c>
      <c r="W40" s="623">
        <v>0.106</v>
      </c>
      <c r="X40" s="624">
        <v>0.13500000000000001</v>
      </c>
    </row>
    <row r="41" spans="1:24" ht="12.75" customHeight="1">
      <c r="A41" s="36"/>
      <c r="B41" s="55" t="s">
        <v>102</v>
      </c>
      <c r="C41" s="36"/>
      <c r="D41" s="36"/>
      <c r="E41" s="36"/>
      <c r="F41" s="36"/>
      <c r="G41" s="36"/>
      <c r="H41" s="134">
        <f>+'1.10 CAPM'!F39</f>
        <v>8.2364285714285723E-2</v>
      </c>
      <c r="I41" s="21" t="e">
        <f>#REF!</f>
        <v>#REF!</v>
      </c>
      <c r="J41" s="6" t="e">
        <f t="shared" si="0"/>
        <v>#REF!</v>
      </c>
      <c r="K41" s="639"/>
      <c r="L41" s="639" t="s">
        <v>341</v>
      </c>
      <c r="M41" s="621"/>
      <c r="N41" s="326"/>
      <c r="O41" s="610"/>
      <c r="P41" s="610"/>
      <c r="Q41" s="621"/>
      <c r="R41" s="622">
        <f>+'1.11 ROE Compare'!P10/100</f>
        <v>8.5952383388516948E-2</v>
      </c>
      <c r="S41" s="623">
        <f>+'1.11 ROE Compare'!P18/100</f>
        <v>0.10342455170112169</v>
      </c>
      <c r="T41" s="624">
        <f>+'1.11 ROE Compare'!P15/100</f>
        <v>0.12813768763275682</v>
      </c>
      <c r="U41" s="326"/>
      <c r="V41" s="617"/>
      <c r="W41" s="620"/>
      <c r="X41" s="619"/>
    </row>
    <row r="42" spans="1:24" ht="12.75" customHeight="1">
      <c r="A42" s="36"/>
      <c r="B42" s="55"/>
      <c r="C42" s="36"/>
      <c r="D42" s="36"/>
      <c r="E42" s="36"/>
      <c r="F42" s="36"/>
      <c r="G42" s="36"/>
      <c r="H42" s="134"/>
      <c r="I42" s="21"/>
      <c r="K42" s="639"/>
      <c r="L42" s="639" t="s">
        <v>397</v>
      </c>
      <c r="M42" s="621"/>
      <c r="N42" s="326"/>
      <c r="O42" s="610"/>
      <c r="P42" s="610"/>
      <c r="Q42" s="621"/>
      <c r="R42" s="622">
        <f>+'1.11 ROE Compare'!Q16/100</f>
        <v>8.4059483159329942E-2</v>
      </c>
      <c r="S42" s="623">
        <f>+'1.11 ROE Compare'!Q18/100</f>
        <v>0.10681272433411712</v>
      </c>
      <c r="T42" s="624">
        <f>+'1.11 ROE Compare'!Q15/100</f>
        <v>0.12913778185268721</v>
      </c>
      <c r="U42" s="326"/>
      <c r="V42" s="617"/>
      <c r="W42" s="620"/>
      <c r="X42" s="619"/>
    </row>
    <row r="43" spans="1:24" ht="15">
      <c r="A43" s="36"/>
      <c r="B43" s="55" t="s">
        <v>278</v>
      </c>
      <c r="C43" s="36"/>
      <c r="D43" s="36"/>
      <c r="E43" s="36"/>
      <c r="F43" s="36"/>
      <c r="G43" s="36"/>
      <c r="H43" s="134" t="e">
        <f>+'1.10 CAPM'!#REF!</f>
        <v>#REF!</v>
      </c>
      <c r="I43" s="21" t="e">
        <f>#REF!</f>
        <v>#REF!</v>
      </c>
      <c r="J43" s="6" t="e">
        <f t="shared" si="0"/>
        <v>#REF!</v>
      </c>
      <c r="K43" s="326"/>
      <c r="L43" s="326"/>
      <c r="M43" s="621"/>
      <c r="N43" s="610"/>
      <c r="O43" s="610"/>
      <c r="P43" s="610"/>
      <c r="Q43" s="621"/>
      <c r="R43" s="622"/>
      <c r="S43" s="623"/>
      <c r="T43" s="624"/>
      <c r="U43" s="610"/>
      <c r="V43" s="617"/>
      <c r="W43" s="620"/>
      <c r="X43" s="619"/>
    </row>
    <row r="44" spans="1:24" ht="15" hidden="1">
      <c r="A44" s="36"/>
      <c r="B44" s="55" t="s">
        <v>103</v>
      </c>
      <c r="C44" s="36"/>
      <c r="D44" s="36"/>
      <c r="E44" s="36"/>
      <c r="F44" s="36"/>
      <c r="G44" s="36"/>
      <c r="H44" s="134" t="e">
        <f>+'1.10 CAPM'!#REF!</f>
        <v>#REF!</v>
      </c>
      <c r="I44" s="21" t="e">
        <f>#REF!</f>
        <v>#REF!</v>
      </c>
      <c r="J44" s="6" t="e">
        <f t="shared" si="0"/>
        <v>#REF!</v>
      </c>
      <c r="K44" s="625"/>
      <c r="L44" s="326"/>
      <c r="M44" s="621"/>
      <c r="N44" s="610"/>
      <c r="O44" s="610"/>
      <c r="P44" s="610"/>
      <c r="Q44" s="621"/>
      <c r="R44" s="622"/>
      <c r="S44" s="623"/>
      <c r="T44" s="624"/>
      <c r="U44" s="610"/>
      <c r="V44" s="617"/>
      <c r="W44" s="620"/>
      <c r="X44" s="619"/>
    </row>
    <row r="45" spans="1:24" ht="15" customHeight="1">
      <c r="A45" s="36"/>
      <c r="B45" s="36"/>
      <c r="C45" s="36"/>
      <c r="D45" s="36"/>
      <c r="E45" s="36"/>
      <c r="F45" s="36" t="s">
        <v>279</v>
      </c>
      <c r="G45" s="36"/>
      <c r="H45" s="154" t="e">
        <f>+H44</f>
        <v>#REF!</v>
      </c>
      <c r="I45" s="11" t="e">
        <f>AVERAGE(I39:I44)</f>
        <v>#REF!</v>
      </c>
      <c r="J45" s="11" t="e">
        <f>AVERAGE(H45:I45)</f>
        <v>#REF!</v>
      </c>
      <c r="K45" s="655" t="s">
        <v>834</v>
      </c>
      <c r="L45" s="613"/>
      <c r="M45" s="613"/>
      <c r="N45" s="613"/>
      <c r="O45" s="656"/>
      <c r="P45" s="656"/>
      <c r="Q45" s="621"/>
      <c r="R45" s="622">
        <v>9.06E-2</v>
      </c>
      <c r="S45" s="623">
        <v>9.9299999999999999E-2</v>
      </c>
      <c r="T45" s="624">
        <v>0.105</v>
      </c>
      <c r="U45" s="610"/>
      <c r="V45" s="622">
        <f>+R45</f>
        <v>9.06E-2</v>
      </c>
      <c r="W45" s="623">
        <v>9.9299999999999999E-2</v>
      </c>
      <c r="X45" s="624">
        <f>+T45</f>
        <v>0.105</v>
      </c>
    </row>
    <row r="46" spans="1:24" ht="15" customHeight="1">
      <c r="A46" s="36"/>
      <c r="B46" s="36"/>
      <c r="C46" s="36"/>
      <c r="D46" s="36"/>
      <c r="E46" s="36"/>
      <c r="F46" s="36"/>
      <c r="G46" s="36"/>
      <c r="H46" s="146"/>
      <c r="I46" s="21"/>
      <c r="J46" s="21"/>
      <c r="K46" s="655" t="s">
        <v>835</v>
      </c>
      <c r="L46" s="613"/>
      <c r="M46" s="613"/>
      <c r="N46" s="613"/>
      <c r="O46" s="656"/>
      <c r="P46" s="656"/>
      <c r="Q46" s="621"/>
      <c r="R46" s="622">
        <v>9.2499999999999999E-2</v>
      </c>
      <c r="S46" s="623">
        <v>9.5100000000000004E-2</v>
      </c>
      <c r="T46" s="624">
        <v>9.8000000000000004E-2</v>
      </c>
      <c r="U46" s="610"/>
      <c r="V46" s="622"/>
      <c r="W46" s="623"/>
      <c r="X46" s="624"/>
    </row>
    <row r="47" spans="1:24" ht="15">
      <c r="A47" s="36"/>
      <c r="B47" s="36"/>
      <c r="C47" s="36"/>
      <c r="D47" s="36"/>
      <c r="E47" s="36"/>
      <c r="F47" s="36"/>
      <c r="G47" s="36"/>
      <c r="H47" s="21"/>
      <c r="K47" s="625"/>
      <c r="L47" s="326"/>
      <c r="M47" s="326"/>
      <c r="N47" s="326"/>
      <c r="O47" s="610"/>
      <c r="P47" s="610"/>
      <c r="Q47" s="621"/>
      <c r="R47" s="622"/>
      <c r="S47" s="623"/>
      <c r="T47" s="624"/>
      <c r="U47" s="610"/>
      <c r="V47" s="617"/>
      <c r="W47" s="620"/>
      <c r="X47" s="619"/>
    </row>
    <row r="48" spans="1:24" ht="12.75" hidden="1" customHeight="1">
      <c r="A48" s="73" t="s">
        <v>173</v>
      </c>
      <c r="B48" s="74"/>
      <c r="C48" s="74"/>
      <c r="D48" s="36"/>
      <c r="E48" s="36"/>
      <c r="H48" s="63" t="s">
        <v>106</v>
      </c>
      <c r="I48" s="72" t="s">
        <v>105</v>
      </c>
      <c r="J48" s="72" t="s">
        <v>38</v>
      </c>
      <c r="K48" s="638" t="s">
        <v>364</v>
      </c>
      <c r="L48" s="326"/>
      <c r="M48" s="326"/>
      <c r="N48" s="326"/>
      <c r="O48" s="610"/>
      <c r="P48" s="610"/>
      <c r="Q48" s="621"/>
      <c r="R48" s="622"/>
      <c r="S48" s="623"/>
      <c r="T48" s="624"/>
      <c r="U48" s="610"/>
      <c r="V48" s="622">
        <v>9.4E-2</v>
      </c>
      <c r="W48" s="623">
        <v>0.124</v>
      </c>
      <c r="X48" s="624">
        <v>0.17100000000000001</v>
      </c>
    </row>
    <row r="49" spans="1:26" ht="15" hidden="1">
      <c r="A49" s="36"/>
      <c r="B49" s="36"/>
      <c r="C49" s="36"/>
      <c r="D49" s="36"/>
      <c r="E49" s="36"/>
      <c r="H49" s="3"/>
      <c r="I49" s="3"/>
      <c r="J49" s="11"/>
      <c r="K49" s="634"/>
      <c r="L49" s="326"/>
      <c r="M49" s="326"/>
      <c r="N49" s="326"/>
      <c r="O49" s="326"/>
      <c r="P49" s="326"/>
      <c r="Q49" s="326"/>
      <c r="R49" s="617"/>
      <c r="S49" s="618"/>
      <c r="T49" s="619"/>
      <c r="U49" s="326"/>
      <c r="V49" s="617"/>
      <c r="W49" s="635"/>
      <c r="X49" s="619"/>
    </row>
    <row r="50" spans="1:26" ht="15" hidden="1">
      <c r="A50" s="75" t="s">
        <v>172</v>
      </c>
      <c r="B50" s="21"/>
      <c r="D50" s="36"/>
      <c r="E50" s="36"/>
      <c r="H50" s="21" t="e">
        <f>#REF!</f>
        <v>#REF!</v>
      </c>
      <c r="I50" s="21" t="e">
        <f>#REF!</f>
        <v>#REF!</v>
      </c>
      <c r="J50" s="6" t="e">
        <f>AVERAGE(H50:I50)</f>
        <v>#REF!</v>
      </c>
      <c r="K50" s="636" t="s">
        <v>365</v>
      </c>
      <c r="L50" s="326"/>
      <c r="M50" s="326"/>
      <c r="N50" s="326"/>
      <c r="O50" s="326"/>
      <c r="P50" s="326"/>
      <c r="Q50" s="326"/>
      <c r="R50" s="617"/>
      <c r="S50" s="618"/>
      <c r="T50" s="619"/>
      <c r="U50" s="326"/>
      <c r="V50" s="622">
        <v>3.3000000000000002E-2</v>
      </c>
      <c r="W50" s="623">
        <v>5.5E-2</v>
      </c>
      <c r="X50" s="624">
        <v>0.109</v>
      </c>
    </row>
    <row r="51" spans="1:26" ht="15">
      <c r="A51" s="75" t="s">
        <v>97</v>
      </c>
      <c r="B51" s="55"/>
      <c r="C51" s="36"/>
      <c r="D51" s="36"/>
      <c r="E51" s="36"/>
      <c r="H51" s="21" t="e">
        <f>#REF!</f>
        <v>#REF!</v>
      </c>
      <c r="I51" s="21" t="e">
        <f>#REF!</f>
        <v>#REF!</v>
      </c>
      <c r="J51" s="6" t="e">
        <f>AVERAGE(H51:I51)</f>
        <v>#REF!</v>
      </c>
      <c r="K51" s="634"/>
      <c r="L51" s="326"/>
      <c r="M51" s="610"/>
      <c r="N51" s="326"/>
      <c r="O51" s="326"/>
      <c r="P51" s="326"/>
      <c r="Q51" s="326"/>
      <c r="R51" s="617"/>
      <c r="S51" s="623"/>
      <c r="T51" s="619"/>
      <c r="U51" s="326"/>
      <c r="V51" s="617"/>
      <c r="W51" s="620"/>
      <c r="X51" s="619"/>
    </row>
    <row r="52" spans="1:26" ht="15">
      <c r="A52" s="75"/>
      <c r="B52" s="55"/>
      <c r="C52" s="36"/>
      <c r="D52" s="36"/>
      <c r="E52" s="36"/>
      <c r="H52" s="21"/>
      <c r="I52" s="21"/>
      <c r="K52" s="634"/>
      <c r="L52" s="326"/>
      <c r="M52" s="610"/>
      <c r="N52" s="326"/>
      <c r="O52" s="326"/>
      <c r="P52" s="326"/>
      <c r="Q52" s="326"/>
      <c r="R52" s="617"/>
      <c r="S52" s="623">
        <f>AVERAGE(S37,S30,S25,S19)</f>
        <v>7.9314285714285712E-2</v>
      </c>
      <c r="T52" s="619"/>
      <c r="U52" s="326"/>
      <c r="V52" s="617"/>
      <c r="W52" s="620"/>
      <c r="X52" s="619"/>
    </row>
    <row r="53" spans="1:26" ht="15" hidden="1">
      <c r="A53" s="75" t="s">
        <v>177</v>
      </c>
      <c r="B53" s="55"/>
      <c r="C53" s="36"/>
      <c r="D53" s="36"/>
      <c r="E53" s="36"/>
      <c r="H53" s="21" t="e">
        <f>#REF!</f>
        <v>#REF!</v>
      </c>
      <c r="I53" s="21" t="e">
        <f>#REF!</f>
        <v>#REF!</v>
      </c>
      <c r="J53" s="6" t="e">
        <f>AVERAGE(H53:I53)</f>
        <v>#REF!</v>
      </c>
      <c r="K53" s="634"/>
      <c r="L53" s="326"/>
      <c r="M53" s="610"/>
      <c r="N53" s="326"/>
      <c r="O53" s="326"/>
      <c r="P53" s="326"/>
      <c r="Q53" s="326"/>
      <c r="R53" s="617"/>
      <c r="S53" s="623">
        <f>AVERAGE(S21,S22,S27,S28,S33,S40)</f>
        <v>9.1254181601538267E-2</v>
      </c>
      <c r="T53" s="619"/>
      <c r="U53" s="326"/>
      <c r="V53" s="617"/>
      <c r="W53" s="620"/>
      <c r="X53" s="619"/>
    </row>
    <row r="54" spans="1:26" ht="15" hidden="1">
      <c r="A54" s="75"/>
      <c r="B54" s="55"/>
      <c r="C54" s="36"/>
      <c r="D54" s="36"/>
      <c r="E54" s="36"/>
      <c r="H54" s="21"/>
      <c r="I54" s="21"/>
      <c r="K54" s="634"/>
      <c r="L54" s="326"/>
      <c r="M54" s="610"/>
      <c r="N54" s="326"/>
      <c r="O54" s="326"/>
      <c r="P54" s="326"/>
      <c r="Q54" s="326"/>
      <c r="R54" s="617"/>
      <c r="S54" s="623">
        <f>AVERAGE(S21,S22,S28,S27,S33,S40,S45)</f>
        <v>9.2403584229889937E-2</v>
      </c>
      <c r="T54" s="619"/>
      <c r="U54" s="326"/>
      <c r="V54" s="617"/>
      <c r="W54" s="620"/>
      <c r="X54" s="619"/>
    </row>
    <row r="55" spans="1:26" ht="15">
      <c r="A55" s="36"/>
      <c r="B55" s="55"/>
      <c r="C55" s="36"/>
      <c r="D55" s="36"/>
      <c r="E55" s="36"/>
      <c r="F55" s="36" t="s">
        <v>89</v>
      </c>
      <c r="G55" s="36"/>
      <c r="H55" s="11" t="e">
        <f>AVERAGE(H50:H53)</f>
        <v>#REF!</v>
      </c>
      <c r="I55" s="11" t="e">
        <f>AVERAGE(I50:I53)</f>
        <v>#REF!</v>
      </c>
      <c r="J55" s="11" t="e">
        <f>AVERAGE(J50:J53)</f>
        <v>#REF!</v>
      </c>
      <c r="K55" s="634"/>
      <c r="L55" s="326"/>
      <c r="M55" s="610"/>
      <c r="N55" s="326"/>
      <c r="O55" s="610"/>
      <c r="P55" s="637" t="s">
        <v>370</v>
      </c>
      <c r="Q55" s="621"/>
      <c r="R55" s="622">
        <f>AVERAGE(R40,R33,R28,R22)</f>
        <v>7.9275981093752251E-2</v>
      </c>
      <c r="S55" s="623">
        <f>AVERAGE(S40,S33,S28,S22)</f>
        <v>9.436775737989557E-2</v>
      </c>
      <c r="T55" s="624">
        <f>AVERAGE(T40,T33,T28,T22)</f>
        <v>0.11455784202951598</v>
      </c>
      <c r="U55" s="621"/>
      <c r="V55" s="622">
        <f>AVERAGE(V21:V41)</f>
        <v>8.4900000000000017E-2</v>
      </c>
      <c r="W55" s="623">
        <f>AVERAGE(W40,W36,W21)</f>
        <v>9.7166666666666665E-2</v>
      </c>
      <c r="X55" s="624">
        <f>AVERAGE(X21:X41)</f>
        <v>0.11163333333333332</v>
      </c>
      <c r="Z55" s="116">
        <f>+W55-S55</f>
        <v>2.7989092867710952E-3</v>
      </c>
    </row>
    <row r="56" spans="1:26" ht="15">
      <c r="A56" s="36"/>
      <c r="B56" s="55"/>
      <c r="C56" s="36"/>
      <c r="D56" s="36"/>
      <c r="E56" s="36"/>
      <c r="F56" s="36"/>
      <c r="G56" s="36"/>
      <c r="H56" s="21"/>
      <c r="I56" s="21"/>
      <c r="J56" s="21"/>
      <c r="K56" s="634"/>
      <c r="L56" s="326"/>
      <c r="M56" s="610"/>
      <c r="N56" s="326"/>
      <c r="O56" s="610"/>
      <c r="P56" s="637" t="s">
        <v>373</v>
      </c>
      <c r="Q56" s="621"/>
      <c r="R56" s="622">
        <f>AVERAGE(R40,R33,R28,R22,R45)</f>
        <v>8.1540784875001798E-2</v>
      </c>
      <c r="S56" s="623">
        <f>AVERAGE(S40,S33,S28,S22,S45)</f>
        <v>9.5354205903916453E-2</v>
      </c>
      <c r="T56" s="624">
        <f>AVERAGE(T40,T33,T28,T22,T45)</f>
        <v>0.11264627362361279</v>
      </c>
      <c r="U56" s="621"/>
      <c r="V56" s="622">
        <f>AVERAGE(V21:V45)</f>
        <v>8.6325000000000013E-2</v>
      </c>
      <c r="W56" s="623">
        <f>AVERAGE(W45,W40,W36,W21)</f>
        <v>9.7699999999999995E-2</v>
      </c>
      <c r="X56" s="624">
        <f>AVERAGE(X21:X45)</f>
        <v>0.10997499999999999</v>
      </c>
    </row>
    <row r="57" spans="1:26" ht="15">
      <c r="A57" s="36"/>
      <c r="B57" s="55"/>
      <c r="C57" s="36"/>
      <c r="D57" s="36"/>
      <c r="E57" s="36"/>
      <c r="F57" s="36"/>
      <c r="G57" s="36"/>
      <c r="H57" s="21"/>
      <c r="I57" s="21"/>
      <c r="J57" s="21"/>
      <c r="K57" s="634"/>
      <c r="L57" s="326"/>
      <c r="M57" s="610"/>
      <c r="N57" s="326"/>
      <c r="O57" s="610"/>
      <c r="P57" s="637" t="s">
        <v>407</v>
      </c>
      <c r="Q57" s="621"/>
      <c r="R57" s="622">
        <f>AVERAGE(R40,R33,R22,R28,R46)</f>
        <v>8.1920784875001804E-2</v>
      </c>
      <c r="S57" s="623">
        <f>AVERAGE(S40,S33,S22,S28,S46)</f>
        <v>9.4514205903916459E-2</v>
      </c>
      <c r="T57" s="624">
        <f>AVERAGE(T40,T33,T22,T28,T46)</f>
        <v>0.11124627362361277</v>
      </c>
      <c r="U57" s="621"/>
      <c r="V57" s="622"/>
      <c r="W57" s="623"/>
      <c r="X57" s="624"/>
    </row>
    <row r="58" spans="1:26" ht="15">
      <c r="A58" s="145" t="s">
        <v>213</v>
      </c>
      <c r="B58" s="55"/>
      <c r="C58" s="36"/>
      <c r="D58" s="36"/>
      <c r="E58" s="36"/>
      <c r="F58" s="36"/>
      <c r="G58" s="36"/>
      <c r="H58" s="146">
        <v>0.1045</v>
      </c>
      <c r="I58" s="21"/>
      <c r="J58" s="146">
        <f>(+H58+H59)/2</f>
        <v>0.10125000000000001</v>
      </c>
      <c r="K58" s="634"/>
      <c r="L58" s="326"/>
      <c r="M58" s="610"/>
      <c r="N58" s="610"/>
      <c r="O58" s="610"/>
      <c r="P58" s="610"/>
      <c r="Q58" s="621"/>
      <c r="R58" s="622"/>
      <c r="S58" s="623"/>
      <c r="T58" s="624"/>
      <c r="U58" s="610"/>
      <c r="V58" s="617"/>
      <c r="W58" s="620"/>
      <c r="X58" s="619"/>
    </row>
    <row r="59" spans="1:26" ht="15.75">
      <c r="A59" s="145" t="s">
        <v>213</v>
      </c>
      <c r="B59" s="55"/>
      <c r="C59" s="36"/>
      <c r="D59" s="36"/>
      <c r="E59" s="36"/>
      <c r="F59" s="36"/>
      <c r="G59" s="36"/>
      <c r="H59" s="146">
        <v>9.8000000000000004E-2</v>
      </c>
      <c r="I59" s="21"/>
      <c r="J59" s="21"/>
      <c r="K59" s="55"/>
      <c r="M59" s="6"/>
      <c r="N59" s="6"/>
      <c r="O59" s="6"/>
      <c r="P59" s="513" t="s">
        <v>343</v>
      </c>
      <c r="Q59" s="116"/>
      <c r="R59" s="598"/>
      <c r="S59" s="600">
        <v>9.4500000000000001E-2</v>
      </c>
      <c r="T59" s="599"/>
      <c r="U59" s="6"/>
      <c r="V59" s="596"/>
      <c r="W59" s="600">
        <v>0.10349999999999999</v>
      </c>
      <c r="X59" s="597"/>
      <c r="Z59" s="116">
        <f>+W59-S59</f>
        <v>8.9999999999999941E-3</v>
      </c>
    </row>
    <row r="60" spans="1:26" ht="16.5" thickBot="1">
      <c r="A60" s="36"/>
      <c r="B60" s="55"/>
      <c r="C60" s="36"/>
      <c r="D60" s="36"/>
      <c r="E60" s="36"/>
      <c r="F60" s="36"/>
      <c r="G60" s="36"/>
      <c r="H60" s="21"/>
      <c r="I60" s="21"/>
      <c r="J60" s="21"/>
      <c r="K60" s="55"/>
      <c r="M60" s="6"/>
      <c r="N60" s="6"/>
      <c r="O60" s="6"/>
      <c r="P60" s="6"/>
      <c r="Q60" s="116"/>
      <c r="R60" s="604"/>
      <c r="S60" s="605"/>
      <c r="T60" s="606"/>
      <c r="U60" s="6"/>
      <c r="V60" s="601"/>
      <c r="W60" s="602"/>
      <c r="X60" s="603"/>
    </row>
    <row r="61" spans="1:26" ht="15.75">
      <c r="A61" s="36" t="s">
        <v>214</v>
      </c>
      <c r="B61" s="55"/>
      <c r="C61" s="36"/>
      <c r="D61" s="36"/>
      <c r="E61" s="36"/>
      <c r="F61" s="36"/>
      <c r="G61" s="36"/>
      <c r="H61" s="146">
        <v>9.98E-2</v>
      </c>
      <c r="I61" s="21"/>
      <c r="J61" s="146">
        <f>+(H61+H62+H63+H64)/4</f>
        <v>9.7025E-2</v>
      </c>
      <c r="K61" s="55"/>
      <c r="M61" s="6"/>
      <c r="N61" s="6"/>
      <c r="O61" s="6"/>
      <c r="P61" s="6"/>
      <c r="Q61" s="116"/>
      <c r="R61" s="116"/>
      <c r="S61" s="349"/>
      <c r="T61" s="116"/>
      <c r="U61" s="6"/>
      <c r="W61" s="349"/>
    </row>
    <row r="62" spans="1:26" ht="15.75" hidden="1">
      <c r="A62" s="110" t="s">
        <v>214</v>
      </c>
      <c r="B62" s="55"/>
      <c r="C62" s="36"/>
      <c r="D62" s="36"/>
      <c r="E62" s="36"/>
      <c r="F62" s="36"/>
      <c r="G62" s="36"/>
      <c r="H62" s="146">
        <v>9.5500000000000002E-2</v>
      </c>
      <c r="I62" s="21"/>
      <c r="J62" s="21"/>
      <c r="K62" s="55"/>
      <c r="S62" s="349"/>
      <c r="W62" s="349"/>
    </row>
    <row r="63" spans="1:26" hidden="1">
      <c r="A63" s="36" t="s">
        <v>214</v>
      </c>
      <c r="B63" s="55"/>
      <c r="C63" s="36"/>
      <c r="D63" s="36"/>
      <c r="E63" s="36"/>
      <c r="F63" s="36"/>
      <c r="G63" s="36"/>
      <c r="H63" s="146">
        <v>9.5899999999999999E-2</v>
      </c>
      <c r="I63" s="21"/>
      <c r="J63" s="21"/>
      <c r="K63" s="55"/>
      <c r="M63" s="6"/>
      <c r="N63" s="6"/>
      <c r="O63" s="6"/>
      <c r="P63" s="6"/>
      <c r="Q63" s="116"/>
      <c r="R63" s="116"/>
      <c r="S63" s="259"/>
      <c r="T63" s="6">
        <f t="shared" ref="T63:V63" si="1">+V55-R55</f>
        <v>5.6240189062477658E-3</v>
      </c>
      <c r="U63" s="6">
        <f t="shared" si="1"/>
        <v>2.7989092867710952E-3</v>
      </c>
      <c r="V63" s="6">
        <f t="shared" si="1"/>
        <v>-2.9245086961826594E-3</v>
      </c>
    </row>
    <row r="64" spans="1:26" hidden="1">
      <c r="A64" s="110" t="s">
        <v>214</v>
      </c>
      <c r="B64" s="55"/>
      <c r="C64" s="36"/>
      <c r="D64" s="36"/>
      <c r="E64" s="36"/>
      <c r="F64" s="36"/>
      <c r="G64" s="36"/>
      <c r="H64" s="146">
        <v>9.69E-2</v>
      </c>
      <c r="I64" s="21"/>
      <c r="J64" s="21"/>
      <c r="K64" s="55"/>
      <c r="M64" s="6"/>
      <c r="N64" s="6"/>
      <c r="O64" s="6"/>
      <c r="P64" s="6"/>
      <c r="Q64" s="116"/>
      <c r="R64" s="116"/>
      <c r="S64" s="259"/>
      <c r="T64" s="6">
        <f>+V56-R57</f>
        <v>4.4042151249982092E-3</v>
      </c>
      <c r="U64" s="6">
        <f>+W56-S57</f>
        <v>3.1857940960835357E-3</v>
      </c>
      <c r="V64" s="6">
        <f>+X56-T57</f>
        <v>-1.2712736236127758E-3</v>
      </c>
    </row>
    <row r="65" spans="1:21" hidden="1">
      <c r="A65" s="36"/>
      <c r="B65" s="55"/>
      <c r="C65" s="36"/>
      <c r="D65" s="36"/>
      <c r="E65" s="36"/>
      <c r="F65" s="36"/>
      <c r="G65" s="36"/>
      <c r="H65" s="21"/>
      <c r="I65" s="21"/>
      <c r="J65" s="21"/>
      <c r="N65" s="6"/>
      <c r="P65" s="6"/>
      <c r="Q65" s="116"/>
      <c r="R65" s="116"/>
      <c r="S65" s="259"/>
      <c r="T65" s="116"/>
    </row>
    <row r="66" spans="1:21" hidden="1">
      <c r="A66" s="36"/>
      <c r="B66" s="36"/>
      <c r="C66" s="36"/>
      <c r="D66" s="36"/>
      <c r="E66" s="36"/>
      <c r="F66" s="36"/>
      <c r="G66" s="36"/>
      <c r="H66" s="76"/>
      <c r="I66" s="71"/>
      <c r="J66" s="21"/>
      <c r="N66" s="6"/>
      <c r="P66" s="6"/>
      <c r="Q66" s="116"/>
      <c r="R66" s="116"/>
      <c r="S66" s="259"/>
      <c r="T66" s="116"/>
      <c r="U66" s="6">
        <f>+W59-S59</f>
        <v>8.9999999999999941E-3</v>
      </c>
    </row>
    <row r="67" spans="1:21" ht="15.75" hidden="1">
      <c r="A67" s="79" t="s">
        <v>131</v>
      </c>
      <c r="B67" s="36"/>
      <c r="C67" s="36"/>
      <c r="D67" s="36"/>
      <c r="E67" s="36"/>
      <c r="F67" s="36"/>
      <c r="G67" s="36"/>
      <c r="I67" s="80"/>
      <c r="J67" s="77" t="s">
        <v>52</v>
      </c>
      <c r="Q67" s="116"/>
      <c r="R67" s="116"/>
      <c r="S67" s="259"/>
      <c r="T67" s="116"/>
    </row>
    <row r="68" spans="1:21">
      <c r="A68" s="36"/>
      <c r="B68" s="36"/>
      <c r="C68" s="36"/>
      <c r="D68" s="36"/>
      <c r="E68" s="36"/>
      <c r="F68" s="36"/>
      <c r="G68" s="36"/>
      <c r="I68" s="78"/>
      <c r="J68" s="81"/>
      <c r="Q68" s="116"/>
      <c r="R68" s="116"/>
      <c r="S68" s="259"/>
      <c r="T68" s="116"/>
    </row>
    <row r="69" spans="1:21">
      <c r="A69" s="45" t="s">
        <v>178</v>
      </c>
      <c r="B69" s="36"/>
      <c r="C69" s="36"/>
      <c r="D69" s="36"/>
      <c r="E69" s="36"/>
      <c r="F69" s="36"/>
      <c r="G69" s="36"/>
      <c r="H69" s="6">
        <f>+'1.8 DCF SS'!J28</f>
        <v>8.4268147582684513E-2</v>
      </c>
      <c r="I69" s="78"/>
      <c r="J69" s="147">
        <f>H13</f>
        <v>8.4268147582684513E-2</v>
      </c>
      <c r="Q69" s="116"/>
      <c r="R69" s="116"/>
      <c r="S69" s="259"/>
      <c r="T69" s="116"/>
    </row>
    <row r="70" spans="1:21">
      <c r="A70" s="45" t="s">
        <v>314</v>
      </c>
      <c r="H70" s="6">
        <f>+'1.8 DCF SS'!T28</f>
        <v>9.6164576154113071E-2</v>
      </c>
      <c r="I70" s="32"/>
      <c r="J70" s="148">
        <f>+H14</f>
        <v>9.6164576154113071E-2</v>
      </c>
      <c r="Q70" s="116"/>
      <c r="R70" s="116"/>
      <c r="S70" s="259"/>
      <c r="T70" s="116"/>
    </row>
    <row r="71" spans="1:21">
      <c r="A71" s="45" t="s">
        <v>132</v>
      </c>
      <c r="I71" s="32"/>
      <c r="J71" s="148">
        <f>+H20</f>
        <v>0</v>
      </c>
      <c r="Q71" s="116"/>
      <c r="R71" s="116"/>
      <c r="S71" s="259"/>
      <c r="T71" s="116"/>
    </row>
    <row r="72" spans="1:21">
      <c r="A72" s="45" t="s">
        <v>135</v>
      </c>
      <c r="I72" s="32"/>
      <c r="J72" s="148">
        <f>+H26</f>
        <v>0</v>
      </c>
      <c r="Q72" s="116"/>
      <c r="R72" s="116"/>
      <c r="S72" s="259"/>
      <c r="T72" s="116"/>
    </row>
    <row r="73" spans="1:21">
      <c r="A73" s="45" t="s">
        <v>133</v>
      </c>
      <c r="I73" s="32"/>
      <c r="J73" s="32" t="e">
        <f>(J15+J21)/2</f>
        <v>#REF!</v>
      </c>
      <c r="Q73" s="116"/>
      <c r="R73" s="116"/>
      <c r="S73" s="259"/>
      <c r="T73" s="116"/>
    </row>
    <row r="74" spans="1:21">
      <c r="A74" s="45" t="s">
        <v>316</v>
      </c>
      <c r="H74" s="6">
        <f>+'1.9 DCF 2S'!E63</f>
        <v>9.8142584146891823E-2</v>
      </c>
      <c r="I74" s="32"/>
      <c r="J74" s="32">
        <f>J35</f>
        <v>6.8978978594779028E-2</v>
      </c>
      <c r="Q74" s="116"/>
      <c r="R74" s="116"/>
      <c r="S74" s="259"/>
      <c r="T74" s="116"/>
    </row>
    <row r="75" spans="1:21">
      <c r="A75" s="45" t="s">
        <v>315</v>
      </c>
      <c r="H75" s="6">
        <f>+'1.9 DCF 2S'!J28</f>
        <v>0</v>
      </c>
      <c r="I75" s="32"/>
      <c r="J75" s="32" t="e">
        <f>+H45</f>
        <v>#REF!</v>
      </c>
      <c r="Q75" s="116"/>
      <c r="R75" s="116"/>
      <c r="S75" s="259"/>
      <c r="T75" s="116"/>
    </row>
    <row r="76" spans="1:21">
      <c r="A76" s="45" t="s">
        <v>134</v>
      </c>
      <c r="I76" s="32"/>
      <c r="J76" s="32" t="e">
        <f>+H55</f>
        <v>#REF!</v>
      </c>
      <c r="Q76" s="116"/>
      <c r="R76" s="116"/>
      <c r="S76" s="259"/>
      <c r="T76" s="116"/>
    </row>
    <row r="77" spans="1:21">
      <c r="A77" s="2"/>
      <c r="H77" s="32"/>
      <c r="I77" s="32"/>
      <c r="Q77" s="116"/>
      <c r="R77" s="116"/>
      <c r="S77" s="259"/>
      <c r="T77" s="116"/>
    </row>
    <row r="78" spans="1:21">
      <c r="A78" s="45" t="s">
        <v>136</v>
      </c>
      <c r="H78" s="32">
        <f>I33</f>
        <v>9.2926843501873732E-2</v>
      </c>
      <c r="I78" s="32">
        <f>+H39</f>
        <v>7.5578571428571439E-2</v>
      </c>
      <c r="Q78" s="116"/>
      <c r="R78" s="116"/>
      <c r="S78" s="259"/>
      <c r="T78" s="116"/>
    </row>
    <row r="79" spans="1:21" ht="15.75">
      <c r="A79" s="4"/>
      <c r="H79" s="32"/>
      <c r="I79" s="32"/>
      <c r="Q79" s="116"/>
      <c r="R79" s="116"/>
      <c r="S79" s="259"/>
      <c r="T79" s="116"/>
    </row>
    <row r="80" spans="1:21" ht="15.75">
      <c r="A80" s="4" t="s">
        <v>77</v>
      </c>
      <c r="H80" s="82">
        <v>0.09</v>
      </c>
      <c r="I80" s="32"/>
      <c r="Q80" s="116"/>
      <c r="R80" s="116"/>
      <c r="S80" s="259"/>
      <c r="T80" s="116"/>
    </row>
  </sheetData>
  <mergeCells count="8">
    <mergeCell ref="L40:M40"/>
    <mergeCell ref="L3:X3"/>
    <mergeCell ref="L4:X4"/>
    <mergeCell ref="V20:X20"/>
    <mergeCell ref="R6:T6"/>
    <mergeCell ref="R7:T7"/>
    <mergeCell ref="V6:X6"/>
    <mergeCell ref="V7:X7"/>
  </mergeCells>
  <phoneticPr fontId="3" type="noConversion"/>
  <printOptions horizontalCentered="1"/>
  <pageMargins left="0.66" right="0.55000000000000004" top="0.54" bottom="0.52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100" workbookViewId="0">
      <selection activeCell="C1" sqref="C1"/>
    </sheetView>
  </sheetViews>
  <sheetFormatPr defaultRowHeight="12.75"/>
  <cols>
    <col min="1" max="1" width="17.5" customWidth="1"/>
    <col min="2" max="2" width="30.83203125" customWidth="1"/>
    <col min="3" max="3" width="11.5" customWidth="1"/>
    <col min="4" max="4" width="22.1640625" customWidth="1"/>
    <col min="5" max="5" width="12.83203125" customWidth="1"/>
    <col min="6" max="6" width="10.83203125" customWidth="1"/>
    <col min="7" max="7" width="8.83203125" customWidth="1"/>
    <col min="8" max="8" width="10.83203125" customWidth="1"/>
    <col min="9" max="9" width="9.83203125" customWidth="1"/>
    <col min="10" max="12" width="10.83203125" customWidth="1"/>
    <col min="14" max="18" width="10.83203125" customWidth="1"/>
    <col min="19" max="19" width="11.83203125" customWidth="1"/>
    <col min="20" max="20" width="12" customWidth="1"/>
  </cols>
  <sheetData>
    <row r="1" spans="1:21" ht="18">
      <c r="A1" s="724" t="s">
        <v>611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8" t="s">
        <v>346</v>
      </c>
      <c r="U1" s="108"/>
    </row>
    <row r="2" spans="1:2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U2" s="108"/>
    </row>
    <row r="3" spans="1:21" ht="16.5" thickBot="1">
      <c r="A3" s="747" t="s">
        <v>612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513" t="s">
        <v>830</v>
      </c>
      <c r="U3" s="108"/>
    </row>
    <row r="4" spans="1:21" ht="13.5" thickBot="1">
      <c r="A4" s="108"/>
      <c r="B4" s="108"/>
      <c r="C4" s="108"/>
      <c r="D4" s="108"/>
      <c r="E4" s="108"/>
      <c r="F4" s="832" t="s">
        <v>613</v>
      </c>
      <c r="G4" s="832"/>
      <c r="H4" s="832"/>
      <c r="I4" s="832"/>
      <c r="J4" s="832"/>
      <c r="K4" s="832"/>
      <c r="L4" s="832" t="s">
        <v>614</v>
      </c>
      <c r="M4" s="832"/>
      <c r="N4" s="832"/>
      <c r="O4" s="832"/>
      <c r="P4" s="832"/>
      <c r="Q4" s="832"/>
      <c r="R4" s="832"/>
      <c r="S4" s="832"/>
      <c r="T4" s="108"/>
      <c r="U4" s="108"/>
    </row>
    <row r="5" spans="1:21" ht="65.25" customHeight="1">
      <c r="A5" s="748" t="s">
        <v>458</v>
      </c>
      <c r="B5" s="748" t="s">
        <v>459</v>
      </c>
      <c r="C5" s="749" t="s">
        <v>615</v>
      </c>
      <c r="D5" s="749" t="s">
        <v>616</v>
      </c>
      <c r="E5" s="749" t="s">
        <v>617</v>
      </c>
      <c r="F5" s="750" t="s">
        <v>291</v>
      </c>
      <c r="G5" s="750" t="s">
        <v>618</v>
      </c>
      <c r="H5" s="750" t="s">
        <v>619</v>
      </c>
      <c r="I5" s="750" t="s">
        <v>463</v>
      </c>
      <c r="J5" s="750" t="s">
        <v>620</v>
      </c>
      <c r="K5" s="750" t="s">
        <v>621</v>
      </c>
      <c r="L5" s="750" t="s">
        <v>291</v>
      </c>
      <c r="M5" s="750" t="s">
        <v>461</v>
      </c>
      <c r="N5" s="750" t="s">
        <v>622</v>
      </c>
      <c r="O5" s="750" t="s">
        <v>463</v>
      </c>
      <c r="P5" s="750" t="s">
        <v>620</v>
      </c>
      <c r="Q5" s="750" t="s">
        <v>623</v>
      </c>
      <c r="R5" s="750" t="s">
        <v>624</v>
      </c>
      <c r="S5" s="750" t="s">
        <v>625</v>
      </c>
      <c r="T5" s="750" t="s">
        <v>626</v>
      </c>
      <c r="U5" s="108"/>
    </row>
    <row r="6" spans="1:21" ht="12.75" customHeight="1">
      <c r="A6" s="751" t="s">
        <v>555</v>
      </c>
      <c r="B6" s="751" t="s">
        <v>627</v>
      </c>
      <c r="C6" s="751" t="s">
        <v>187</v>
      </c>
      <c r="D6" s="751" t="s">
        <v>628</v>
      </c>
      <c r="E6" s="751" t="s">
        <v>629</v>
      </c>
      <c r="F6" s="751" t="s">
        <v>630</v>
      </c>
      <c r="G6" s="752">
        <v>5.6</v>
      </c>
      <c r="H6" s="753">
        <v>8.1999999999999993</v>
      </c>
      <c r="I6" s="753">
        <v>10.85</v>
      </c>
      <c r="J6" s="753">
        <v>53.84</v>
      </c>
      <c r="K6" s="753">
        <v>60.71</v>
      </c>
      <c r="L6" s="751" t="s">
        <v>631</v>
      </c>
      <c r="M6" s="752">
        <v>3.6</v>
      </c>
      <c r="N6" s="753">
        <v>7.53</v>
      </c>
      <c r="O6" s="754">
        <v>9.6</v>
      </c>
      <c r="P6" s="753">
        <v>53.84</v>
      </c>
      <c r="Q6" s="751" t="s">
        <v>632</v>
      </c>
      <c r="R6" s="753">
        <v>60.54</v>
      </c>
      <c r="S6" s="751" t="s">
        <v>38</v>
      </c>
      <c r="T6" s="755">
        <v>6</v>
      </c>
      <c r="U6" s="108"/>
    </row>
    <row r="7" spans="1:21" ht="12.75" customHeight="1">
      <c r="A7" s="751" t="s">
        <v>511</v>
      </c>
      <c r="B7" s="751" t="s">
        <v>516</v>
      </c>
      <c r="C7" s="751" t="s">
        <v>633</v>
      </c>
      <c r="D7" s="751" t="s">
        <v>634</v>
      </c>
      <c r="E7" s="751" t="s">
        <v>629</v>
      </c>
      <c r="F7" s="751" t="s">
        <v>635</v>
      </c>
      <c r="G7" s="752">
        <v>0</v>
      </c>
      <c r="H7" s="753" t="s">
        <v>206</v>
      </c>
      <c r="I7" s="753" t="s">
        <v>206</v>
      </c>
      <c r="J7" s="753" t="s">
        <v>206</v>
      </c>
      <c r="K7" s="753" t="s">
        <v>206</v>
      </c>
      <c r="L7" s="751" t="s">
        <v>636</v>
      </c>
      <c r="M7" s="752">
        <v>0</v>
      </c>
      <c r="N7" s="753" t="s">
        <v>206</v>
      </c>
      <c r="O7" s="754" t="s">
        <v>206</v>
      </c>
      <c r="P7" s="753" t="s">
        <v>206</v>
      </c>
      <c r="Q7" s="751" t="s">
        <v>637</v>
      </c>
      <c r="R7" s="753" t="s">
        <v>206</v>
      </c>
      <c r="S7" s="751" t="s">
        <v>206</v>
      </c>
      <c r="T7" s="755">
        <v>3</v>
      </c>
      <c r="U7" s="108"/>
    </row>
    <row r="8" spans="1:21" ht="12.75" customHeight="1">
      <c r="A8" s="751" t="s">
        <v>519</v>
      </c>
      <c r="B8" s="751" t="s">
        <v>542</v>
      </c>
      <c r="C8" s="751" t="s">
        <v>11</v>
      </c>
      <c r="D8" s="751" t="s">
        <v>638</v>
      </c>
      <c r="E8" s="751" t="s">
        <v>629</v>
      </c>
      <c r="F8" s="751" t="s">
        <v>639</v>
      </c>
      <c r="G8" s="752">
        <v>58.4</v>
      </c>
      <c r="H8" s="753">
        <v>8.3699999999999992</v>
      </c>
      <c r="I8" s="753">
        <v>10.5</v>
      </c>
      <c r="J8" s="753">
        <v>56.7</v>
      </c>
      <c r="K8" s="753">
        <v>944.34</v>
      </c>
      <c r="L8" s="751" t="s">
        <v>640</v>
      </c>
      <c r="M8" s="752">
        <v>14.8</v>
      </c>
      <c r="N8" s="753" t="s">
        <v>206</v>
      </c>
      <c r="O8" s="754" t="s">
        <v>206</v>
      </c>
      <c r="P8" s="753" t="s">
        <v>206</v>
      </c>
      <c r="Q8" s="751" t="s">
        <v>206</v>
      </c>
      <c r="R8" s="753" t="s">
        <v>206</v>
      </c>
      <c r="S8" s="751" t="s">
        <v>206</v>
      </c>
      <c r="T8" s="755">
        <v>6</v>
      </c>
      <c r="U8" s="108"/>
    </row>
    <row r="9" spans="1:21" ht="12.75" customHeight="1">
      <c r="A9" s="751" t="s">
        <v>515</v>
      </c>
      <c r="B9" s="751" t="s">
        <v>532</v>
      </c>
      <c r="C9" s="751" t="s">
        <v>228</v>
      </c>
      <c r="D9" s="751" t="s">
        <v>641</v>
      </c>
      <c r="E9" s="751" t="s">
        <v>629</v>
      </c>
      <c r="F9" s="751" t="s">
        <v>642</v>
      </c>
      <c r="G9" s="752">
        <v>-1.2</v>
      </c>
      <c r="H9" s="753">
        <v>7.8</v>
      </c>
      <c r="I9" s="753">
        <v>9.8000000000000007</v>
      </c>
      <c r="J9" s="753">
        <v>48</v>
      </c>
      <c r="K9" s="753">
        <v>1592.3</v>
      </c>
      <c r="L9" s="751" t="s">
        <v>643</v>
      </c>
      <c r="M9" s="752">
        <v>9.1</v>
      </c>
      <c r="N9" s="753">
        <v>7.77</v>
      </c>
      <c r="O9" s="754">
        <v>9.8000000000000007</v>
      </c>
      <c r="P9" s="753">
        <v>48</v>
      </c>
      <c r="Q9" s="751" t="s">
        <v>644</v>
      </c>
      <c r="R9" s="753">
        <v>1592.3</v>
      </c>
      <c r="S9" s="751" t="s">
        <v>645</v>
      </c>
      <c r="T9" s="755">
        <v>4</v>
      </c>
      <c r="U9" s="108"/>
    </row>
    <row r="10" spans="1:21" ht="12.75" customHeight="1">
      <c r="A10" s="751" t="s">
        <v>476</v>
      </c>
      <c r="B10" s="751" t="s">
        <v>521</v>
      </c>
      <c r="C10" s="751" t="s">
        <v>356</v>
      </c>
      <c r="D10" s="751" t="s">
        <v>646</v>
      </c>
      <c r="E10" s="751" t="s">
        <v>629</v>
      </c>
      <c r="F10" s="751" t="s">
        <v>647</v>
      </c>
      <c r="G10" s="752">
        <v>9.6</v>
      </c>
      <c r="H10" s="753">
        <v>7.12</v>
      </c>
      <c r="I10" s="753">
        <v>10</v>
      </c>
      <c r="J10" s="753">
        <v>50.32</v>
      </c>
      <c r="K10" s="753">
        <v>209.12</v>
      </c>
      <c r="L10" s="751" t="s">
        <v>648</v>
      </c>
      <c r="M10" s="752">
        <v>6.6</v>
      </c>
      <c r="N10" s="753">
        <v>6.72</v>
      </c>
      <c r="O10" s="754">
        <v>9.2799999999999994</v>
      </c>
      <c r="P10" s="753">
        <v>50.32</v>
      </c>
      <c r="Q10" s="751" t="s">
        <v>649</v>
      </c>
      <c r="R10" s="753">
        <v>199.97</v>
      </c>
      <c r="S10" s="751" t="s">
        <v>38</v>
      </c>
      <c r="T10" s="755">
        <v>10</v>
      </c>
      <c r="U10" s="108"/>
    </row>
    <row r="11" spans="1:21" ht="12.75" customHeight="1">
      <c r="A11" s="751" t="s">
        <v>476</v>
      </c>
      <c r="B11" s="751" t="s">
        <v>522</v>
      </c>
      <c r="C11" s="751" t="s">
        <v>356</v>
      </c>
      <c r="D11" s="751" t="s">
        <v>650</v>
      </c>
      <c r="E11" s="751" t="s">
        <v>629</v>
      </c>
      <c r="F11" s="751" t="s">
        <v>647</v>
      </c>
      <c r="G11" s="752">
        <v>97.8</v>
      </c>
      <c r="H11" s="753">
        <v>7.07</v>
      </c>
      <c r="I11" s="753">
        <v>10</v>
      </c>
      <c r="J11" s="753">
        <v>50.43</v>
      </c>
      <c r="K11" s="753">
        <v>1659.27</v>
      </c>
      <c r="L11" s="751" t="s">
        <v>648</v>
      </c>
      <c r="M11" s="752">
        <v>57.2</v>
      </c>
      <c r="N11" s="753">
        <v>6.67</v>
      </c>
      <c r="O11" s="754">
        <v>9.2799999999999994</v>
      </c>
      <c r="P11" s="753">
        <v>50.43</v>
      </c>
      <c r="Q11" s="751" t="s">
        <v>649</v>
      </c>
      <c r="R11" s="753">
        <v>1470.2</v>
      </c>
      <c r="S11" s="751" t="s">
        <v>38</v>
      </c>
      <c r="T11" s="755">
        <v>10</v>
      </c>
      <c r="U11" s="108"/>
    </row>
    <row r="12" spans="1:21" ht="12.75" customHeight="1">
      <c r="A12" s="751" t="s">
        <v>482</v>
      </c>
      <c r="B12" s="751" t="s">
        <v>602</v>
      </c>
      <c r="C12" s="751" t="s">
        <v>228</v>
      </c>
      <c r="D12" s="751" t="s">
        <v>651</v>
      </c>
      <c r="E12" s="751" t="s">
        <v>629</v>
      </c>
      <c r="F12" s="751" t="s">
        <v>652</v>
      </c>
      <c r="G12" s="752">
        <v>0</v>
      </c>
      <c r="H12" s="753">
        <v>6.98</v>
      </c>
      <c r="I12" s="753">
        <v>9.4</v>
      </c>
      <c r="J12" s="753">
        <v>48</v>
      </c>
      <c r="K12" s="753">
        <v>2276.96</v>
      </c>
      <c r="L12" s="751" t="s">
        <v>653</v>
      </c>
      <c r="M12" s="752">
        <v>0</v>
      </c>
      <c r="N12" s="753">
        <v>6.98</v>
      </c>
      <c r="O12" s="754">
        <v>9.4</v>
      </c>
      <c r="P12" s="753">
        <v>48</v>
      </c>
      <c r="Q12" s="751" t="s">
        <v>649</v>
      </c>
      <c r="R12" s="753">
        <v>2276.96</v>
      </c>
      <c r="S12" s="751" t="s">
        <v>38</v>
      </c>
      <c r="T12" s="755">
        <v>3</v>
      </c>
      <c r="U12" s="108"/>
    </row>
    <row r="13" spans="1:21" ht="12.75" customHeight="1">
      <c r="A13" s="751" t="s">
        <v>472</v>
      </c>
      <c r="B13" s="751" t="s">
        <v>543</v>
      </c>
      <c r="C13" s="751" t="s">
        <v>187</v>
      </c>
      <c r="D13" s="751" t="s">
        <v>654</v>
      </c>
      <c r="E13" s="751" t="s">
        <v>629</v>
      </c>
      <c r="F13" s="751" t="s">
        <v>655</v>
      </c>
      <c r="G13" s="752">
        <v>77.3</v>
      </c>
      <c r="H13" s="753">
        <v>8.52</v>
      </c>
      <c r="I13" s="753">
        <v>11.25</v>
      </c>
      <c r="J13" s="753">
        <v>52.32</v>
      </c>
      <c r="K13" s="753">
        <v>1011.68</v>
      </c>
      <c r="L13" s="751" t="s">
        <v>656</v>
      </c>
      <c r="M13" s="752">
        <v>55.3</v>
      </c>
      <c r="N13" s="753" t="s">
        <v>206</v>
      </c>
      <c r="O13" s="754" t="s">
        <v>206</v>
      </c>
      <c r="P13" s="753" t="s">
        <v>206</v>
      </c>
      <c r="Q13" s="751" t="s">
        <v>206</v>
      </c>
      <c r="R13" s="753" t="s">
        <v>206</v>
      </c>
      <c r="S13" s="751" t="s">
        <v>206</v>
      </c>
      <c r="T13" s="755">
        <v>7</v>
      </c>
      <c r="U13" s="108"/>
    </row>
    <row r="14" spans="1:21" ht="12.75" customHeight="1">
      <c r="A14" s="751" t="s">
        <v>600</v>
      </c>
      <c r="B14" s="751" t="s">
        <v>657</v>
      </c>
      <c r="C14" s="751" t="s">
        <v>120</v>
      </c>
      <c r="D14" s="751" t="s">
        <v>658</v>
      </c>
      <c r="E14" s="751" t="s">
        <v>629</v>
      </c>
      <c r="F14" s="751" t="s">
        <v>659</v>
      </c>
      <c r="G14" s="752">
        <v>28.2</v>
      </c>
      <c r="H14" s="753">
        <v>8.91</v>
      </c>
      <c r="I14" s="753">
        <v>10.9</v>
      </c>
      <c r="J14" s="753">
        <v>59.3</v>
      </c>
      <c r="K14" s="753">
        <v>206.86</v>
      </c>
      <c r="L14" s="751" t="s">
        <v>660</v>
      </c>
      <c r="M14" s="752">
        <v>8.4</v>
      </c>
      <c r="N14" s="753">
        <v>7.93</v>
      </c>
      <c r="O14" s="754">
        <v>9.25</v>
      </c>
      <c r="P14" s="753">
        <v>59.3</v>
      </c>
      <c r="Q14" s="751" t="s">
        <v>661</v>
      </c>
      <c r="R14" s="753">
        <v>201.57</v>
      </c>
      <c r="S14" s="751" t="s">
        <v>38</v>
      </c>
      <c r="T14" s="755">
        <v>14</v>
      </c>
      <c r="U14" s="108"/>
    </row>
    <row r="15" spans="1:21" ht="12.75" customHeight="1">
      <c r="A15" s="751" t="s">
        <v>569</v>
      </c>
      <c r="B15" s="751" t="s">
        <v>662</v>
      </c>
      <c r="C15" s="751" t="s">
        <v>362</v>
      </c>
      <c r="D15" s="751" t="s">
        <v>663</v>
      </c>
      <c r="E15" s="751" t="s">
        <v>629</v>
      </c>
      <c r="F15" s="751" t="s">
        <v>664</v>
      </c>
      <c r="G15" s="752">
        <v>37.299999999999997</v>
      </c>
      <c r="H15" s="753" t="s">
        <v>206</v>
      </c>
      <c r="I15" s="753" t="s">
        <v>206</v>
      </c>
      <c r="J15" s="753" t="s">
        <v>206</v>
      </c>
      <c r="K15" s="753">
        <v>524.59</v>
      </c>
      <c r="L15" s="751" t="s">
        <v>665</v>
      </c>
      <c r="M15" s="752">
        <v>8.1999999999999993</v>
      </c>
      <c r="N15" s="753" t="s">
        <v>206</v>
      </c>
      <c r="O15" s="754" t="s">
        <v>206</v>
      </c>
      <c r="P15" s="753" t="s">
        <v>206</v>
      </c>
      <c r="Q15" s="751" t="s">
        <v>666</v>
      </c>
      <c r="R15" s="753">
        <v>497.58</v>
      </c>
      <c r="S15" s="751" t="s">
        <v>38</v>
      </c>
      <c r="T15" s="755">
        <v>29</v>
      </c>
      <c r="U15" s="108"/>
    </row>
    <row r="16" spans="1:21" ht="12.75" customHeight="1">
      <c r="A16" s="751" t="s">
        <v>569</v>
      </c>
      <c r="B16" s="751" t="s">
        <v>667</v>
      </c>
      <c r="C16" s="751" t="s">
        <v>362</v>
      </c>
      <c r="D16" s="751" t="s">
        <v>668</v>
      </c>
      <c r="E16" s="751" t="s">
        <v>629</v>
      </c>
      <c r="F16" s="751" t="s">
        <v>664</v>
      </c>
      <c r="G16" s="752">
        <v>239</v>
      </c>
      <c r="H16" s="753" t="s">
        <v>206</v>
      </c>
      <c r="I16" s="753" t="s">
        <v>206</v>
      </c>
      <c r="J16" s="753" t="s">
        <v>206</v>
      </c>
      <c r="K16" s="753">
        <v>3622.43</v>
      </c>
      <c r="L16" s="751" t="s">
        <v>665</v>
      </c>
      <c r="M16" s="752">
        <v>84.8</v>
      </c>
      <c r="N16" s="753" t="s">
        <v>206</v>
      </c>
      <c r="O16" s="754" t="s">
        <v>206</v>
      </c>
      <c r="P16" s="753" t="s">
        <v>206</v>
      </c>
      <c r="Q16" s="751" t="s">
        <v>666</v>
      </c>
      <c r="R16" s="753">
        <v>3443.86</v>
      </c>
      <c r="S16" s="751" t="s">
        <v>38</v>
      </c>
      <c r="T16" s="755">
        <v>29</v>
      </c>
      <c r="U16" s="108"/>
    </row>
    <row r="17" spans="1:21" ht="12.75" customHeight="1">
      <c r="A17" s="751" t="s">
        <v>519</v>
      </c>
      <c r="B17" s="751" t="s">
        <v>524</v>
      </c>
      <c r="C17" s="751" t="s">
        <v>11</v>
      </c>
      <c r="D17" s="751" t="s">
        <v>669</v>
      </c>
      <c r="E17" s="751" t="s">
        <v>629</v>
      </c>
      <c r="F17" s="751" t="s">
        <v>670</v>
      </c>
      <c r="G17" s="752">
        <v>1.7</v>
      </c>
      <c r="H17" s="753" t="s">
        <v>206</v>
      </c>
      <c r="I17" s="753" t="s">
        <v>206</v>
      </c>
      <c r="J17" s="753" t="s">
        <v>206</v>
      </c>
      <c r="K17" s="753">
        <v>53</v>
      </c>
      <c r="L17" s="751" t="s">
        <v>671</v>
      </c>
      <c r="M17" s="752">
        <v>1.7</v>
      </c>
      <c r="N17" s="753" t="s">
        <v>206</v>
      </c>
      <c r="O17" s="754" t="s">
        <v>206</v>
      </c>
      <c r="P17" s="753" t="s">
        <v>206</v>
      </c>
      <c r="Q17" s="751" t="s">
        <v>206</v>
      </c>
      <c r="R17" s="753" t="s">
        <v>206</v>
      </c>
      <c r="S17" s="751" t="s">
        <v>206</v>
      </c>
      <c r="T17" s="755">
        <v>2</v>
      </c>
      <c r="U17" s="108"/>
    </row>
    <row r="18" spans="1:21" ht="12.75" customHeight="1">
      <c r="A18" s="751" t="s">
        <v>558</v>
      </c>
      <c r="B18" s="751" t="s">
        <v>672</v>
      </c>
      <c r="C18" s="751" t="s">
        <v>673</v>
      </c>
      <c r="D18" s="751" t="s">
        <v>674</v>
      </c>
      <c r="E18" s="751" t="s">
        <v>629</v>
      </c>
      <c r="F18" s="751" t="s">
        <v>655</v>
      </c>
      <c r="G18" s="752">
        <v>15.5</v>
      </c>
      <c r="H18" s="753">
        <v>7.81</v>
      </c>
      <c r="I18" s="753">
        <v>10.5</v>
      </c>
      <c r="J18" s="753">
        <v>47.65</v>
      </c>
      <c r="K18" s="753">
        <v>309.47000000000003</v>
      </c>
      <c r="L18" s="751" t="s">
        <v>675</v>
      </c>
      <c r="M18" s="752">
        <v>11.5</v>
      </c>
      <c r="N18" s="753" t="s">
        <v>206</v>
      </c>
      <c r="O18" s="754">
        <v>9.8000000000000007</v>
      </c>
      <c r="P18" s="753" t="s">
        <v>206</v>
      </c>
      <c r="Q18" s="751" t="s">
        <v>206</v>
      </c>
      <c r="R18" s="753" t="s">
        <v>206</v>
      </c>
      <c r="S18" s="751" t="s">
        <v>206</v>
      </c>
      <c r="T18" s="755">
        <v>6</v>
      </c>
      <c r="U18" s="108"/>
    </row>
    <row r="19" spans="1:21" ht="12.75" customHeight="1">
      <c r="A19" s="751" t="s">
        <v>495</v>
      </c>
      <c r="B19" s="751" t="s">
        <v>496</v>
      </c>
      <c r="C19" s="751" t="s">
        <v>676</v>
      </c>
      <c r="D19" s="751" t="s">
        <v>677</v>
      </c>
      <c r="E19" s="751" t="s">
        <v>629</v>
      </c>
      <c r="F19" s="751" t="s">
        <v>678</v>
      </c>
      <c r="G19" s="752">
        <v>4.5999999999999996</v>
      </c>
      <c r="H19" s="753">
        <v>8.4600000000000009</v>
      </c>
      <c r="I19" s="753">
        <v>10.9</v>
      </c>
      <c r="J19" s="753">
        <v>50</v>
      </c>
      <c r="K19" s="753">
        <v>110.93</v>
      </c>
      <c r="L19" s="751" t="s">
        <v>679</v>
      </c>
      <c r="M19" s="752">
        <v>4.4000000000000004</v>
      </c>
      <c r="N19" s="753">
        <v>7.91</v>
      </c>
      <c r="O19" s="754">
        <v>9.8000000000000007</v>
      </c>
      <c r="P19" s="753">
        <v>50</v>
      </c>
      <c r="Q19" s="751" t="s">
        <v>644</v>
      </c>
      <c r="R19" s="753">
        <v>116.1</v>
      </c>
      <c r="S19" s="751" t="s">
        <v>38</v>
      </c>
      <c r="T19" s="755">
        <v>5</v>
      </c>
      <c r="U19" s="108"/>
    </row>
    <row r="20" spans="1:21" ht="12.75" customHeight="1">
      <c r="A20" s="751" t="s">
        <v>482</v>
      </c>
      <c r="B20" s="751" t="s">
        <v>483</v>
      </c>
      <c r="C20" s="751" t="s">
        <v>228</v>
      </c>
      <c r="D20" s="751" t="s">
        <v>680</v>
      </c>
      <c r="E20" s="751" t="s">
        <v>629</v>
      </c>
      <c r="F20" s="751" t="s">
        <v>681</v>
      </c>
      <c r="G20" s="752">
        <v>29</v>
      </c>
      <c r="H20" s="753">
        <v>7.38</v>
      </c>
      <c r="I20" s="753">
        <v>10.55</v>
      </c>
      <c r="J20" s="753">
        <v>51.36</v>
      </c>
      <c r="K20" s="753">
        <v>1085.3599999999999</v>
      </c>
      <c r="L20" s="751" t="s">
        <v>682</v>
      </c>
      <c r="M20" s="752">
        <v>-3.3</v>
      </c>
      <c r="N20" s="753">
        <v>6.5</v>
      </c>
      <c r="O20" s="754">
        <v>9.3000000000000007</v>
      </c>
      <c r="P20" s="753">
        <v>48</v>
      </c>
      <c r="Q20" s="751" t="s">
        <v>683</v>
      </c>
      <c r="R20" s="753">
        <v>1086</v>
      </c>
      <c r="S20" s="751" t="s">
        <v>38</v>
      </c>
      <c r="T20" s="755">
        <v>10</v>
      </c>
      <c r="U20" s="108"/>
    </row>
    <row r="21" spans="1:21" ht="12.75" customHeight="1">
      <c r="A21" s="751" t="s">
        <v>519</v>
      </c>
      <c r="B21" s="751" t="s">
        <v>542</v>
      </c>
      <c r="C21" s="751" t="s">
        <v>11</v>
      </c>
      <c r="D21" s="751" t="s">
        <v>684</v>
      </c>
      <c r="E21" s="751" t="s">
        <v>629</v>
      </c>
      <c r="F21" s="751" t="s">
        <v>685</v>
      </c>
      <c r="G21" s="752">
        <v>6.2</v>
      </c>
      <c r="H21" s="753" t="s">
        <v>206</v>
      </c>
      <c r="I21" s="753" t="s">
        <v>206</v>
      </c>
      <c r="J21" s="753" t="s">
        <v>206</v>
      </c>
      <c r="K21" s="753">
        <v>96.2</v>
      </c>
      <c r="L21" s="751" t="s">
        <v>686</v>
      </c>
      <c r="M21" s="752">
        <v>4.8</v>
      </c>
      <c r="N21" s="753" t="s">
        <v>206</v>
      </c>
      <c r="O21" s="754" t="s">
        <v>206</v>
      </c>
      <c r="P21" s="753" t="s">
        <v>206</v>
      </c>
      <c r="Q21" s="751" t="s">
        <v>206</v>
      </c>
      <c r="R21" s="753" t="s">
        <v>206</v>
      </c>
      <c r="S21" s="751" t="s">
        <v>206</v>
      </c>
      <c r="T21" s="755">
        <v>2</v>
      </c>
      <c r="U21" s="108"/>
    </row>
    <row r="22" spans="1:21" ht="12.75" customHeight="1">
      <c r="A22" s="751" t="s">
        <v>565</v>
      </c>
      <c r="B22" s="751" t="s">
        <v>526</v>
      </c>
      <c r="C22" s="751" t="s">
        <v>228</v>
      </c>
      <c r="D22" s="751" t="s">
        <v>687</v>
      </c>
      <c r="E22" s="751" t="s">
        <v>629</v>
      </c>
      <c r="F22" s="751" t="s">
        <v>688</v>
      </c>
      <c r="G22" s="752">
        <v>0</v>
      </c>
      <c r="H22" s="753" t="s">
        <v>206</v>
      </c>
      <c r="I22" s="753" t="s">
        <v>206</v>
      </c>
      <c r="J22" s="753" t="s">
        <v>206</v>
      </c>
      <c r="K22" s="753" t="s">
        <v>206</v>
      </c>
      <c r="L22" s="751" t="s">
        <v>689</v>
      </c>
      <c r="M22" s="752">
        <v>0</v>
      </c>
      <c r="N22" s="753" t="s">
        <v>206</v>
      </c>
      <c r="O22" s="754" t="s">
        <v>206</v>
      </c>
      <c r="P22" s="753" t="s">
        <v>206</v>
      </c>
      <c r="Q22" s="751" t="s">
        <v>206</v>
      </c>
      <c r="R22" s="753" t="s">
        <v>206</v>
      </c>
      <c r="S22" s="751" t="s">
        <v>206</v>
      </c>
      <c r="T22" s="755">
        <v>5</v>
      </c>
      <c r="U22" s="108"/>
    </row>
    <row r="23" spans="1:21" ht="12.75" customHeight="1">
      <c r="A23" s="751" t="s">
        <v>555</v>
      </c>
      <c r="B23" s="751" t="s">
        <v>556</v>
      </c>
      <c r="C23" s="751" t="s">
        <v>690</v>
      </c>
      <c r="D23" s="751" t="s">
        <v>691</v>
      </c>
      <c r="E23" s="751" t="s">
        <v>629</v>
      </c>
      <c r="F23" s="751" t="s">
        <v>692</v>
      </c>
      <c r="G23" s="752">
        <v>45.6</v>
      </c>
      <c r="H23" s="753">
        <v>7.96</v>
      </c>
      <c r="I23" s="753">
        <v>10.5</v>
      </c>
      <c r="J23" s="753">
        <v>48.4</v>
      </c>
      <c r="K23" s="753">
        <v>1014.28</v>
      </c>
      <c r="L23" s="751" t="s">
        <v>652</v>
      </c>
      <c r="M23" s="752">
        <v>32.4</v>
      </c>
      <c r="N23" s="753">
        <v>7.53</v>
      </c>
      <c r="O23" s="754">
        <v>9.6</v>
      </c>
      <c r="P23" s="753">
        <v>48.4</v>
      </c>
      <c r="Q23" s="751" t="s">
        <v>693</v>
      </c>
      <c r="R23" s="753">
        <v>975.86</v>
      </c>
      <c r="S23" s="751" t="s">
        <v>38</v>
      </c>
      <c r="T23" s="755">
        <v>7</v>
      </c>
      <c r="U23" s="108"/>
    </row>
    <row r="24" spans="1:21" ht="12.75" customHeight="1">
      <c r="A24" s="751" t="s">
        <v>515</v>
      </c>
      <c r="B24" s="751" t="s">
        <v>496</v>
      </c>
      <c r="C24" s="751" t="s">
        <v>676</v>
      </c>
      <c r="D24" s="751" t="s">
        <v>694</v>
      </c>
      <c r="E24" s="751" t="s">
        <v>629</v>
      </c>
      <c r="F24" s="751" t="s">
        <v>695</v>
      </c>
      <c r="G24" s="752">
        <v>10.1</v>
      </c>
      <c r="H24" s="753">
        <v>8.25</v>
      </c>
      <c r="I24" s="753">
        <v>10.9</v>
      </c>
      <c r="J24" s="753">
        <v>48.4</v>
      </c>
      <c r="K24" s="753">
        <v>210</v>
      </c>
      <c r="L24" s="751" t="s">
        <v>696</v>
      </c>
      <c r="M24" s="752">
        <v>6.7</v>
      </c>
      <c r="N24" s="753">
        <v>7.64</v>
      </c>
      <c r="O24" s="753">
        <v>9.8000000000000007</v>
      </c>
      <c r="P24" s="753">
        <v>47</v>
      </c>
      <c r="Q24" s="751" t="s">
        <v>697</v>
      </c>
      <c r="R24" s="753" t="s">
        <v>206</v>
      </c>
      <c r="S24" s="751" t="s">
        <v>206</v>
      </c>
      <c r="T24" s="755">
        <v>8</v>
      </c>
      <c r="U24" s="108"/>
    </row>
    <row r="25" spans="1:21" ht="12.75" customHeight="1">
      <c r="A25" s="751" t="s">
        <v>569</v>
      </c>
      <c r="B25" s="751" t="s">
        <v>570</v>
      </c>
      <c r="C25" s="751" t="s">
        <v>698</v>
      </c>
      <c r="D25" s="751" t="s">
        <v>699</v>
      </c>
      <c r="E25" s="751" t="s">
        <v>629</v>
      </c>
      <c r="F25" s="751" t="s">
        <v>700</v>
      </c>
      <c r="G25" s="752">
        <v>-23</v>
      </c>
      <c r="H25" s="753">
        <v>8.4499999999999993</v>
      </c>
      <c r="I25" s="753">
        <v>11</v>
      </c>
      <c r="J25" s="753">
        <v>52</v>
      </c>
      <c r="K25" s="753" t="s">
        <v>206</v>
      </c>
      <c r="L25" s="751" t="s">
        <v>701</v>
      </c>
      <c r="M25" s="752">
        <v>-55.8</v>
      </c>
      <c r="N25" s="753">
        <v>8.06</v>
      </c>
      <c r="O25" s="753">
        <v>10.4</v>
      </c>
      <c r="P25" s="753">
        <v>52</v>
      </c>
      <c r="Q25" s="751" t="s">
        <v>649</v>
      </c>
      <c r="R25" s="753" t="s">
        <v>206</v>
      </c>
      <c r="S25" s="751" t="s">
        <v>206</v>
      </c>
      <c r="T25" s="755">
        <v>8</v>
      </c>
      <c r="U25" s="108"/>
    </row>
    <row r="26" spans="1:21" ht="12.75" customHeight="1">
      <c r="A26" s="751" t="s">
        <v>569</v>
      </c>
      <c r="B26" s="751" t="s">
        <v>662</v>
      </c>
      <c r="C26" s="751" t="s">
        <v>362</v>
      </c>
      <c r="D26" s="751" t="s">
        <v>702</v>
      </c>
      <c r="E26" s="751" t="s">
        <v>629</v>
      </c>
      <c r="F26" s="751" t="s">
        <v>700</v>
      </c>
      <c r="G26" s="752">
        <v>-0.8</v>
      </c>
      <c r="H26" s="753">
        <v>8.1999999999999993</v>
      </c>
      <c r="I26" s="753">
        <v>11</v>
      </c>
      <c r="J26" s="753">
        <v>52</v>
      </c>
      <c r="K26" s="753" t="s">
        <v>206</v>
      </c>
      <c r="L26" s="751" t="s">
        <v>701</v>
      </c>
      <c r="M26" s="752">
        <v>-6</v>
      </c>
      <c r="N26" s="753">
        <v>7.79</v>
      </c>
      <c r="O26" s="753">
        <v>10.3</v>
      </c>
      <c r="P26" s="753">
        <v>52</v>
      </c>
      <c r="Q26" s="751" t="s">
        <v>649</v>
      </c>
      <c r="R26" s="753" t="s">
        <v>206</v>
      </c>
      <c r="S26" s="751" t="s">
        <v>206</v>
      </c>
      <c r="T26" s="755">
        <v>8</v>
      </c>
      <c r="U26" s="108"/>
    </row>
    <row r="27" spans="1:21" ht="12.75" customHeight="1">
      <c r="A27" s="751" t="s">
        <v>569</v>
      </c>
      <c r="B27" s="751" t="s">
        <v>667</v>
      </c>
      <c r="C27" s="751" t="s">
        <v>362</v>
      </c>
      <c r="D27" s="751" t="s">
        <v>703</v>
      </c>
      <c r="E27" s="751" t="s">
        <v>629</v>
      </c>
      <c r="F27" s="751" t="s">
        <v>700</v>
      </c>
      <c r="G27" s="752">
        <v>-1.4</v>
      </c>
      <c r="H27" s="753">
        <v>8.42</v>
      </c>
      <c r="I27" s="753">
        <v>10.9</v>
      </c>
      <c r="J27" s="753">
        <v>52</v>
      </c>
      <c r="K27" s="753" t="s">
        <v>206</v>
      </c>
      <c r="L27" s="751" t="s">
        <v>701</v>
      </c>
      <c r="M27" s="752">
        <v>-22</v>
      </c>
      <c r="N27" s="753">
        <v>8.02</v>
      </c>
      <c r="O27" s="753">
        <v>10.1</v>
      </c>
      <c r="P27" s="753">
        <v>52</v>
      </c>
      <c r="Q27" s="751" t="s">
        <v>649</v>
      </c>
      <c r="R27" s="753" t="s">
        <v>206</v>
      </c>
      <c r="S27" s="751" t="s">
        <v>206</v>
      </c>
      <c r="T27" s="755">
        <v>8</v>
      </c>
      <c r="U27" s="108"/>
    </row>
    <row r="28" spans="1:21" ht="12.75" customHeight="1">
      <c r="A28" s="751" t="s">
        <v>470</v>
      </c>
      <c r="B28" s="751" t="s">
        <v>471</v>
      </c>
      <c r="C28" s="751" t="s">
        <v>704</v>
      </c>
      <c r="D28" s="751" t="s">
        <v>705</v>
      </c>
      <c r="E28" s="751" t="s">
        <v>629</v>
      </c>
      <c r="F28" s="751" t="s">
        <v>706</v>
      </c>
      <c r="G28" s="752">
        <v>17.2</v>
      </c>
      <c r="H28" s="753">
        <v>7.8</v>
      </c>
      <c r="I28" s="753">
        <v>11</v>
      </c>
      <c r="J28" s="753">
        <v>55.64</v>
      </c>
      <c r="K28" s="753">
        <v>523.75</v>
      </c>
      <c r="L28" s="751" t="s">
        <v>701</v>
      </c>
      <c r="M28" s="752">
        <v>15</v>
      </c>
      <c r="N28" s="753" t="s">
        <v>206</v>
      </c>
      <c r="O28" s="753">
        <v>10.25</v>
      </c>
      <c r="P28" s="753" t="s">
        <v>206</v>
      </c>
      <c r="Q28" s="751" t="s">
        <v>707</v>
      </c>
      <c r="R28" s="753" t="s">
        <v>206</v>
      </c>
      <c r="S28" s="751" t="s">
        <v>206</v>
      </c>
      <c r="T28" s="755">
        <v>5</v>
      </c>
      <c r="U28" s="108"/>
    </row>
    <row r="29" spans="1:21" ht="12.75" customHeight="1">
      <c r="A29" s="751" t="s">
        <v>466</v>
      </c>
      <c r="B29" s="751" t="s">
        <v>708</v>
      </c>
      <c r="C29" s="751" t="s">
        <v>709</v>
      </c>
      <c r="D29" s="751" t="s">
        <v>710</v>
      </c>
      <c r="E29" s="751" t="s">
        <v>629</v>
      </c>
      <c r="F29" s="751" t="s">
        <v>700</v>
      </c>
      <c r="G29" s="752">
        <v>76.7</v>
      </c>
      <c r="H29" s="753">
        <v>6.48</v>
      </c>
      <c r="I29" s="753">
        <v>11</v>
      </c>
      <c r="J29" s="753">
        <v>38.32</v>
      </c>
      <c r="K29" s="753">
        <v>2743.86</v>
      </c>
      <c r="L29" s="751" t="s">
        <v>701</v>
      </c>
      <c r="M29" s="752">
        <v>19.899999999999999</v>
      </c>
      <c r="N29" s="753" t="s">
        <v>206</v>
      </c>
      <c r="O29" s="753">
        <v>10.5</v>
      </c>
      <c r="P29" s="753" t="s">
        <v>206</v>
      </c>
      <c r="Q29" s="751" t="s">
        <v>711</v>
      </c>
      <c r="R29" s="753" t="s">
        <v>206</v>
      </c>
      <c r="S29" s="751" t="s">
        <v>206</v>
      </c>
      <c r="T29" s="755">
        <v>8</v>
      </c>
      <c r="U29" s="108"/>
    </row>
    <row r="30" spans="1:21" ht="12.75" customHeight="1">
      <c r="A30" s="751" t="s">
        <v>595</v>
      </c>
      <c r="B30" s="751" t="s">
        <v>712</v>
      </c>
      <c r="C30" s="751" t="s">
        <v>228</v>
      </c>
      <c r="D30" s="751" t="s">
        <v>713</v>
      </c>
      <c r="E30" s="751" t="s">
        <v>629</v>
      </c>
      <c r="F30" s="751" t="s">
        <v>681</v>
      </c>
      <c r="G30" s="752">
        <v>20</v>
      </c>
      <c r="H30" s="753">
        <v>8.24</v>
      </c>
      <c r="I30" s="753">
        <v>10.75</v>
      </c>
      <c r="J30" s="753">
        <v>49.6</v>
      </c>
      <c r="K30" s="753">
        <v>369.95</v>
      </c>
      <c r="L30" s="751" t="s">
        <v>701</v>
      </c>
      <c r="M30" s="752">
        <v>10.9</v>
      </c>
      <c r="N30" s="753">
        <v>7.54</v>
      </c>
      <c r="O30" s="753">
        <v>9.5</v>
      </c>
      <c r="P30" s="753">
        <v>49.14</v>
      </c>
      <c r="Q30" s="751" t="s">
        <v>697</v>
      </c>
      <c r="R30" s="753">
        <v>372.66</v>
      </c>
      <c r="S30" s="751" t="s">
        <v>38</v>
      </c>
      <c r="T30" s="755">
        <v>7</v>
      </c>
      <c r="U30" s="108"/>
    </row>
    <row r="31" spans="1:21" ht="12.75" customHeight="1">
      <c r="A31" s="751" t="s">
        <v>511</v>
      </c>
      <c r="B31" s="751" t="s">
        <v>714</v>
      </c>
      <c r="C31" s="751" t="s">
        <v>715</v>
      </c>
      <c r="D31" s="751" t="s">
        <v>716</v>
      </c>
      <c r="E31" s="751" t="s">
        <v>629</v>
      </c>
      <c r="F31" s="751" t="s">
        <v>717</v>
      </c>
      <c r="G31" s="752">
        <v>5.3</v>
      </c>
      <c r="H31" s="753">
        <v>8.67</v>
      </c>
      <c r="I31" s="753">
        <v>10.4</v>
      </c>
      <c r="J31" s="753">
        <v>52.39</v>
      </c>
      <c r="K31" s="753">
        <v>84.47</v>
      </c>
      <c r="L31" s="751" t="s">
        <v>718</v>
      </c>
      <c r="M31" s="752">
        <v>2.7</v>
      </c>
      <c r="N31" s="753" t="s">
        <v>206</v>
      </c>
      <c r="O31" s="753">
        <v>10.4</v>
      </c>
      <c r="P31" s="753" t="s">
        <v>206</v>
      </c>
      <c r="Q31" s="751" t="s">
        <v>649</v>
      </c>
      <c r="R31" s="753" t="s">
        <v>206</v>
      </c>
      <c r="S31" s="751" t="s">
        <v>206</v>
      </c>
      <c r="T31" s="755">
        <v>6</v>
      </c>
      <c r="U31" s="108"/>
    </row>
    <row r="32" spans="1:21" ht="12.75" customHeight="1">
      <c r="A32" s="751" t="s">
        <v>540</v>
      </c>
      <c r="B32" s="751" t="s">
        <v>508</v>
      </c>
      <c r="C32" s="751" t="s">
        <v>358</v>
      </c>
      <c r="D32" s="751" t="s">
        <v>719</v>
      </c>
      <c r="E32" s="751" t="s">
        <v>629</v>
      </c>
      <c r="F32" s="751" t="s">
        <v>720</v>
      </c>
      <c r="G32" s="752">
        <v>48.8</v>
      </c>
      <c r="H32" s="753">
        <v>8.52</v>
      </c>
      <c r="I32" s="753">
        <v>10.75</v>
      </c>
      <c r="J32" s="753">
        <v>58.85</v>
      </c>
      <c r="K32" s="753">
        <v>770.62</v>
      </c>
      <c r="L32" s="751" t="s">
        <v>721</v>
      </c>
      <c r="M32" s="752">
        <v>28</v>
      </c>
      <c r="N32" s="753" t="s">
        <v>206</v>
      </c>
      <c r="O32" s="753" t="s">
        <v>206</v>
      </c>
      <c r="P32" s="753" t="s">
        <v>206</v>
      </c>
      <c r="Q32" s="751" t="s">
        <v>697</v>
      </c>
      <c r="R32" s="753" t="s">
        <v>206</v>
      </c>
      <c r="S32" s="751" t="s">
        <v>206</v>
      </c>
      <c r="T32" s="755">
        <v>6</v>
      </c>
      <c r="U32" s="108"/>
    </row>
    <row r="33" spans="1:21" ht="12.75" customHeight="1">
      <c r="A33" s="751" t="s">
        <v>523</v>
      </c>
      <c r="B33" s="751" t="s">
        <v>475</v>
      </c>
      <c r="C33" s="751" t="s">
        <v>8</v>
      </c>
      <c r="D33" s="751" t="s">
        <v>722</v>
      </c>
      <c r="E33" s="751" t="s">
        <v>629</v>
      </c>
      <c r="F33" s="751" t="s">
        <v>723</v>
      </c>
      <c r="G33" s="752">
        <v>35</v>
      </c>
      <c r="H33" s="753">
        <v>8.85</v>
      </c>
      <c r="I33" s="753">
        <v>11.05</v>
      </c>
      <c r="J33" s="753">
        <v>51.69</v>
      </c>
      <c r="K33" s="753">
        <v>1514.38</v>
      </c>
      <c r="L33" s="751" t="s">
        <v>724</v>
      </c>
      <c r="M33" s="752">
        <v>25.1</v>
      </c>
      <c r="N33" s="753">
        <v>8.57</v>
      </c>
      <c r="O33" s="753">
        <v>10.5</v>
      </c>
      <c r="P33" s="753">
        <v>51.69</v>
      </c>
      <c r="Q33" s="751" t="s">
        <v>661</v>
      </c>
      <c r="R33" s="753">
        <v>1512.99</v>
      </c>
      <c r="S33" s="751" t="s">
        <v>645</v>
      </c>
      <c r="T33" s="755">
        <v>6</v>
      </c>
      <c r="U33" s="108"/>
    </row>
    <row r="34" spans="1:21" ht="12.75" customHeight="1">
      <c r="A34" s="751" t="s">
        <v>523</v>
      </c>
      <c r="B34" s="751" t="s">
        <v>518</v>
      </c>
      <c r="C34" s="751" t="s">
        <v>725</v>
      </c>
      <c r="D34" s="751" t="s">
        <v>726</v>
      </c>
      <c r="E34" s="751" t="s">
        <v>629</v>
      </c>
      <c r="F34" s="751" t="s">
        <v>727</v>
      </c>
      <c r="G34" s="752">
        <v>8.6</v>
      </c>
      <c r="H34" s="753">
        <v>9.09</v>
      </c>
      <c r="I34" s="753">
        <v>11</v>
      </c>
      <c r="J34" s="753">
        <v>58</v>
      </c>
      <c r="K34" s="753">
        <v>98.9</v>
      </c>
      <c r="L34" s="751" t="s">
        <v>724</v>
      </c>
      <c r="M34" s="752">
        <v>6.2</v>
      </c>
      <c r="N34" s="753">
        <v>8.51</v>
      </c>
      <c r="O34" s="753">
        <v>10</v>
      </c>
      <c r="P34" s="753">
        <v>58</v>
      </c>
      <c r="Q34" s="751" t="s">
        <v>697</v>
      </c>
      <c r="R34" s="753" t="s">
        <v>206</v>
      </c>
      <c r="S34" s="751" t="s">
        <v>206</v>
      </c>
      <c r="T34" s="755">
        <v>5</v>
      </c>
      <c r="U34" s="108"/>
    </row>
    <row r="35" spans="1:21" ht="12.75" customHeight="1">
      <c r="A35" s="751" t="s">
        <v>511</v>
      </c>
      <c r="B35" s="751" t="s">
        <v>512</v>
      </c>
      <c r="C35" s="751" t="s">
        <v>728</v>
      </c>
      <c r="D35" s="751" t="s">
        <v>729</v>
      </c>
      <c r="E35" s="751" t="s">
        <v>629</v>
      </c>
      <c r="F35" s="751" t="s">
        <v>730</v>
      </c>
      <c r="G35" s="752">
        <v>-1.2</v>
      </c>
      <c r="H35" s="753">
        <v>9.25</v>
      </c>
      <c r="I35" s="753">
        <v>10.4</v>
      </c>
      <c r="J35" s="753">
        <v>52.35</v>
      </c>
      <c r="K35" s="753">
        <v>379.35</v>
      </c>
      <c r="L35" s="751" t="s">
        <v>731</v>
      </c>
      <c r="M35" s="752">
        <v>-8.1</v>
      </c>
      <c r="N35" s="753">
        <v>9.15</v>
      </c>
      <c r="O35" s="753">
        <v>10.4</v>
      </c>
      <c r="P35" s="753">
        <v>52.09</v>
      </c>
      <c r="Q35" s="751" t="s">
        <v>649</v>
      </c>
      <c r="R35" s="753">
        <v>370.97</v>
      </c>
      <c r="S35" s="751" t="s">
        <v>38</v>
      </c>
      <c r="T35" s="755">
        <v>8</v>
      </c>
      <c r="U35" s="108"/>
    </row>
    <row r="36" spans="1:21" ht="12.75" customHeight="1">
      <c r="A36" s="751" t="s">
        <v>511</v>
      </c>
      <c r="B36" s="751" t="s">
        <v>513</v>
      </c>
      <c r="C36" s="751" t="s">
        <v>728</v>
      </c>
      <c r="D36" s="751" t="s">
        <v>732</v>
      </c>
      <c r="E36" s="751" t="s">
        <v>629</v>
      </c>
      <c r="F36" s="751" t="s">
        <v>730</v>
      </c>
      <c r="G36" s="752">
        <v>-15.9</v>
      </c>
      <c r="H36" s="753">
        <v>9.11</v>
      </c>
      <c r="I36" s="753">
        <v>10.5</v>
      </c>
      <c r="J36" s="753">
        <v>46.76</v>
      </c>
      <c r="K36" s="753">
        <v>671.56</v>
      </c>
      <c r="L36" s="751" t="s">
        <v>731</v>
      </c>
      <c r="M36" s="752">
        <v>-34.299999999999997</v>
      </c>
      <c r="N36" s="753">
        <v>8.9600000000000009</v>
      </c>
      <c r="O36" s="753">
        <v>10.5</v>
      </c>
      <c r="P36" s="753">
        <v>46.75</v>
      </c>
      <c r="Q36" s="751" t="s">
        <v>649</v>
      </c>
      <c r="R36" s="753">
        <v>664.8</v>
      </c>
      <c r="S36" s="751" t="s">
        <v>38</v>
      </c>
      <c r="T36" s="755">
        <v>8</v>
      </c>
      <c r="U36" s="108"/>
    </row>
    <row r="37" spans="1:21" ht="12.75" customHeight="1">
      <c r="A37" s="751" t="s">
        <v>487</v>
      </c>
      <c r="B37" s="751" t="s">
        <v>733</v>
      </c>
      <c r="C37" s="751" t="s">
        <v>734</v>
      </c>
      <c r="D37" s="751" t="s">
        <v>735</v>
      </c>
      <c r="E37" s="751" t="s">
        <v>629</v>
      </c>
      <c r="F37" s="751" t="s">
        <v>736</v>
      </c>
      <c r="G37" s="752">
        <v>14.8</v>
      </c>
      <c r="H37" s="753">
        <v>8.4700000000000006</v>
      </c>
      <c r="I37" s="753">
        <v>10.9</v>
      </c>
      <c r="J37" s="753">
        <v>48.72</v>
      </c>
      <c r="K37" s="753">
        <v>263.64</v>
      </c>
      <c r="L37" s="751" t="s">
        <v>737</v>
      </c>
      <c r="M37" s="752">
        <v>10.5</v>
      </c>
      <c r="N37" s="753">
        <v>7.76</v>
      </c>
      <c r="O37" s="753">
        <v>10</v>
      </c>
      <c r="P37" s="753">
        <v>45.03</v>
      </c>
      <c r="Q37" s="751" t="s">
        <v>697</v>
      </c>
      <c r="R37" s="753">
        <v>254.78</v>
      </c>
      <c r="S37" s="751" t="s">
        <v>38</v>
      </c>
      <c r="T37" s="755">
        <v>6</v>
      </c>
      <c r="U37" s="108"/>
    </row>
    <row r="38" spans="1:21" ht="12.75" customHeight="1">
      <c r="A38" s="751" t="s">
        <v>511</v>
      </c>
      <c r="B38" s="751" t="s">
        <v>516</v>
      </c>
      <c r="C38" s="751" t="s">
        <v>633</v>
      </c>
      <c r="D38" s="751" t="s">
        <v>738</v>
      </c>
      <c r="E38" s="751" t="s">
        <v>629</v>
      </c>
      <c r="F38" s="751" t="s">
        <v>730</v>
      </c>
      <c r="G38" s="752">
        <v>4.3</v>
      </c>
      <c r="H38" s="753">
        <v>8.5299999999999994</v>
      </c>
      <c r="I38" s="753">
        <v>10.3</v>
      </c>
      <c r="J38" s="753">
        <v>59.65</v>
      </c>
      <c r="K38" s="753">
        <v>136.44999999999999</v>
      </c>
      <c r="L38" s="751" t="s">
        <v>739</v>
      </c>
      <c r="M38" s="752">
        <v>1.6</v>
      </c>
      <c r="N38" s="753">
        <v>8.44</v>
      </c>
      <c r="O38" s="753">
        <v>10.3</v>
      </c>
      <c r="P38" s="753">
        <v>59.09</v>
      </c>
      <c r="Q38" s="751" t="s">
        <v>649</v>
      </c>
      <c r="R38" s="753">
        <v>136.13</v>
      </c>
      <c r="S38" s="751" t="s">
        <v>38</v>
      </c>
      <c r="T38" s="755">
        <v>7</v>
      </c>
      <c r="U38" s="108"/>
    </row>
    <row r="39" spans="1:21" ht="12.75" customHeight="1">
      <c r="A39" s="751" t="s">
        <v>474</v>
      </c>
      <c r="B39" s="751" t="s">
        <v>475</v>
      </c>
      <c r="C39" s="751" t="s">
        <v>8</v>
      </c>
      <c r="D39" s="751" t="s">
        <v>740</v>
      </c>
      <c r="E39" s="751" t="s">
        <v>629</v>
      </c>
      <c r="F39" s="751" t="s">
        <v>741</v>
      </c>
      <c r="G39" s="752">
        <v>10.8</v>
      </c>
      <c r="H39" s="753">
        <v>8.75</v>
      </c>
      <c r="I39" s="753">
        <v>11</v>
      </c>
      <c r="J39" s="753">
        <v>51.32</v>
      </c>
      <c r="K39" s="753">
        <v>208.66</v>
      </c>
      <c r="L39" s="751" t="s">
        <v>742</v>
      </c>
      <c r="M39" s="752">
        <v>7.1</v>
      </c>
      <c r="N39" s="753">
        <v>8.2799999999999994</v>
      </c>
      <c r="O39" s="753">
        <v>10.1</v>
      </c>
      <c r="P39" s="753">
        <v>51.32</v>
      </c>
      <c r="Q39" s="751" t="s">
        <v>743</v>
      </c>
      <c r="R39" s="753">
        <v>201.36</v>
      </c>
      <c r="S39" s="751" t="s">
        <v>38</v>
      </c>
      <c r="T39" s="755">
        <v>4</v>
      </c>
      <c r="U39" s="108"/>
    </row>
    <row r="40" spans="1:21" ht="12.75" customHeight="1">
      <c r="A40" s="751" t="s">
        <v>468</v>
      </c>
      <c r="B40" s="751" t="s">
        <v>589</v>
      </c>
      <c r="C40" s="751" t="s">
        <v>187</v>
      </c>
      <c r="D40" s="751" t="s">
        <v>744</v>
      </c>
      <c r="E40" s="751" t="s">
        <v>629</v>
      </c>
      <c r="F40" s="751" t="s">
        <v>745</v>
      </c>
      <c r="G40" s="752">
        <v>27.4</v>
      </c>
      <c r="H40" s="753">
        <v>9.08</v>
      </c>
      <c r="I40" s="753">
        <v>11.75</v>
      </c>
      <c r="J40" s="753">
        <v>53.7</v>
      </c>
      <c r="K40" s="753">
        <v>487.85</v>
      </c>
      <c r="L40" s="751" t="s">
        <v>746</v>
      </c>
      <c r="M40" s="752">
        <v>7.9</v>
      </c>
      <c r="N40" s="753">
        <v>7.84</v>
      </c>
      <c r="O40" s="753">
        <v>9.4499999999999993</v>
      </c>
      <c r="P40" s="753">
        <v>53.7</v>
      </c>
      <c r="Q40" s="751" t="s">
        <v>697</v>
      </c>
      <c r="R40" s="753">
        <v>466.38</v>
      </c>
      <c r="S40" s="751" t="s">
        <v>645</v>
      </c>
      <c r="T40" s="755">
        <v>6</v>
      </c>
      <c r="U40" s="108"/>
    </row>
    <row r="41" spans="1:21" ht="12.75" customHeight="1">
      <c r="A41" s="751" t="s">
        <v>502</v>
      </c>
      <c r="B41" s="751" t="s">
        <v>503</v>
      </c>
      <c r="C41" s="751" t="s">
        <v>139</v>
      </c>
      <c r="D41" s="751" t="s">
        <v>747</v>
      </c>
      <c r="E41" s="751" t="s">
        <v>629</v>
      </c>
      <c r="F41" s="751" t="s">
        <v>748</v>
      </c>
      <c r="G41" s="752">
        <v>2</v>
      </c>
      <c r="H41" s="753">
        <v>8.4499999999999993</v>
      </c>
      <c r="I41" s="753">
        <v>10.65</v>
      </c>
      <c r="J41" s="753">
        <v>53.56</v>
      </c>
      <c r="K41" s="753">
        <v>116.16</v>
      </c>
      <c r="L41" s="751" t="s">
        <v>749</v>
      </c>
      <c r="M41" s="752">
        <v>0.7</v>
      </c>
      <c r="N41" s="753">
        <v>7.88</v>
      </c>
      <c r="O41" s="753">
        <v>9.3000000000000007</v>
      </c>
      <c r="P41" s="753">
        <v>59.06</v>
      </c>
      <c r="Q41" s="751" t="s">
        <v>750</v>
      </c>
      <c r="R41" s="753">
        <v>115.93</v>
      </c>
      <c r="S41" s="751" t="s">
        <v>645</v>
      </c>
      <c r="T41" s="755">
        <v>7</v>
      </c>
      <c r="U41" s="108"/>
    </row>
    <row r="42" spans="1:21" ht="12.75" customHeight="1">
      <c r="A42" s="751" t="s">
        <v>502</v>
      </c>
      <c r="B42" s="751" t="s">
        <v>503</v>
      </c>
      <c r="C42" s="751" t="s">
        <v>139</v>
      </c>
      <c r="D42" s="751" t="s">
        <v>751</v>
      </c>
      <c r="E42" s="751" t="s">
        <v>629</v>
      </c>
      <c r="F42" s="751" t="s">
        <v>748</v>
      </c>
      <c r="G42" s="752">
        <v>24.9</v>
      </c>
      <c r="H42" s="753">
        <v>7.42</v>
      </c>
      <c r="I42" s="753">
        <v>10.65</v>
      </c>
      <c r="J42" s="753">
        <v>53.56</v>
      </c>
      <c r="K42" s="753">
        <v>823.21</v>
      </c>
      <c r="L42" s="751" t="s">
        <v>749</v>
      </c>
      <c r="M42" s="752">
        <v>6.8</v>
      </c>
      <c r="N42" s="753">
        <v>6.56</v>
      </c>
      <c r="O42" s="753">
        <v>10</v>
      </c>
      <c r="P42" s="753">
        <v>42.74</v>
      </c>
      <c r="Q42" s="751" t="s">
        <v>750</v>
      </c>
      <c r="R42" s="753">
        <v>825.26</v>
      </c>
      <c r="S42" s="751" t="s">
        <v>645</v>
      </c>
      <c r="T42" s="755">
        <v>7</v>
      </c>
      <c r="U42" s="108"/>
    </row>
    <row r="43" spans="1:21" ht="12.75" customHeight="1">
      <c r="A43" s="751" t="s">
        <v>505</v>
      </c>
      <c r="B43" s="751" t="s">
        <v>527</v>
      </c>
      <c r="C43" s="751" t="s">
        <v>228</v>
      </c>
      <c r="D43" s="751" t="s">
        <v>752</v>
      </c>
      <c r="E43" s="751" t="s">
        <v>629</v>
      </c>
      <c r="F43" s="751" t="s">
        <v>753</v>
      </c>
      <c r="G43" s="752">
        <v>10.5</v>
      </c>
      <c r="H43" s="753">
        <v>9.59</v>
      </c>
      <c r="I43" s="753">
        <v>11.25</v>
      </c>
      <c r="J43" s="753">
        <v>44.72</v>
      </c>
      <c r="K43" s="753">
        <v>180.99</v>
      </c>
      <c r="L43" s="751" t="s">
        <v>749</v>
      </c>
      <c r="M43" s="752">
        <v>6.8</v>
      </c>
      <c r="N43" s="753">
        <v>8.94</v>
      </c>
      <c r="O43" s="753">
        <v>9.9</v>
      </c>
      <c r="P43" s="753">
        <v>48.03</v>
      </c>
      <c r="Q43" s="751" t="s">
        <v>661</v>
      </c>
      <c r="R43" s="753">
        <v>165.33</v>
      </c>
      <c r="S43" s="751" t="s">
        <v>38</v>
      </c>
      <c r="T43" s="755">
        <v>12</v>
      </c>
      <c r="U43" s="108"/>
    </row>
    <row r="44" spans="1:21" ht="12.75" customHeight="1">
      <c r="A44" s="751" t="s">
        <v>501</v>
      </c>
      <c r="B44" s="751" t="s">
        <v>754</v>
      </c>
      <c r="C44" s="751" t="s">
        <v>15</v>
      </c>
      <c r="D44" s="751" t="s">
        <v>755</v>
      </c>
      <c r="E44" s="751" t="s">
        <v>629</v>
      </c>
      <c r="F44" s="751" t="s">
        <v>756</v>
      </c>
      <c r="G44" s="752">
        <v>43.7</v>
      </c>
      <c r="H44" s="753">
        <v>8.2799999999999994</v>
      </c>
      <c r="I44" s="753">
        <v>10.3</v>
      </c>
      <c r="J44" s="753">
        <v>50</v>
      </c>
      <c r="K44" s="753">
        <v>983.69</v>
      </c>
      <c r="L44" s="751" t="s">
        <v>757</v>
      </c>
      <c r="M44" s="752">
        <v>8.6999999999999993</v>
      </c>
      <c r="N44" s="753">
        <v>7.78</v>
      </c>
      <c r="O44" s="753">
        <v>9.5</v>
      </c>
      <c r="P44" s="753">
        <v>50</v>
      </c>
      <c r="Q44" s="751" t="s">
        <v>711</v>
      </c>
      <c r="R44" s="753">
        <v>886.16</v>
      </c>
      <c r="S44" s="751" t="s">
        <v>38</v>
      </c>
      <c r="T44" s="755">
        <v>10</v>
      </c>
      <c r="U44" s="108"/>
    </row>
    <row r="45" spans="1:21" ht="12.75" customHeight="1">
      <c r="A45" s="751" t="s">
        <v>511</v>
      </c>
      <c r="B45" s="751" t="s">
        <v>758</v>
      </c>
      <c r="C45" s="751" t="s">
        <v>356</v>
      </c>
      <c r="D45" s="751" t="s">
        <v>759</v>
      </c>
      <c r="E45" s="751" t="s">
        <v>629</v>
      </c>
      <c r="F45" s="751" t="s">
        <v>760</v>
      </c>
      <c r="G45" s="752">
        <v>12.8</v>
      </c>
      <c r="H45" s="753">
        <v>8.81</v>
      </c>
      <c r="I45" s="753">
        <v>10.3</v>
      </c>
      <c r="J45" s="753">
        <v>52.34</v>
      </c>
      <c r="K45" s="753">
        <v>333.81</v>
      </c>
      <c r="L45" s="751" t="s">
        <v>761</v>
      </c>
      <c r="M45" s="752">
        <v>-1</v>
      </c>
      <c r="N45" s="753" t="s">
        <v>206</v>
      </c>
      <c r="O45" s="753">
        <v>10.3</v>
      </c>
      <c r="P45" s="753">
        <v>51.61</v>
      </c>
      <c r="Q45" s="751" t="s">
        <v>649</v>
      </c>
      <c r="R45" s="753" t="s">
        <v>206</v>
      </c>
      <c r="S45" s="751" t="s">
        <v>206</v>
      </c>
      <c r="T45" s="755">
        <v>6</v>
      </c>
      <c r="U45" s="108"/>
    </row>
    <row r="46" spans="1:21" ht="12.75" customHeight="1">
      <c r="A46" s="751" t="s">
        <v>587</v>
      </c>
      <c r="B46" s="751" t="s">
        <v>762</v>
      </c>
      <c r="C46" s="751" t="s">
        <v>763</v>
      </c>
      <c r="D46" s="751" t="s">
        <v>764</v>
      </c>
      <c r="E46" s="751" t="s">
        <v>629</v>
      </c>
      <c r="F46" s="751" t="s">
        <v>765</v>
      </c>
      <c r="G46" s="752">
        <v>8.8000000000000007</v>
      </c>
      <c r="H46" s="753">
        <v>8.34</v>
      </c>
      <c r="I46" s="753" t="s">
        <v>206</v>
      </c>
      <c r="J46" s="753">
        <v>54.15</v>
      </c>
      <c r="K46" s="753">
        <v>467.42</v>
      </c>
      <c r="L46" s="751" t="s">
        <v>766</v>
      </c>
      <c r="M46" s="752">
        <v>7.5</v>
      </c>
      <c r="N46" s="753">
        <v>8.34</v>
      </c>
      <c r="O46" s="753" t="s">
        <v>206</v>
      </c>
      <c r="P46" s="753">
        <v>54.28</v>
      </c>
      <c r="Q46" s="751" t="s">
        <v>707</v>
      </c>
      <c r="R46" s="753">
        <v>467.39</v>
      </c>
      <c r="S46" s="751" t="s">
        <v>645</v>
      </c>
      <c r="T46" s="755">
        <v>3</v>
      </c>
      <c r="U46" s="108"/>
    </row>
    <row r="47" spans="1:21" ht="12.75" customHeight="1">
      <c r="A47" s="751" t="s">
        <v>523</v>
      </c>
      <c r="B47" s="751" t="s">
        <v>475</v>
      </c>
      <c r="C47" s="751" t="s">
        <v>8</v>
      </c>
      <c r="D47" s="751" t="s">
        <v>767</v>
      </c>
      <c r="E47" s="751" t="s">
        <v>629</v>
      </c>
      <c r="F47" s="751" t="s">
        <v>768</v>
      </c>
      <c r="G47" s="752">
        <v>9.6999999999999993</v>
      </c>
      <c r="H47" s="753">
        <v>8.85</v>
      </c>
      <c r="I47" s="753">
        <v>11.05</v>
      </c>
      <c r="J47" s="753">
        <v>51.69</v>
      </c>
      <c r="K47" s="753">
        <v>273.87</v>
      </c>
      <c r="L47" s="751" t="s">
        <v>769</v>
      </c>
      <c r="M47" s="752">
        <v>6.6</v>
      </c>
      <c r="N47" s="753" t="s">
        <v>206</v>
      </c>
      <c r="O47" s="753" t="s">
        <v>206</v>
      </c>
      <c r="P47" s="753" t="s">
        <v>206</v>
      </c>
      <c r="Q47" s="751" t="s">
        <v>661</v>
      </c>
      <c r="R47" s="753" t="s">
        <v>206</v>
      </c>
      <c r="S47" s="751" t="s">
        <v>206</v>
      </c>
      <c r="T47" s="755">
        <v>3</v>
      </c>
      <c r="U47" s="108"/>
    </row>
    <row r="48" spans="1:21" ht="12.75" customHeight="1">
      <c r="A48" s="751" t="s">
        <v>472</v>
      </c>
      <c r="B48" s="751" t="s">
        <v>571</v>
      </c>
      <c r="C48" s="751" t="s">
        <v>228</v>
      </c>
      <c r="D48" s="751" t="s">
        <v>770</v>
      </c>
      <c r="E48" s="751" t="s">
        <v>629</v>
      </c>
      <c r="F48" s="751" t="s">
        <v>771</v>
      </c>
      <c r="G48" s="752">
        <v>28.4</v>
      </c>
      <c r="H48" s="753">
        <v>8.24</v>
      </c>
      <c r="I48" s="753">
        <v>11.25</v>
      </c>
      <c r="J48" s="753">
        <v>50.7</v>
      </c>
      <c r="K48" s="753">
        <v>755.18</v>
      </c>
      <c r="L48" s="751" t="s">
        <v>772</v>
      </c>
      <c r="M48" s="752">
        <v>15.4</v>
      </c>
      <c r="N48" s="753" t="s">
        <v>206</v>
      </c>
      <c r="O48" s="753" t="s">
        <v>206</v>
      </c>
      <c r="P48" s="753" t="s">
        <v>206</v>
      </c>
      <c r="Q48" s="751" t="s">
        <v>773</v>
      </c>
      <c r="R48" s="753" t="s">
        <v>206</v>
      </c>
      <c r="S48" s="751" t="s">
        <v>206</v>
      </c>
      <c r="T48" s="755">
        <v>7</v>
      </c>
      <c r="U48" s="108"/>
    </row>
    <row r="49" spans="1:21" ht="12.75" customHeight="1">
      <c r="A49" s="751" t="s">
        <v>540</v>
      </c>
      <c r="B49" s="751" t="s">
        <v>475</v>
      </c>
      <c r="C49" s="751" t="s">
        <v>8</v>
      </c>
      <c r="D49" s="751" t="s">
        <v>774</v>
      </c>
      <c r="E49" s="751" t="s">
        <v>629</v>
      </c>
      <c r="F49" s="751" t="s">
        <v>775</v>
      </c>
      <c r="G49" s="752">
        <v>9.6999999999999993</v>
      </c>
      <c r="H49" s="753">
        <v>8.7799999999999994</v>
      </c>
      <c r="I49" s="753">
        <v>10.9</v>
      </c>
      <c r="J49" s="753">
        <v>51.66</v>
      </c>
      <c r="K49" s="753">
        <v>160.07</v>
      </c>
      <c r="L49" s="751" t="s">
        <v>776</v>
      </c>
      <c r="M49" s="752">
        <v>2.8</v>
      </c>
      <c r="N49" s="753" t="s">
        <v>206</v>
      </c>
      <c r="O49" s="753" t="s">
        <v>206</v>
      </c>
      <c r="P49" s="753" t="s">
        <v>206</v>
      </c>
      <c r="Q49" s="751" t="s">
        <v>661</v>
      </c>
      <c r="R49" s="753" t="s">
        <v>206</v>
      </c>
      <c r="S49" s="751" t="s">
        <v>206</v>
      </c>
      <c r="T49" s="755">
        <v>6</v>
      </c>
      <c r="U49" s="108"/>
    </row>
    <row r="50" spans="1:21" ht="12.75" customHeight="1">
      <c r="A50" s="751" t="s">
        <v>507</v>
      </c>
      <c r="B50" s="751" t="s">
        <v>508</v>
      </c>
      <c r="C50" s="751" t="s">
        <v>358</v>
      </c>
      <c r="D50" s="751" t="s">
        <v>777</v>
      </c>
      <c r="E50" s="751" t="s">
        <v>629</v>
      </c>
      <c r="F50" s="751" t="s">
        <v>778</v>
      </c>
      <c r="G50" s="752">
        <v>16.2</v>
      </c>
      <c r="H50" s="753">
        <v>8.4</v>
      </c>
      <c r="I50" s="753" t="s">
        <v>206</v>
      </c>
      <c r="J50" s="753">
        <v>55.3</v>
      </c>
      <c r="K50" s="753">
        <v>846.7</v>
      </c>
      <c r="L50" s="751" t="s">
        <v>779</v>
      </c>
      <c r="M50" s="752">
        <v>9.5</v>
      </c>
      <c r="N50" s="753" t="s">
        <v>206</v>
      </c>
      <c r="O50" s="753" t="s">
        <v>206</v>
      </c>
      <c r="P50" s="753" t="s">
        <v>206</v>
      </c>
      <c r="Q50" s="751" t="s">
        <v>697</v>
      </c>
      <c r="R50" s="753" t="s">
        <v>206</v>
      </c>
      <c r="S50" s="751" t="s">
        <v>206</v>
      </c>
      <c r="T50" s="755">
        <v>4</v>
      </c>
      <c r="U50" s="108"/>
    </row>
    <row r="51" spans="1:21" ht="12.75" customHeight="1">
      <c r="A51" s="751" t="s">
        <v>562</v>
      </c>
      <c r="B51" s="751" t="s">
        <v>657</v>
      </c>
      <c r="C51" s="751" t="s">
        <v>120</v>
      </c>
      <c r="D51" s="751" t="s">
        <v>780</v>
      </c>
      <c r="E51" s="751" t="s">
        <v>629</v>
      </c>
      <c r="F51" s="751" t="s">
        <v>781</v>
      </c>
      <c r="G51" s="752">
        <v>28.5</v>
      </c>
      <c r="H51" s="753">
        <v>8.58</v>
      </c>
      <c r="I51" s="753">
        <v>10.5</v>
      </c>
      <c r="J51" s="753">
        <v>57.86</v>
      </c>
      <c r="K51" s="753">
        <v>720.44</v>
      </c>
      <c r="L51" s="751" t="s">
        <v>727</v>
      </c>
      <c r="M51" s="752">
        <v>20</v>
      </c>
      <c r="N51" s="753">
        <v>8.26</v>
      </c>
      <c r="O51" s="753">
        <v>9.75</v>
      </c>
      <c r="P51" s="753">
        <v>59.63</v>
      </c>
      <c r="Q51" s="751" t="s">
        <v>782</v>
      </c>
      <c r="R51" s="753" t="s">
        <v>206</v>
      </c>
      <c r="S51" s="751" t="s">
        <v>206</v>
      </c>
      <c r="T51" s="755">
        <v>17</v>
      </c>
      <c r="U51" s="108"/>
    </row>
    <row r="52" spans="1:21" ht="12.75" customHeight="1">
      <c r="A52" s="751" t="s">
        <v>565</v>
      </c>
      <c r="B52" s="751" t="s">
        <v>586</v>
      </c>
      <c r="C52" s="751" t="s">
        <v>783</v>
      </c>
      <c r="D52" s="751" t="s">
        <v>784</v>
      </c>
      <c r="E52" s="751" t="s">
        <v>629</v>
      </c>
      <c r="F52" s="751" t="s">
        <v>785</v>
      </c>
      <c r="G52" s="752">
        <v>2</v>
      </c>
      <c r="H52" s="753">
        <v>8.4700000000000006</v>
      </c>
      <c r="I52" s="753">
        <v>10.5</v>
      </c>
      <c r="J52" s="753">
        <v>54</v>
      </c>
      <c r="K52" s="753">
        <v>43.6</v>
      </c>
      <c r="L52" s="751" t="s">
        <v>786</v>
      </c>
      <c r="M52" s="752">
        <v>1.6</v>
      </c>
      <c r="N52" s="753">
        <v>7.99</v>
      </c>
      <c r="O52" s="753">
        <v>9.6</v>
      </c>
      <c r="P52" s="753">
        <v>54</v>
      </c>
      <c r="Q52" s="751" t="s">
        <v>787</v>
      </c>
      <c r="R52" s="753">
        <v>43.59</v>
      </c>
      <c r="S52" s="751" t="s">
        <v>645</v>
      </c>
      <c r="T52" s="755">
        <v>6</v>
      </c>
      <c r="U52" s="108"/>
    </row>
    <row r="53" spans="1:21" ht="12.75" customHeight="1">
      <c r="A53" s="751" t="s">
        <v>511</v>
      </c>
      <c r="B53" s="751" t="s">
        <v>514</v>
      </c>
      <c r="C53" s="751" t="s">
        <v>734</v>
      </c>
      <c r="D53" s="751" t="s">
        <v>788</v>
      </c>
      <c r="E53" s="751" t="s">
        <v>629</v>
      </c>
      <c r="F53" s="751" t="s">
        <v>789</v>
      </c>
      <c r="G53" s="752">
        <v>-13.1</v>
      </c>
      <c r="H53" s="753" t="s">
        <v>206</v>
      </c>
      <c r="I53" s="753">
        <v>10.4</v>
      </c>
      <c r="J53" s="753">
        <v>49.31</v>
      </c>
      <c r="K53" s="753">
        <v>196.17</v>
      </c>
      <c r="L53" s="751" t="s">
        <v>765</v>
      </c>
      <c r="M53" s="752">
        <v>-13.1</v>
      </c>
      <c r="N53" s="753" t="s">
        <v>206</v>
      </c>
      <c r="O53" s="753">
        <v>10.4</v>
      </c>
      <c r="P53" s="753">
        <v>49.31</v>
      </c>
      <c r="Q53" s="751" t="s">
        <v>649</v>
      </c>
      <c r="R53" s="753">
        <v>196.17</v>
      </c>
      <c r="S53" s="751" t="s">
        <v>38</v>
      </c>
      <c r="T53" s="755">
        <v>1</v>
      </c>
      <c r="U53" s="108"/>
    </row>
    <row r="54" spans="1:21" ht="12.75" customHeight="1">
      <c r="A54" s="751" t="s">
        <v>466</v>
      </c>
      <c r="B54" s="751" t="s">
        <v>536</v>
      </c>
      <c r="C54" s="751" t="s">
        <v>790</v>
      </c>
      <c r="D54" s="751" t="s">
        <v>791</v>
      </c>
      <c r="E54" s="751" t="s">
        <v>629</v>
      </c>
      <c r="F54" s="751" t="s">
        <v>792</v>
      </c>
      <c r="G54" s="752">
        <v>21.9</v>
      </c>
      <c r="H54" s="753">
        <v>6.71</v>
      </c>
      <c r="I54" s="753">
        <v>10.5</v>
      </c>
      <c r="J54" s="753">
        <v>41.55</v>
      </c>
      <c r="K54" s="753">
        <v>3068.22</v>
      </c>
      <c r="L54" s="751" t="s">
        <v>793</v>
      </c>
      <c r="M54" s="752">
        <v>16</v>
      </c>
      <c r="N54" s="753" t="s">
        <v>206</v>
      </c>
      <c r="O54" s="753">
        <v>10.3</v>
      </c>
      <c r="P54" s="753" t="s">
        <v>206</v>
      </c>
      <c r="Q54" s="751" t="s">
        <v>666</v>
      </c>
      <c r="R54" s="753" t="s">
        <v>206</v>
      </c>
      <c r="S54" s="751" t="s">
        <v>206</v>
      </c>
      <c r="T54" s="755">
        <v>9</v>
      </c>
      <c r="U54" s="108"/>
    </row>
    <row r="55" spans="1:21" ht="12.75" customHeight="1">
      <c r="A55" s="751" t="s">
        <v>490</v>
      </c>
      <c r="B55" s="751" t="s">
        <v>491</v>
      </c>
      <c r="C55" s="751" t="s">
        <v>356</v>
      </c>
      <c r="D55" s="751" t="s">
        <v>794</v>
      </c>
      <c r="E55" s="751" t="s">
        <v>629</v>
      </c>
      <c r="F55" s="751" t="s">
        <v>795</v>
      </c>
      <c r="G55" s="752">
        <v>15</v>
      </c>
      <c r="H55" s="753">
        <v>8.36</v>
      </c>
      <c r="I55" s="753">
        <v>10.75</v>
      </c>
      <c r="J55" s="753">
        <v>50.48</v>
      </c>
      <c r="K55" s="753">
        <v>190.65</v>
      </c>
      <c r="L55" s="751" t="s">
        <v>796</v>
      </c>
      <c r="M55" s="752">
        <v>11</v>
      </c>
      <c r="N55" s="753">
        <v>7.83</v>
      </c>
      <c r="O55" s="753">
        <v>9.6999999999999993</v>
      </c>
      <c r="P55" s="753">
        <v>50.48</v>
      </c>
      <c r="Q55" s="751" t="s">
        <v>697</v>
      </c>
      <c r="R55" s="753">
        <v>189.81</v>
      </c>
      <c r="S55" s="751" t="s">
        <v>38</v>
      </c>
      <c r="T55" s="755">
        <v>18</v>
      </c>
      <c r="U55" s="108"/>
    </row>
    <row r="56" spans="1:21" ht="12.75" customHeight="1">
      <c r="A56" s="751" t="s">
        <v>525</v>
      </c>
      <c r="B56" s="751" t="s">
        <v>526</v>
      </c>
      <c r="C56" s="751" t="s">
        <v>228</v>
      </c>
      <c r="D56" s="751" t="s">
        <v>797</v>
      </c>
      <c r="E56" s="751" t="s">
        <v>629</v>
      </c>
      <c r="F56" s="751" t="s">
        <v>798</v>
      </c>
      <c r="G56" s="752">
        <v>6.1</v>
      </c>
      <c r="H56" s="753">
        <v>8.19</v>
      </c>
      <c r="I56" s="753">
        <v>10.62</v>
      </c>
      <c r="J56" s="753">
        <v>51.16</v>
      </c>
      <c r="K56" s="753">
        <v>70.349999999999994</v>
      </c>
      <c r="L56" s="751" t="s">
        <v>799</v>
      </c>
      <c r="M56" s="752">
        <v>5</v>
      </c>
      <c r="N56" s="753">
        <v>7.67</v>
      </c>
      <c r="O56" s="753">
        <v>9.6</v>
      </c>
      <c r="P56" s="753">
        <v>51.16</v>
      </c>
      <c r="Q56" s="751" t="s">
        <v>800</v>
      </c>
      <c r="R56" s="753">
        <v>69.760000000000005</v>
      </c>
      <c r="S56" s="751" t="s">
        <v>645</v>
      </c>
      <c r="T56" s="755">
        <v>7</v>
      </c>
      <c r="U56" s="108"/>
    </row>
    <row r="57" spans="1:21" ht="12.75" customHeight="1">
      <c r="A57" s="751" t="s">
        <v>515</v>
      </c>
      <c r="B57" s="751" t="s">
        <v>532</v>
      </c>
      <c r="C57" s="751" t="s">
        <v>228</v>
      </c>
      <c r="D57" s="751" t="s">
        <v>801</v>
      </c>
      <c r="E57" s="751" t="s">
        <v>629</v>
      </c>
      <c r="F57" s="751" t="s">
        <v>802</v>
      </c>
      <c r="G57" s="752">
        <v>28.6</v>
      </c>
      <c r="H57" s="753">
        <v>8.26</v>
      </c>
      <c r="I57" s="753">
        <v>10.75</v>
      </c>
      <c r="J57" s="753">
        <v>48</v>
      </c>
      <c r="K57" s="753">
        <v>1657.79</v>
      </c>
      <c r="L57" s="751" t="s">
        <v>803</v>
      </c>
      <c r="M57" s="752">
        <v>13.4</v>
      </c>
      <c r="N57" s="753">
        <v>7.8</v>
      </c>
      <c r="O57" s="753">
        <v>9.8000000000000007</v>
      </c>
      <c r="P57" s="753">
        <v>48</v>
      </c>
      <c r="Q57" s="751" t="s">
        <v>804</v>
      </c>
      <c r="R57" s="753">
        <v>1633</v>
      </c>
      <c r="S57" s="751" t="s">
        <v>38</v>
      </c>
      <c r="T57" s="755">
        <v>10</v>
      </c>
      <c r="U57" s="108"/>
    </row>
    <row r="58" spans="1:21" ht="12.75" customHeight="1">
      <c r="A58" s="751" t="s">
        <v>530</v>
      </c>
      <c r="B58" s="751" t="s">
        <v>531</v>
      </c>
      <c r="C58" s="751" t="s">
        <v>805</v>
      </c>
      <c r="D58" s="751" t="s">
        <v>806</v>
      </c>
      <c r="E58" s="751" t="s">
        <v>629</v>
      </c>
      <c r="F58" s="751" t="s">
        <v>807</v>
      </c>
      <c r="G58" s="752">
        <v>5.6</v>
      </c>
      <c r="H58" s="753">
        <v>8.65</v>
      </c>
      <c r="I58" s="753">
        <v>10.5</v>
      </c>
      <c r="J58" s="753">
        <v>50.82</v>
      </c>
      <c r="K58" s="753">
        <v>183.54</v>
      </c>
      <c r="L58" s="751" t="s">
        <v>808</v>
      </c>
      <c r="M58" s="752">
        <v>2.7</v>
      </c>
      <c r="N58" s="753">
        <v>8.27</v>
      </c>
      <c r="O58" s="753">
        <v>9.75</v>
      </c>
      <c r="P58" s="753">
        <v>50.82</v>
      </c>
      <c r="Q58" s="751" t="s">
        <v>804</v>
      </c>
      <c r="R58" s="753">
        <v>183.07</v>
      </c>
      <c r="S58" s="751" t="s">
        <v>645</v>
      </c>
      <c r="T58" s="755">
        <v>12</v>
      </c>
      <c r="U58" s="108"/>
    </row>
    <row r="59" spans="1:21" ht="12.75" customHeight="1">
      <c r="A59" s="751" t="s">
        <v>485</v>
      </c>
      <c r="B59" s="751" t="s">
        <v>809</v>
      </c>
      <c r="C59" s="751" t="s">
        <v>810</v>
      </c>
      <c r="D59" s="751" t="s">
        <v>811</v>
      </c>
      <c r="E59" s="751" t="s">
        <v>629</v>
      </c>
      <c r="F59" s="751" t="s">
        <v>812</v>
      </c>
      <c r="G59" s="752">
        <v>3.7</v>
      </c>
      <c r="H59" s="753">
        <v>7.65</v>
      </c>
      <c r="I59" s="753">
        <v>10.5</v>
      </c>
      <c r="J59" s="753">
        <v>40.25</v>
      </c>
      <c r="K59" s="753">
        <v>71.37</v>
      </c>
      <c r="L59" s="751" t="s">
        <v>808</v>
      </c>
      <c r="M59" s="752">
        <v>2.7</v>
      </c>
      <c r="N59" s="753">
        <v>7.24</v>
      </c>
      <c r="O59" s="753">
        <v>9.5</v>
      </c>
      <c r="P59" s="753">
        <v>40.25</v>
      </c>
      <c r="Q59" s="751" t="s">
        <v>804</v>
      </c>
      <c r="R59" s="753">
        <v>69.56</v>
      </c>
      <c r="S59" s="751" t="s">
        <v>645</v>
      </c>
      <c r="T59" s="755">
        <v>11</v>
      </c>
      <c r="U59" s="108"/>
    </row>
    <row r="60" spans="1:21" ht="12.75" customHeight="1">
      <c r="A60" s="751" t="s">
        <v>583</v>
      </c>
      <c r="B60" s="751" t="s">
        <v>813</v>
      </c>
      <c r="C60" s="751" t="s">
        <v>228</v>
      </c>
      <c r="D60" s="751" t="s">
        <v>814</v>
      </c>
      <c r="E60" s="751" t="s">
        <v>629</v>
      </c>
      <c r="F60" s="751" t="s">
        <v>815</v>
      </c>
      <c r="G60" s="752">
        <v>34.5</v>
      </c>
      <c r="H60" s="753">
        <v>8.3699999999999992</v>
      </c>
      <c r="I60" s="753">
        <v>11.25</v>
      </c>
      <c r="J60" s="753">
        <v>52</v>
      </c>
      <c r="K60" s="753">
        <v>527.67999999999995</v>
      </c>
      <c r="L60" s="751" t="s">
        <v>816</v>
      </c>
      <c r="M60" s="752">
        <v>21.5</v>
      </c>
      <c r="N60" s="753">
        <v>7.48</v>
      </c>
      <c r="O60" s="753">
        <v>10</v>
      </c>
      <c r="P60" s="753">
        <v>52</v>
      </c>
      <c r="Q60" s="751" t="s">
        <v>782</v>
      </c>
      <c r="R60" s="753">
        <v>511.68</v>
      </c>
      <c r="S60" s="751" t="s">
        <v>645</v>
      </c>
      <c r="T60" s="755">
        <v>10</v>
      </c>
      <c r="U60" s="108"/>
    </row>
    <row r="61" spans="1:21" ht="12.75" customHeight="1">
      <c r="A61" s="751" t="s">
        <v>474</v>
      </c>
      <c r="B61" s="751" t="s">
        <v>582</v>
      </c>
      <c r="C61" s="751" t="s">
        <v>17</v>
      </c>
      <c r="D61" s="751" t="s">
        <v>817</v>
      </c>
      <c r="E61" s="751" t="s">
        <v>629</v>
      </c>
      <c r="F61" s="751" t="s">
        <v>792</v>
      </c>
      <c r="G61" s="752">
        <v>16.7</v>
      </c>
      <c r="H61" s="753">
        <v>8.5299999999999994</v>
      </c>
      <c r="I61" s="753">
        <v>11.25</v>
      </c>
      <c r="J61" s="753">
        <v>52.71</v>
      </c>
      <c r="K61" s="753">
        <v>338.57</v>
      </c>
      <c r="L61" s="751" t="s">
        <v>818</v>
      </c>
      <c r="M61" s="752">
        <v>11.9</v>
      </c>
      <c r="N61" s="753">
        <v>7.98</v>
      </c>
      <c r="O61" s="753">
        <v>10.199999999999999</v>
      </c>
      <c r="P61" s="753">
        <v>52.71</v>
      </c>
      <c r="Q61" s="751" t="s">
        <v>819</v>
      </c>
      <c r="R61" s="753">
        <v>348.87</v>
      </c>
      <c r="S61" s="751" t="s">
        <v>38</v>
      </c>
      <c r="T61" s="755">
        <v>4</v>
      </c>
      <c r="U61" s="108"/>
    </row>
    <row r="62" spans="1:21" ht="12.75" customHeight="1">
      <c r="A62" s="751" t="s">
        <v>476</v>
      </c>
      <c r="B62" s="751" t="s">
        <v>535</v>
      </c>
      <c r="C62" s="751" t="s">
        <v>820</v>
      </c>
      <c r="D62" s="751" t="s">
        <v>821</v>
      </c>
      <c r="E62" s="751" t="s">
        <v>629</v>
      </c>
      <c r="F62" s="751" t="s">
        <v>822</v>
      </c>
      <c r="G62" s="752">
        <v>49.5</v>
      </c>
      <c r="H62" s="753">
        <v>9.31</v>
      </c>
      <c r="I62" s="753">
        <v>10.75</v>
      </c>
      <c r="J62" s="753">
        <v>52.87</v>
      </c>
      <c r="K62" s="753">
        <v>956.28</v>
      </c>
      <c r="L62" s="751" t="s">
        <v>823</v>
      </c>
      <c r="M62" s="752">
        <v>32.200000000000003</v>
      </c>
      <c r="N62" s="753">
        <v>8.33</v>
      </c>
      <c r="O62" s="753">
        <v>9.06</v>
      </c>
      <c r="P62" s="753">
        <v>53.27</v>
      </c>
      <c r="Q62" s="751" t="s">
        <v>666</v>
      </c>
      <c r="R62" s="753">
        <v>952.28</v>
      </c>
      <c r="S62" s="751" t="s">
        <v>38</v>
      </c>
      <c r="T62" s="755">
        <v>10</v>
      </c>
      <c r="U62" s="108"/>
    </row>
    <row r="63" spans="1:21" ht="12.75" customHeight="1">
      <c r="A63" s="751" t="s">
        <v>476</v>
      </c>
      <c r="B63" s="751" t="s">
        <v>521</v>
      </c>
      <c r="C63" s="751" t="s">
        <v>356</v>
      </c>
      <c r="D63" s="751" t="s">
        <v>824</v>
      </c>
      <c r="E63" s="751" t="s">
        <v>629</v>
      </c>
      <c r="F63" s="751" t="s">
        <v>825</v>
      </c>
      <c r="G63" s="752">
        <v>8.3000000000000007</v>
      </c>
      <c r="H63" s="753">
        <v>8.5</v>
      </c>
      <c r="I63" s="753">
        <v>10.85</v>
      </c>
      <c r="J63" s="753">
        <v>56</v>
      </c>
      <c r="K63" s="753">
        <v>192.56</v>
      </c>
      <c r="L63" s="751" t="s">
        <v>823</v>
      </c>
      <c r="M63" s="752">
        <v>1.9</v>
      </c>
      <c r="N63" s="753">
        <v>7.43</v>
      </c>
      <c r="O63" s="753">
        <v>9.4499999999999993</v>
      </c>
      <c r="P63" s="753">
        <v>50</v>
      </c>
      <c r="Q63" s="751" t="s">
        <v>666</v>
      </c>
      <c r="R63" s="753">
        <v>187.53</v>
      </c>
      <c r="S63" s="751" t="s">
        <v>38</v>
      </c>
      <c r="T63" s="755">
        <v>10</v>
      </c>
      <c r="U63" s="108"/>
    </row>
    <row r="64" spans="1:21" ht="12.75" customHeight="1">
      <c r="A64" s="751" t="s">
        <v>476</v>
      </c>
      <c r="B64" s="751" t="s">
        <v>522</v>
      </c>
      <c r="C64" s="751" t="s">
        <v>356</v>
      </c>
      <c r="D64" s="751" t="s">
        <v>826</v>
      </c>
      <c r="E64" s="751" t="s">
        <v>629</v>
      </c>
      <c r="F64" s="751" t="s">
        <v>825</v>
      </c>
      <c r="G64" s="752">
        <v>112.6</v>
      </c>
      <c r="H64" s="753">
        <v>8.11</v>
      </c>
      <c r="I64" s="753">
        <v>10.85</v>
      </c>
      <c r="J64" s="753">
        <v>56</v>
      </c>
      <c r="K64" s="753">
        <v>1472.85</v>
      </c>
      <c r="L64" s="751" t="s">
        <v>823</v>
      </c>
      <c r="M64" s="752">
        <v>57.8</v>
      </c>
      <c r="N64" s="753">
        <v>6.94</v>
      </c>
      <c r="O64" s="753">
        <v>9.4499999999999993</v>
      </c>
      <c r="P64" s="753">
        <v>49</v>
      </c>
      <c r="Q64" s="751" t="s">
        <v>666</v>
      </c>
      <c r="R64" s="753">
        <v>1359.08</v>
      </c>
      <c r="S64" s="751" t="s">
        <v>38</v>
      </c>
      <c r="T64" s="755">
        <v>10</v>
      </c>
      <c r="U64" s="108"/>
    </row>
    <row r="65" spans="1:21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756">
        <f>AVERAGE(O6:O23)</f>
        <v>9.5109999999999992</v>
      </c>
      <c r="P66" s="757" t="s">
        <v>827</v>
      </c>
      <c r="Q66" s="758"/>
      <c r="R66" s="108"/>
      <c r="S66" s="108"/>
      <c r="T66" s="108"/>
      <c r="U66" s="108"/>
    </row>
    <row r="67" spans="1:21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756">
        <v>9.8000000000000007</v>
      </c>
      <c r="P67" s="833" t="s">
        <v>828</v>
      </c>
      <c r="Q67" s="833"/>
      <c r="R67" s="108"/>
      <c r="S67" s="108"/>
      <c r="T67" s="108"/>
      <c r="U67" s="108"/>
    </row>
    <row r="68" spans="1:21" ht="1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756">
        <v>9.25</v>
      </c>
      <c r="P68" s="759" t="s">
        <v>829</v>
      </c>
      <c r="Q68" s="758"/>
      <c r="R68" s="108"/>
      <c r="S68" s="108"/>
      <c r="T68" s="108"/>
      <c r="U68" s="108"/>
    </row>
    <row r="69" spans="1:2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</sheetData>
  <mergeCells count="3">
    <mergeCell ref="F4:K4"/>
    <mergeCell ref="L4:S4"/>
    <mergeCell ref="P67:Q67"/>
  </mergeCells>
  <pageMargins left="0.7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4"/>
  <sheetViews>
    <sheetView view="pageBreakPreview" topLeftCell="D1" zoomScale="110" zoomScaleNormal="100" zoomScaleSheetLayoutView="110" workbookViewId="0">
      <selection activeCell="J5" sqref="J5"/>
    </sheetView>
  </sheetViews>
  <sheetFormatPr defaultRowHeight="12.75"/>
  <cols>
    <col min="1" max="1" width="5.1640625" customWidth="1"/>
    <col min="2" max="2" width="17.5" customWidth="1"/>
    <col min="3" max="3" width="31.5" customWidth="1"/>
    <col min="4" max="5" width="10.33203125" customWidth="1"/>
    <col min="6" max="6" width="11" customWidth="1"/>
    <col min="7" max="7" width="8.5" customWidth="1"/>
    <col min="11" max="12" width="19.1640625" customWidth="1"/>
    <col min="13" max="13" width="13" customWidth="1"/>
    <col min="16" max="16" width="12.1640625" customWidth="1"/>
    <col min="24" max="36" width="0" hidden="1" customWidth="1"/>
  </cols>
  <sheetData>
    <row r="1" spans="1:40" ht="18">
      <c r="A1" s="723"/>
      <c r="B1" s="724" t="s">
        <v>451</v>
      </c>
      <c r="C1" s="725"/>
      <c r="D1" s="726"/>
      <c r="E1" s="727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</row>
    <row r="2" spans="1:40">
      <c r="A2" s="723"/>
      <c r="B2" s="723"/>
      <c r="C2" s="725"/>
      <c r="D2" s="726"/>
      <c r="E2" s="727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</row>
    <row r="3" spans="1:40">
      <c r="A3" s="723"/>
      <c r="B3" s="723"/>
      <c r="C3" s="725"/>
      <c r="D3" s="726"/>
      <c r="E3" s="727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</row>
    <row r="4" spans="1:40">
      <c r="A4" s="723"/>
      <c r="B4" s="723"/>
      <c r="C4" s="725"/>
      <c r="D4" s="726"/>
      <c r="E4" s="727"/>
      <c r="F4" s="723"/>
      <c r="G4" s="723"/>
      <c r="H4" s="723"/>
      <c r="I4" s="723"/>
      <c r="J4" s="723"/>
      <c r="K4" s="728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</row>
    <row r="5" spans="1:40">
      <c r="A5" s="723"/>
      <c r="B5" s="723"/>
      <c r="C5" s="725"/>
      <c r="D5" s="726"/>
      <c r="E5" s="727"/>
      <c r="F5" s="723"/>
      <c r="G5" s="723"/>
      <c r="H5" s="723"/>
      <c r="I5" s="723"/>
      <c r="J5" s="723"/>
      <c r="K5" s="728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  <c r="AL5" s="723"/>
      <c r="AM5" s="723"/>
      <c r="AN5" s="723"/>
    </row>
    <row r="6" spans="1:40">
      <c r="A6" s="723"/>
      <c r="B6" s="729" t="s">
        <v>452</v>
      </c>
      <c r="C6" s="729" t="s">
        <v>453</v>
      </c>
      <c r="D6" s="730" t="s">
        <v>454</v>
      </c>
      <c r="E6" s="731" t="s">
        <v>455</v>
      </c>
      <c r="F6" s="729" t="s">
        <v>456</v>
      </c>
      <c r="G6" s="729" t="s">
        <v>457</v>
      </c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</row>
    <row r="7" spans="1:40" ht="51">
      <c r="A7" s="732"/>
      <c r="B7" s="733" t="s">
        <v>458</v>
      </c>
      <c r="C7" s="733" t="s">
        <v>459</v>
      </c>
      <c r="D7" s="734" t="s">
        <v>460</v>
      </c>
      <c r="E7" s="735" t="s">
        <v>461</v>
      </c>
      <c r="F7" s="735" t="s">
        <v>462</v>
      </c>
      <c r="G7" s="735" t="s">
        <v>463</v>
      </c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</row>
    <row r="8" spans="1:40">
      <c r="A8" s="732">
        <v>1</v>
      </c>
      <c r="B8" s="737" t="s">
        <v>464</v>
      </c>
      <c r="C8" s="737" t="s">
        <v>465</v>
      </c>
      <c r="D8" s="738">
        <v>39830</v>
      </c>
      <c r="E8" s="739">
        <v>14.8</v>
      </c>
      <c r="F8" s="67">
        <v>8.89</v>
      </c>
      <c r="G8" s="67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</row>
    <row r="9" spans="1:40">
      <c r="A9" s="740">
        <v>2</v>
      </c>
      <c r="B9" s="737" t="s">
        <v>466</v>
      </c>
      <c r="C9" s="737" t="s">
        <v>467</v>
      </c>
      <c r="D9" s="738">
        <v>39826</v>
      </c>
      <c r="E9" s="739">
        <v>6</v>
      </c>
      <c r="F9" s="67">
        <v>7.6</v>
      </c>
      <c r="G9" s="67">
        <v>10.45</v>
      </c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</row>
    <row r="10" spans="1:40">
      <c r="A10" s="740">
        <v>3</v>
      </c>
      <c r="B10" s="737" t="s">
        <v>468</v>
      </c>
      <c r="C10" s="737" t="s">
        <v>469</v>
      </c>
      <c r="D10" s="738">
        <v>39846</v>
      </c>
      <c r="E10" s="739">
        <v>3.7</v>
      </c>
      <c r="F10" s="67">
        <v>7.74</v>
      </c>
      <c r="G10" s="67">
        <v>10.050000000000001</v>
      </c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</row>
    <row r="11" spans="1:40">
      <c r="A11" s="740">
        <v>4</v>
      </c>
      <c r="B11" s="737" t="s">
        <v>470</v>
      </c>
      <c r="C11" s="737" t="s">
        <v>471</v>
      </c>
      <c r="D11" s="738">
        <v>39849</v>
      </c>
      <c r="E11" s="739">
        <v>22</v>
      </c>
      <c r="F11" s="67"/>
      <c r="G11" s="67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</row>
    <row r="12" spans="1:40">
      <c r="A12" s="740">
        <v>5</v>
      </c>
      <c r="B12" s="737" t="s">
        <v>472</v>
      </c>
      <c r="C12" s="737" t="s">
        <v>473</v>
      </c>
      <c r="D12" s="738">
        <v>39870</v>
      </c>
      <c r="E12" s="739">
        <v>38.4</v>
      </c>
      <c r="F12" s="67"/>
      <c r="G12" s="67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</row>
    <row r="13" spans="1:40">
      <c r="A13" s="740">
        <v>6</v>
      </c>
      <c r="B13" s="737" t="s">
        <v>474</v>
      </c>
      <c r="C13" s="737" t="s">
        <v>475</v>
      </c>
      <c r="D13" s="738">
        <v>39881</v>
      </c>
      <c r="E13" s="739">
        <v>2.5</v>
      </c>
      <c r="F13" s="67">
        <v>8.24</v>
      </c>
      <c r="G13" s="67">
        <v>10.3</v>
      </c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</row>
    <row r="14" spans="1:40">
      <c r="A14" s="740">
        <v>7</v>
      </c>
      <c r="B14" s="737" t="s">
        <v>476</v>
      </c>
      <c r="C14" s="737" t="s">
        <v>477</v>
      </c>
      <c r="D14" s="738">
        <v>39897</v>
      </c>
      <c r="E14" s="739">
        <v>80.2</v>
      </c>
      <c r="F14" s="67">
        <v>8.09</v>
      </c>
      <c r="G14" s="67">
        <v>10.17</v>
      </c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</row>
    <row r="15" spans="1:40">
      <c r="A15" s="740">
        <v>8</v>
      </c>
      <c r="B15" s="737" t="s">
        <v>478</v>
      </c>
      <c r="C15" s="737" t="s">
        <v>479</v>
      </c>
      <c r="D15" s="738">
        <v>39905</v>
      </c>
      <c r="E15" s="739">
        <v>5</v>
      </c>
      <c r="F15" s="67" t="s">
        <v>206</v>
      </c>
      <c r="G15" s="67">
        <v>10.75</v>
      </c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</row>
    <row r="16" spans="1:40">
      <c r="A16" s="740">
        <v>9</v>
      </c>
      <c r="B16" s="737" t="s">
        <v>480</v>
      </c>
      <c r="C16" s="737" t="s">
        <v>481</v>
      </c>
      <c r="D16" s="738">
        <v>39938</v>
      </c>
      <c r="E16" s="739">
        <v>19.2</v>
      </c>
      <c r="F16" s="67">
        <v>8.5</v>
      </c>
      <c r="G16" s="67">
        <v>10.75</v>
      </c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</row>
    <row r="17" spans="1:40">
      <c r="A17" s="740">
        <v>10</v>
      </c>
      <c r="B17" s="737" t="s">
        <v>482</v>
      </c>
      <c r="C17" s="737" t="s">
        <v>483</v>
      </c>
      <c r="D17" s="738">
        <v>39948</v>
      </c>
      <c r="E17" s="739">
        <v>39.4</v>
      </c>
      <c r="F17" s="67">
        <v>7.7</v>
      </c>
      <c r="G17" s="67">
        <v>10.199999999999999</v>
      </c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</row>
    <row r="18" spans="1:40">
      <c r="A18" s="740">
        <v>11</v>
      </c>
      <c r="B18" s="737" t="s">
        <v>480</v>
      </c>
      <c r="C18" s="737" t="s">
        <v>484</v>
      </c>
      <c r="D18" s="738">
        <v>39960</v>
      </c>
      <c r="E18" s="739">
        <v>8.5</v>
      </c>
      <c r="F18" s="67">
        <v>8.17</v>
      </c>
      <c r="G18" s="67">
        <v>10.85</v>
      </c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</row>
    <row r="19" spans="1:40">
      <c r="A19" s="740">
        <v>12</v>
      </c>
      <c r="B19" s="737" t="s">
        <v>485</v>
      </c>
      <c r="C19" s="737" t="s">
        <v>486</v>
      </c>
      <c r="D19" s="738">
        <v>39962</v>
      </c>
      <c r="E19" s="739">
        <v>5.5</v>
      </c>
      <c r="F19" s="67">
        <v>8.2799999999999994</v>
      </c>
      <c r="G19" s="67">
        <v>9.5399999999999991</v>
      </c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</row>
    <row r="20" spans="1:40">
      <c r="A20" s="740">
        <v>13</v>
      </c>
      <c r="B20" s="737" t="s">
        <v>487</v>
      </c>
      <c r="C20" s="737" t="s">
        <v>488</v>
      </c>
      <c r="D20" s="738">
        <v>39967</v>
      </c>
      <c r="E20" s="739">
        <v>10.4</v>
      </c>
      <c r="F20" s="67">
        <v>8.7100000000000009</v>
      </c>
      <c r="G20" s="67">
        <v>10.1</v>
      </c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</row>
    <row r="21" spans="1:40">
      <c r="A21" s="740">
        <v>14</v>
      </c>
      <c r="B21" s="737" t="s">
        <v>482</v>
      </c>
      <c r="C21" s="737" t="s">
        <v>489</v>
      </c>
      <c r="D21" s="738">
        <v>39986</v>
      </c>
      <c r="E21" s="739">
        <v>13.8</v>
      </c>
      <c r="F21" s="67">
        <v>7.28</v>
      </c>
      <c r="G21" s="67">
        <v>10</v>
      </c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</row>
    <row r="22" spans="1:40">
      <c r="A22" s="740">
        <v>15</v>
      </c>
      <c r="B22" s="737" t="s">
        <v>490</v>
      </c>
      <c r="C22" s="737" t="s">
        <v>491</v>
      </c>
      <c r="D22" s="738">
        <v>39993</v>
      </c>
      <c r="E22" s="739">
        <v>15.4</v>
      </c>
      <c r="F22" s="67">
        <v>7.98</v>
      </c>
      <c r="G22" s="67">
        <v>10.210000000000001</v>
      </c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</row>
    <row r="23" spans="1:40">
      <c r="A23" s="740">
        <v>16</v>
      </c>
      <c r="B23" s="737" t="s">
        <v>492</v>
      </c>
      <c r="C23" s="737" t="s">
        <v>493</v>
      </c>
      <c r="D23" s="738">
        <v>39994</v>
      </c>
      <c r="E23" s="739">
        <v>-15.8</v>
      </c>
      <c r="F23" s="67">
        <v>7.92</v>
      </c>
      <c r="G23" s="67">
        <v>9.31</v>
      </c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</row>
    <row r="24" spans="1:40">
      <c r="A24" s="740">
        <v>17</v>
      </c>
      <c r="B24" s="737" t="s">
        <v>492</v>
      </c>
      <c r="C24" s="737" t="s">
        <v>494</v>
      </c>
      <c r="D24" s="738">
        <v>40011</v>
      </c>
      <c r="E24" s="739">
        <v>-12.5</v>
      </c>
      <c r="F24" s="67">
        <v>8.0500000000000007</v>
      </c>
      <c r="G24" s="67">
        <v>9.26</v>
      </c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</row>
    <row r="25" spans="1:40">
      <c r="A25" s="740">
        <v>18</v>
      </c>
      <c r="B25" s="737" t="s">
        <v>495</v>
      </c>
      <c r="C25" s="737" t="s">
        <v>496</v>
      </c>
      <c r="D25" s="738">
        <v>40011</v>
      </c>
      <c r="E25" s="739">
        <v>1.9</v>
      </c>
      <c r="F25" s="67">
        <v>8.5500000000000007</v>
      </c>
      <c r="G25" s="67">
        <v>10.5</v>
      </c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</row>
    <row r="26" spans="1:40">
      <c r="A26" s="740">
        <v>19</v>
      </c>
      <c r="B26" s="737" t="s">
        <v>472</v>
      </c>
      <c r="C26" s="737" t="s">
        <v>497</v>
      </c>
      <c r="D26" s="738">
        <v>40052</v>
      </c>
      <c r="E26" s="739">
        <v>10</v>
      </c>
      <c r="F26" s="67"/>
      <c r="G26" s="67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</row>
    <row r="27" spans="1:40">
      <c r="A27" s="740">
        <v>20</v>
      </c>
      <c r="B27" s="737" t="s">
        <v>472</v>
      </c>
      <c r="C27" s="737" t="s">
        <v>498</v>
      </c>
      <c r="D27" s="738">
        <v>40052</v>
      </c>
      <c r="E27" s="739">
        <v>19.8</v>
      </c>
      <c r="F27" s="67"/>
      <c r="G27" s="67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</row>
    <row r="28" spans="1:40">
      <c r="A28" s="740">
        <v>21</v>
      </c>
      <c r="B28" s="737" t="s">
        <v>482</v>
      </c>
      <c r="C28" s="737" t="s">
        <v>499</v>
      </c>
      <c r="D28" s="738">
        <v>40102</v>
      </c>
      <c r="E28" s="739">
        <v>9</v>
      </c>
      <c r="F28" s="67">
        <v>8.49</v>
      </c>
      <c r="G28" s="67">
        <v>10.4</v>
      </c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</row>
    <row r="29" spans="1:40">
      <c r="A29" s="740">
        <v>22</v>
      </c>
      <c r="B29" s="737" t="s">
        <v>470</v>
      </c>
      <c r="C29" s="737" t="s">
        <v>500</v>
      </c>
      <c r="D29" s="738">
        <v>40112</v>
      </c>
      <c r="E29" s="739">
        <v>6.1</v>
      </c>
      <c r="F29" s="67"/>
      <c r="G29" s="67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</row>
    <row r="30" spans="1:40">
      <c r="A30" s="740">
        <v>23</v>
      </c>
      <c r="B30" s="737" t="s">
        <v>501</v>
      </c>
      <c r="C30" s="737" t="s">
        <v>496</v>
      </c>
      <c r="D30" s="738">
        <v>40112</v>
      </c>
      <c r="E30" s="739">
        <v>8.8000000000000007</v>
      </c>
      <c r="F30" s="67">
        <v>8.19</v>
      </c>
      <c r="G30" s="67">
        <v>10.1</v>
      </c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  <c r="AM30" s="736"/>
      <c r="AN30" s="736"/>
    </row>
    <row r="31" spans="1:40">
      <c r="A31" s="740">
        <v>24</v>
      </c>
      <c r="B31" s="737" t="s">
        <v>502</v>
      </c>
      <c r="C31" s="737" t="s">
        <v>503</v>
      </c>
      <c r="D31" s="738">
        <v>40114</v>
      </c>
      <c r="E31" s="739">
        <v>17.600000000000001</v>
      </c>
      <c r="F31" s="67">
        <v>7.4</v>
      </c>
      <c r="G31" s="67">
        <v>10.15</v>
      </c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</row>
    <row r="32" spans="1:40">
      <c r="A32" s="740">
        <v>25</v>
      </c>
      <c r="B32" s="737" t="s">
        <v>502</v>
      </c>
      <c r="C32" s="737" t="s">
        <v>503</v>
      </c>
      <c r="D32" s="738">
        <v>40114</v>
      </c>
      <c r="E32" s="739">
        <v>-0.5</v>
      </c>
      <c r="F32" s="67">
        <v>8.3000000000000007</v>
      </c>
      <c r="G32" s="67">
        <v>10.15</v>
      </c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</row>
    <row r="33" spans="1:40" ht="12" customHeight="1">
      <c r="A33" s="740">
        <v>26</v>
      </c>
      <c r="B33" s="737" t="s">
        <v>468</v>
      </c>
      <c r="C33" s="737" t="s">
        <v>504</v>
      </c>
      <c r="D33" s="738">
        <v>40137</v>
      </c>
      <c r="E33" s="739">
        <v>19.100000000000001</v>
      </c>
      <c r="F33" s="67">
        <v>8.18</v>
      </c>
      <c r="G33" s="67">
        <v>9.9499999999999993</v>
      </c>
      <c r="H33" s="736"/>
      <c r="I33" s="736"/>
      <c r="J33" s="736"/>
      <c r="N33" s="742"/>
      <c r="O33" s="742"/>
      <c r="Q33" s="742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</row>
    <row r="34" spans="1:40" ht="12" customHeight="1">
      <c r="A34" s="740">
        <v>27</v>
      </c>
      <c r="B34" s="737" t="s">
        <v>505</v>
      </c>
      <c r="C34" s="737" t="s">
        <v>506</v>
      </c>
      <c r="D34" s="738">
        <v>40137</v>
      </c>
      <c r="E34" s="739">
        <v>8.8000000000000007</v>
      </c>
      <c r="F34" s="67">
        <v>6.86</v>
      </c>
      <c r="G34" s="67">
        <v>9.4499999999999993</v>
      </c>
      <c r="H34" s="736"/>
      <c r="I34" s="736"/>
      <c r="J34" s="736"/>
      <c r="K34" s="785"/>
      <c r="L34" s="785"/>
      <c r="M34" s="786" t="s">
        <v>833</v>
      </c>
      <c r="N34" s="326"/>
      <c r="O34" s="326"/>
      <c r="Q34" s="742"/>
      <c r="R34" s="736"/>
      <c r="S34" s="736"/>
    </row>
    <row r="35" spans="1:40" ht="12" customHeight="1">
      <c r="A35" s="740">
        <v>28</v>
      </c>
      <c r="B35" s="737" t="s">
        <v>507</v>
      </c>
      <c r="C35" s="737" t="s">
        <v>508</v>
      </c>
      <c r="D35" s="738">
        <v>40161</v>
      </c>
      <c r="E35" s="739">
        <v>54.5</v>
      </c>
      <c r="F35" s="67">
        <v>8.5299999999999994</v>
      </c>
      <c r="G35" s="67">
        <v>10.5</v>
      </c>
      <c r="H35" s="736"/>
      <c r="I35" s="736"/>
      <c r="J35" s="736"/>
      <c r="K35" s="742"/>
      <c r="L35" s="742"/>
      <c r="M35" s="784" t="s">
        <v>609</v>
      </c>
      <c r="N35" s="326"/>
      <c r="O35" s="326"/>
      <c r="Q35" s="742"/>
      <c r="R35" s="736"/>
      <c r="S35" s="736"/>
    </row>
    <row r="36" spans="1:40" ht="12" customHeight="1">
      <c r="A36" s="740">
        <v>29</v>
      </c>
      <c r="B36" s="737" t="s">
        <v>466</v>
      </c>
      <c r="C36" s="737" t="s">
        <v>467</v>
      </c>
      <c r="D36" s="738">
        <v>40163</v>
      </c>
      <c r="E36" s="739">
        <v>3.5</v>
      </c>
      <c r="F36" s="67">
        <v>7.16</v>
      </c>
      <c r="G36" s="67">
        <v>10.75</v>
      </c>
      <c r="H36" s="736"/>
      <c r="I36" s="736"/>
      <c r="J36" s="736"/>
      <c r="K36" s="787"/>
      <c r="L36" s="787"/>
      <c r="M36" s="786" t="s">
        <v>24</v>
      </c>
      <c r="N36" s="743"/>
      <c r="Q36" s="742"/>
      <c r="R36" s="736"/>
      <c r="S36" s="736"/>
      <c r="T36" s="746">
        <f>AVERAGE(F162:F171)</f>
        <v>7.2822222222222228</v>
      </c>
    </row>
    <row r="37" spans="1:40" ht="12" customHeight="1">
      <c r="A37" s="740">
        <v>30</v>
      </c>
      <c r="B37" s="737" t="s">
        <v>509</v>
      </c>
      <c r="C37" s="737" t="s">
        <v>510</v>
      </c>
      <c r="D37" s="738">
        <v>40164</v>
      </c>
      <c r="E37" s="739">
        <v>2.9</v>
      </c>
      <c r="F37" s="67">
        <v>7.64</v>
      </c>
      <c r="G37" s="67">
        <v>10.3</v>
      </c>
      <c r="H37" s="736"/>
      <c r="I37" s="736"/>
      <c r="J37" s="736"/>
      <c r="K37" s="787"/>
      <c r="L37" s="787"/>
      <c r="M37" s="787"/>
      <c r="N37" s="743"/>
      <c r="Q37" s="742"/>
      <c r="R37" s="736"/>
      <c r="S37" s="736"/>
      <c r="T37" s="744">
        <f>MIN(F162:F171)</f>
        <v>6.5</v>
      </c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I37" s="736"/>
      <c r="AJ37" s="736"/>
      <c r="AK37" s="736"/>
      <c r="AL37" s="736"/>
      <c r="AM37" s="736"/>
      <c r="AN37" s="736"/>
    </row>
    <row r="38" spans="1:40" ht="12" customHeight="1">
      <c r="A38" s="740">
        <v>31</v>
      </c>
      <c r="B38" s="737" t="s">
        <v>511</v>
      </c>
      <c r="C38" s="737" t="s">
        <v>512</v>
      </c>
      <c r="D38" s="738">
        <v>40165</v>
      </c>
      <c r="E38" s="739">
        <v>-2</v>
      </c>
      <c r="F38" s="67">
        <v>8.85</v>
      </c>
      <c r="G38" s="67">
        <v>10.4</v>
      </c>
      <c r="H38" s="736"/>
      <c r="I38" s="736"/>
      <c r="J38" s="736"/>
      <c r="K38" s="784">
        <v>2013</v>
      </c>
      <c r="L38" s="788" t="s">
        <v>80</v>
      </c>
      <c r="M38" s="789">
        <f>AVERAGE(G162:G171)</f>
        <v>9.5109999999999992</v>
      </c>
      <c r="N38" s="743"/>
      <c r="Q38" s="742"/>
      <c r="R38" s="736"/>
      <c r="S38" s="736"/>
      <c r="T38" s="744">
        <f>MAX(F162:F171)</f>
        <v>7.93</v>
      </c>
    </row>
    <row r="39" spans="1:40" ht="12" customHeight="1">
      <c r="A39" s="740">
        <v>32</v>
      </c>
      <c r="B39" s="737" t="s">
        <v>511</v>
      </c>
      <c r="C39" s="737" t="s">
        <v>513</v>
      </c>
      <c r="D39" s="738">
        <v>40165</v>
      </c>
      <c r="E39" s="739">
        <v>5.7</v>
      </c>
      <c r="F39" s="67">
        <v>9.09</v>
      </c>
      <c r="G39" s="67">
        <v>10.5</v>
      </c>
      <c r="H39" s="736"/>
      <c r="I39" s="736"/>
      <c r="J39" s="736"/>
      <c r="K39" s="742"/>
      <c r="L39" s="788" t="s">
        <v>605</v>
      </c>
      <c r="M39" s="790">
        <f>MIN(G162:G171)</f>
        <v>9.25</v>
      </c>
      <c r="N39" s="326"/>
      <c r="Q39" s="742"/>
      <c r="R39" s="736"/>
      <c r="S39" s="736"/>
      <c r="T39" s="326"/>
    </row>
    <row r="40" spans="1:40" ht="12" customHeight="1">
      <c r="A40" s="740">
        <v>33</v>
      </c>
      <c r="B40" s="737" t="s">
        <v>511</v>
      </c>
      <c r="C40" s="737" t="s">
        <v>514</v>
      </c>
      <c r="D40" s="738">
        <v>40165</v>
      </c>
      <c r="E40" s="739">
        <v>5.6</v>
      </c>
      <c r="F40" s="67">
        <v>8.84</v>
      </c>
      <c r="G40" s="67">
        <v>10.4</v>
      </c>
      <c r="H40" s="736"/>
      <c r="I40" s="736"/>
      <c r="J40" s="736"/>
      <c r="K40" s="742"/>
      <c r="L40" s="788" t="s">
        <v>606</v>
      </c>
      <c r="M40" s="790">
        <f>MAX(G162:G171)</f>
        <v>9.8000000000000007</v>
      </c>
      <c r="N40" s="745"/>
      <c r="Q40" s="742"/>
      <c r="R40" s="736"/>
      <c r="S40" s="736"/>
      <c r="T40" s="746">
        <f>AVERAGE(F122:F161)</f>
        <v>8.0135714285714279</v>
      </c>
      <c r="U40" s="736"/>
      <c r="V40" s="736"/>
      <c r="Z40" s="736"/>
      <c r="AA40" s="736"/>
      <c r="AB40" s="736"/>
      <c r="AC40" s="736"/>
      <c r="AD40" s="736"/>
      <c r="AE40" s="736"/>
    </row>
    <row r="41" spans="1:40" ht="12" customHeight="1">
      <c r="A41" s="740">
        <v>34</v>
      </c>
      <c r="B41" s="737" t="s">
        <v>515</v>
      </c>
      <c r="C41" s="737" t="s">
        <v>496</v>
      </c>
      <c r="D41" s="738">
        <v>40169</v>
      </c>
      <c r="E41" s="739">
        <v>0.6</v>
      </c>
      <c r="F41" s="67">
        <v>8.25</v>
      </c>
      <c r="G41" s="67">
        <v>10.199999999999999</v>
      </c>
      <c r="H41" s="736"/>
      <c r="I41" s="736"/>
      <c r="J41" s="736"/>
      <c r="K41" s="787"/>
      <c r="L41" s="787"/>
      <c r="M41" s="787"/>
      <c r="N41" s="745"/>
      <c r="Q41" s="742"/>
      <c r="R41" s="736"/>
      <c r="S41" s="736"/>
      <c r="T41" s="744">
        <f>MAX(F122:F161)</f>
        <v>9.15</v>
      </c>
      <c r="U41" s="736"/>
      <c r="V41" s="736"/>
      <c r="W41" s="736"/>
      <c r="X41" s="736"/>
      <c r="Y41" s="736"/>
      <c r="Z41" s="736"/>
      <c r="AA41" s="736"/>
      <c r="AB41" s="736"/>
      <c r="AC41" s="736"/>
      <c r="AD41" s="736"/>
      <c r="AE41" s="736"/>
    </row>
    <row r="42" spans="1:40" ht="12" customHeight="1">
      <c r="A42" s="740">
        <v>35</v>
      </c>
      <c r="B42" s="737" t="s">
        <v>511</v>
      </c>
      <c r="C42" s="737" t="s">
        <v>516</v>
      </c>
      <c r="D42" s="738">
        <v>40169</v>
      </c>
      <c r="E42" s="739">
        <v>-1.5</v>
      </c>
      <c r="F42" s="67">
        <v>8.86</v>
      </c>
      <c r="G42" s="67">
        <v>10.4</v>
      </c>
      <c r="H42" s="736"/>
      <c r="I42" s="736"/>
      <c r="J42" s="736"/>
      <c r="K42" s="791">
        <v>2012</v>
      </c>
      <c r="L42" s="788" t="str">
        <f>+L38</f>
        <v>Mean</v>
      </c>
      <c r="M42" s="789">
        <f>AVERAGE(G122:G161)</f>
        <v>9.9253125000000004</v>
      </c>
      <c r="N42" s="326"/>
      <c r="Q42" s="742"/>
      <c r="R42" s="736"/>
      <c r="S42" s="736"/>
      <c r="T42" s="744">
        <f>MIN(F122:F161)</f>
        <v>6.49</v>
      </c>
      <c r="U42" s="736"/>
      <c r="V42" s="736"/>
      <c r="W42" s="736"/>
      <c r="X42" s="736"/>
      <c r="Y42" s="736"/>
      <c r="Z42" s="736"/>
      <c r="AA42" s="736"/>
      <c r="AB42" s="736"/>
      <c r="AC42" s="736"/>
      <c r="AD42" s="736"/>
      <c r="AE42" s="736"/>
    </row>
    <row r="43" spans="1:40" ht="12" customHeight="1">
      <c r="A43" s="740">
        <v>36</v>
      </c>
      <c r="B43" s="737" t="s">
        <v>470</v>
      </c>
      <c r="C43" s="737" t="s">
        <v>517</v>
      </c>
      <c r="D43" s="738">
        <v>40176</v>
      </c>
      <c r="E43" s="739">
        <v>13</v>
      </c>
      <c r="F43" s="67"/>
      <c r="G43" s="67">
        <v>10.38</v>
      </c>
      <c r="H43" s="736"/>
      <c r="I43" s="736"/>
      <c r="J43" s="736"/>
      <c r="K43" s="792"/>
      <c r="L43" s="788" t="str">
        <f>+L39</f>
        <v>Minimum</v>
      </c>
      <c r="M43" s="790">
        <f>MAX(G122:G161)</f>
        <v>10.5</v>
      </c>
      <c r="N43" s="326"/>
      <c r="Q43" s="736"/>
      <c r="R43" s="736"/>
      <c r="S43" s="736"/>
      <c r="U43" s="736"/>
      <c r="V43" s="736"/>
      <c r="W43" s="736"/>
      <c r="X43" s="736"/>
      <c r="Y43" s="736"/>
      <c r="Z43" s="736"/>
      <c r="AA43" s="736"/>
      <c r="AB43" s="736"/>
      <c r="AC43" s="736"/>
      <c r="AD43" s="736"/>
      <c r="AE43" s="736"/>
    </row>
    <row r="44" spans="1:40" ht="12" customHeight="1">
      <c r="A44" s="740">
        <v>37</v>
      </c>
      <c r="B44" s="737" t="s">
        <v>490</v>
      </c>
      <c r="C44" s="737" t="s">
        <v>518</v>
      </c>
      <c r="D44" s="738">
        <v>40189</v>
      </c>
      <c r="E44" s="739">
        <v>40.799999999999997</v>
      </c>
      <c r="F44" s="67">
        <v>8.09</v>
      </c>
      <c r="G44" s="67">
        <v>10.24</v>
      </c>
      <c r="H44" s="736"/>
      <c r="I44" s="736"/>
      <c r="J44" s="736"/>
      <c r="K44" s="787"/>
      <c r="L44" s="787" t="str">
        <f>+L40</f>
        <v>Maximum</v>
      </c>
      <c r="M44" s="790">
        <f>MIN(G122:G161)</f>
        <v>9.06</v>
      </c>
      <c r="N44" s="745"/>
      <c r="Q44" s="736"/>
      <c r="R44" s="736"/>
      <c r="S44" s="736"/>
      <c r="T44" s="13">
        <f>AVERAGE(F44:F171)</f>
        <v>7.9345744680851054</v>
      </c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</row>
    <row r="45" spans="1:40" ht="12" customHeight="1">
      <c r="A45" s="740">
        <v>38</v>
      </c>
      <c r="B45" s="737" t="s">
        <v>519</v>
      </c>
      <c r="C45" s="737" t="s">
        <v>520</v>
      </c>
      <c r="D45" s="738">
        <v>40198</v>
      </c>
      <c r="E45" s="739">
        <v>2.6</v>
      </c>
      <c r="F45" s="67"/>
      <c r="G45" s="67"/>
      <c r="H45" s="736"/>
      <c r="I45" s="736"/>
      <c r="J45" s="736"/>
      <c r="K45" s="787"/>
      <c r="L45" s="787"/>
      <c r="M45" s="787"/>
      <c r="N45" s="745"/>
      <c r="Q45" s="736"/>
      <c r="R45" s="736"/>
      <c r="S45" s="736"/>
      <c r="T45" s="12">
        <f>MIN(F44:F171)</f>
        <v>5.18</v>
      </c>
      <c r="U45" s="736"/>
      <c r="V45" s="736"/>
      <c r="Z45" s="736"/>
      <c r="AA45" s="736"/>
      <c r="AB45" s="736"/>
      <c r="AC45" s="736"/>
      <c r="AD45" s="736"/>
      <c r="AE45" s="736"/>
      <c r="AK45" s="736"/>
      <c r="AL45" s="736"/>
      <c r="AM45" s="736"/>
      <c r="AN45" s="736"/>
    </row>
    <row r="46" spans="1:40" ht="12" customHeight="1">
      <c r="A46" s="740">
        <v>39</v>
      </c>
      <c r="B46" s="737" t="s">
        <v>476</v>
      </c>
      <c r="C46" s="737" t="s">
        <v>521</v>
      </c>
      <c r="D46" s="738">
        <v>40199</v>
      </c>
      <c r="E46" s="739">
        <v>13.9</v>
      </c>
      <c r="F46" s="67">
        <v>8.19</v>
      </c>
      <c r="G46" s="67">
        <v>10.33</v>
      </c>
      <c r="H46" s="736"/>
      <c r="I46" s="736"/>
      <c r="J46" s="736"/>
      <c r="K46" s="793" t="s">
        <v>610</v>
      </c>
      <c r="L46" s="788" t="str">
        <f>+L42</f>
        <v>Mean</v>
      </c>
      <c r="M46" s="789">
        <f>AVERAGE(G44:G171)</f>
        <v>9.9589690721649475</v>
      </c>
      <c r="N46" s="326"/>
      <c r="Q46" s="736"/>
      <c r="R46" s="736"/>
      <c r="S46" s="736"/>
      <c r="T46" s="12">
        <f>MAX(F44:F171)</f>
        <v>9.15</v>
      </c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</row>
    <row r="47" spans="1:40" ht="12" customHeight="1">
      <c r="A47" s="740">
        <v>40</v>
      </c>
      <c r="B47" s="737" t="s">
        <v>476</v>
      </c>
      <c r="C47" s="737" t="s">
        <v>522</v>
      </c>
      <c r="D47" s="738">
        <v>40199</v>
      </c>
      <c r="E47" s="739">
        <v>69.8</v>
      </c>
      <c r="F47" s="67">
        <v>8.0500000000000007</v>
      </c>
      <c r="G47" s="67">
        <v>10.23</v>
      </c>
      <c r="H47" s="736"/>
      <c r="I47" s="736"/>
      <c r="J47" s="736"/>
      <c r="K47" s="792"/>
      <c r="L47" s="788" t="str">
        <f>+L43</f>
        <v>Minimum</v>
      </c>
      <c r="M47" s="790">
        <f>MIN(G44:G171)</f>
        <v>8.83</v>
      </c>
      <c r="N47" s="326"/>
      <c r="Q47" s="736"/>
      <c r="R47" s="736"/>
      <c r="S47" s="736"/>
      <c r="T47" s="736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  <c r="AM47" s="736"/>
      <c r="AN47" s="736"/>
    </row>
    <row r="48" spans="1:40" ht="12" customHeight="1">
      <c r="A48" s="740">
        <v>41</v>
      </c>
      <c r="B48" s="737" t="s">
        <v>523</v>
      </c>
      <c r="C48" s="737" t="s">
        <v>475</v>
      </c>
      <c r="D48" s="738">
        <v>40204</v>
      </c>
      <c r="E48" s="739">
        <v>2.7</v>
      </c>
      <c r="F48" s="67">
        <v>8.6</v>
      </c>
      <c r="G48" s="67">
        <v>10.4</v>
      </c>
      <c r="H48" s="736"/>
      <c r="I48" s="736"/>
      <c r="J48" s="736"/>
      <c r="K48" s="787"/>
      <c r="L48" s="787" t="str">
        <f>+L44</f>
        <v>Maximum</v>
      </c>
      <c r="M48" s="790">
        <f>MAX(G44:G171)</f>
        <v>11.35</v>
      </c>
      <c r="N48" s="32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736"/>
      <c r="AM48" s="736"/>
      <c r="AN48" s="736"/>
    </row>
    <row r="49" spans="1:40" ht="12" customHeight="1">
      <c r="A49" s="740">
        <v>42</v>
      </c>
      <c r="B49" s="737" t="s">
        <v>519</v>
      </c>
      <c r="C49" s="737" t="s">
        <v>524</v>
      </c>
      <c r="D49" s="738">
        <v>40219</v>
      </c>
      <c r="E49" s="739">
        <v>16.2</v>
      </c>
      <c r="F49" s="67">
        <v>7.72</v>
      </c>
      <c r="G49" s="67">
        <v>10</v>
      </c>
      <c r="H49" s="736"/>
      <c r="I49" s="736"/>
      <c r="J49" s="736"/>
      <c r="K49" s="785"/>
      <c r="L49" s="785"/>
      <c r="M49" s="785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6"/>
      <c r="AC49" s="736"/>
      <c r="AD49" s="736"/>
      <c r="AE49" s="736"/>
      <c r="AF49" s="736"/>
      <c r="AG49" s="736"/>
      <c r="AH49" s="736"/>
      <c r="AI49" s="736"/>
      <c r="AJ49" s="736"/>
      <c r="AK49" s="736"/>
      <c r="AL49" s="736"/>
      <c r="AM49" s="736"/>
      <c r="AN49" s="736"/>
    </row>
    <row r="50" spans="1:40" ht="12" customHeight="1">
      <c r="A50" s="740">
        <v>43</v>
      </c>
      <c r="B50" s="737" t="s">
        <v>523</v>
      </c>
      <c r="C50" s="737" t="s">
        <v>518</v>
      </c>
      <c r="D50" s="738">
        <v>40232</v>
      </c>
      <c r="E50" s="739">
        <v>5.0999999999999996</v>
      </c>
      <c r="F50" s="67">
        <v>8.65</v>
      </c>
      <c r="G50" s="67">
        <v>10.5</v>
      </c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736"/>
      <c r="AL50" s="736"/>
      <c r="AM50" s="736"/>
      <c r="AN50" s="736"/>
    </row>
    <row r="51" spans="1:40" ht="12" customHeight="1">
      <c r="A51" s="740">
        <v>44</v>
      </c>
      <c r="B51" s="737" t="s">
        <v>525</v>
      </c>
      <c r="C51" s="737" t="s">
        <v>526</v>
      </c>
      <c r="D51" s="738">
        <v>40246</v>
      </c>
      <c r="E51" s="739">
        <v>1.6</v>
      </c>
      <c r="F51" s="67">
        <v>7.8</v>
      </c>
      <c r="G51" s="67">
        <v>9.6</v>
      </c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736"/>
      <c r="AL51" s="736"/>
      <c r="AM51" s="736"/>
      <c r="AN51" s="736"/>
    </row>
    <row r="52" spans="1:40" ht="12" customHeight="1">
      <c r="A52" s="740">
        <v>45</v>
      </c>
      <c r="B52" s="737" t="s">
        <v>505</v>
      </c>
      <c r="C52" s="737" t="s">
        <v>527</v>
      </c>
      <c r="D52" s="738">
        <v>40256</v>
      </c>
      <c r="E52" s="739">
        <v>19</v>
      </c>
      <c r="F52" s="67">
        <v>8.7200000000000006</v>
      </c>
      <c r="G52" s="67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6"/>
      <c r="AK52" s="736"/>
      <c r="AL52" s="736"/>
      <c r="AM52" s="736"/>
      <c r="AN52" s="736"/>
    </row>
    <row r="53" spans="1:40" ht="12" customHeight="1">
      <c r="A53" s="740">
        <v>46</v>
      </c>
      <c r="B53" s="737" t="s">
        <v>476</v>
      </c>
      <c r="C53" s="737" t="s">
        <v>528</v>
      </c>
      <c r="D53" s="738">
        <v>40261</v>
      </c>
      <c r="E53" s="739">
        <v>2.7</v>
      </c>
      <c r="F53" s="67">
        <v>7.6</v>
      </c>
      <c r="G53" s="67">
        <v>10.130000000000001</v>
      </c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6"/>
      <c r="AK53" s="736"/>
      <c r="AL53" s="736"/>
      <c r="AM53" s="736"/>
      <c r="AN53" s="736"/>
    </row>
    <row r="54" spans="1:40" ht="12" customHeight="1">
      <c r="A54" s="740">
        <v>47</v>
      </c>
      <c r="B54" s="737" t="s">
        <v>529</v>
      </c>
      <c r="C54" s="737" t="s">
        <v>475</v>
      </c>
      <c r="D54" s="738">
        <v>40268</v>
      </c>
      <c r="E54" s="739">
        <v>2.9</v>
      </c>
      <c r="F54" s="67">
        <v>8.61</v>
      </c>
      <c r="G54" s="67">
        <v>10.7</v>
      </c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6"/>
      <c r="AD54" s="736"/>
      <c r="AE54" s="736"/>
      <c r="AF54" s="736"/>
      <c r="AG54" s="736"/>
      <c r="AH54" s="736"/>
      <c r="AI54" s="736"/>
      <c r="AJ54" s="736"/>
      <c r="AK54" s="736"/>
      <c r="AL54" s="736"/>
      <c r="AM54" s="736"/>
      <c r="AN54" s="736"/>
    </row>
    <row r="55" spans="1:40" ht="12" customHeight="1">
      <c r="A55" s="740">
        <v>48</v>
      </c>
      <c r="B55" s="737" t="s">
        <v>530</v>
      </c>
      <c r="C55" s="737" t="s">
        <v>531</v>
      </c>
      <c r="D55" s="738">
        <v>40269</v>
      </c>
      <c r="E55" s="739">
        <v>3.5</v>
      </c>
      <c r="F55" s="67">
        <v>8</v>
      </c>
      <c r="G55" s="67">
        <v>9.5</v>
      </c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6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  <c r="AN55" s="736"/>
    </row>
    <row r="56" spans="1:40" ht="12" customHeight="1">
      <c r="A56" s="740">
        <v>49</v>
      </c>
      <c r="B56" s="737" t="s">
        <v>515</v>
      </c>
      <c r="C56" s="737" t="s">
        <v>532</v>
      </c>
      <c r="D56" s="738">
        <v>40270</v>
      </c>
      <c r="E56" s="739">
        <v>10.1</v>
      </c>
      <c r="F56" s="67">
        <v>8.1</v>
      </c>
      <c r="G56" s="67">
        <v>10.1</v>
      </c>
      <c r="H56" s="736"/>
      <c r="I56" s="736"/>
      <c r="J56" s="736"/>
      <c r="K56" s="736"/>
      <c r="L56" s="736"/>
      <c r="M56" s="736"/>
      <c r="N56" s="736"/>
      <c r="O56" s="736"/>
      <c r="P56" s="736"/>
      <c r="Q56" s="736"/>
      <c r="R56" s="736"/>
      <c r="S56" s="736"/>
      <c r="T56" s="736"/>
      <c r="U56" s="736"/>
      <c r="V56" s="736"/>
      <c r="W56" s="736"/>
      <c r="X56" s="736"/>
      <c r="Y56" s="736"/>
      <c r="Z56" s="736"/>
      <c r="AA56" s="736"/>
      <c r="AB56" s="736"/>
      <c r="AC56" s="736"/>
      <c r="AD56" s="736"/>
      <c r="AE56" s="736"/>
      <c r="AF56" s="736"/>
      <c r="AG56" s="736"/>
      <c r="AH56" s="736"/>
      <c r="AI56" s="736"/>
      <c r="AJ56" s="736"/>
      <c r="AK56" s="736"/>
      <c r="AL56" s="736"/>
      <c r="AM56" s="736"/>
      <c r="AN56" s="736"/>
    </row>
    <row r="57" spans="1:40" ht="12" customHeight="1">
      <c r="A57" s="740">
        <v>50</v>
      </c>
      <c r="B57" s="737" t="s">
        <v>533</v>
      </c>
      <c r="C57" s="737" t="s">
        <v>534</v>
      </c>
      <c r="D57" s="738">
        <v>40276</v>
      </c>
      <c r="E57" s="739">
        <v>2.6</v>
      </c>
      <c r="F57" s="67">
        <v>8.42</v>
      </c>
      <c r="G57" s="67">
        <v>10.35</v>
      </c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</row>
    <row r="58" spans="1:40" ht="12" customHeight="1">
      <c r="A58" s="740">
        <v>51</v>
      </c>
      <c r="B58" s="737" t="s">
        <v>476</v>
      </c>
      <c r="C58" s="737" t="s">
        <v>535</v>
      </c>
      <c r="D58" s="738">
        <v>40297</v>
      </c>
      <c r="E58" s="739">
        <v>-5.7</v>
      </c>
      <c r="F58" s="67">
        <v>7.83</v>
      </c>
      <c r="G58" s="67">
        <v>9.4</v>
      </c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  <c r="W58" s="736"/>
      <c r="X58" s="736"/>
      <c r="Y58" s="736"/>
      <c r="Z58" s="736"/>
      <c r="AA58" s="736"/>
      <c r="AB58" s="736"/>
      <c r="AC58" s="736"/>
      <c r="AD58" s="736"/>
      <c r="AE58" s="736"/>
      <c r="AF58" s="736"/>
      <c r="AG58" s="736"/>
      <c r="AH58" s="736"/>
      <c r="AI58" s="736"/>
      <c r="AJ58" s="736"/>
      <c r="AK58" s="736"/>
      <c r="AL58" s="736"/>
      <c r="AM58" s="736"/>
      <c r="AN58" s="736"/>
    </row>
    <row r="59" spans="1:40" ht="12" customHeight="1">
      <c r="A59" s="740">
        <v>52</v>
      </c>
      <c r="B59" s="737" t="s">
        <v>476</v>
      </c>
      <c r="C59" s="737" t="s">
        <v>535</v>
      </c>
      <c r="D59" s="738">
        <v>40297</v>
      </c>
      <c r="E59" s="739">
        <v>0.3</v>
      </c>
      <c r="F59" s="67">
        <v>7.59</v>
      </c>
      <c r="G59" s="67">
        <v>9.19</v>
      </c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736"/>
      <c r="AL59" s="736"/>
      <c r="AM59" s="736"/>
      <c r="AN59" s="736"/>
    </row>
    <row r="60" spans="1:40" ht="12" customHeight="1">
      <c r="A60" s="740">
        <v>53</v>
      </c>
      <c r="B60" s="737" t="s">
        <v>476</v>
      </c>
      <c r="C60" s="737" t="s">
        <v>535</v>
      </c>
      <c r="D60" s="738">
        <v>40297</v>
      </c>
      <c r="E60" s="739">
        <v>-7.4</v>
      </c>
      <c r="F60" s="67">
        <v>8.59</v>
      </c>
      <c r="G60" s="67">
        <v>9.4</v>
      </c>
      <c r="H60" s="736"/>
      <c r="I60" s="736"/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736"/>
      <c r="AL60" s="736"/>
      <c r="AM60" s="736"/>
      <c r="AN60" s="736"/>
    </row>
    <row r="61" spans="1:40" ht="12" customHeight="1">
      <c r="A61" s="740">
        <v>54</v>
      </c>
      <c r="B61" s="737" t="s">
        <v>466</v>
      </c>
      <c r="C61" s="737" t="s">
        <v>536</v>
      </c>
      <c r="D61" s="738">
        <v>40315</v>
      </c>
      <c r="E61" s="739">
        <v>65.900000000000006</v>
      </c>
      <c r="F61" s="67">
        <v>7.02</v>
      </c>
      <c r="G61" s="67">
        <v>10.55</v>
      </c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</row>
    <row r="62" spans="1:40" ht="12" customHeight="1">
      <c r="A62" s="740">
        <v>55</v>
      </c>
      <c r="B62" s="737" t="s">
        <v>474</v>
      </c>
      <c r="C62" s="737" t="s">
        <v>537</v>
      </c>
      <c r="D62" s="738">
        <v>40322</v>
      </c>
      <c r="E62" s="739">
        <v>0.1</v>
      </c>
      <c r="F62" s="67">
        <v>7.41</v>
      </c>
      <c r="G62" s="67">
        <v>10.050000000000001</v>
      </c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</row>
    <row r="63" spans="1:40" ht="12" customHeight="1">
      <c r="A63" s="740">
        <v>56</v>
      </c>
      <c r="B63" s="737" t="s">
        <v>470</v>
      </c>
      <c r="C63" s="737" t="s">
        <v>475</v>
      </c>
      <c r="D63" s="738">
        <v>40326</v>
      </c>
      <c r="E63" s="739">
        <v>6.1</v>
      </c>
      <c r="F63" s="67"/>
      <c r="G63" s="67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</row>
    <row r="64" spans="1:40" ht="12" customHeight="1">
      <c r="A64" s="740">
        <v>57</v>
      </c>
      <c r="B64" s="737" t="s">
        <v>466</v>
      </c>
      <c r="C64" s="737" t="s">
        <v>538</v>
      </c>
      <c r="D64" s="738">
        <v>40332</v>
      </c>
      <c r="E64" s="739">
        <v>118.6</v>
      </c>
      <c r="F64" s="67">
        <v>7.19</v>
      </c>
      <c r="G64" s="67">
        <v>11</v>
      </c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</row>
    <row r="65" spans="1:40" ht="12" customHeight="1">
      <c r="A65" s="740">
        <v>58</v>
      </c>
      <c r="B65" s="737" t="s">
        <v>482</v>
      </c>
      <c r="C65" s="737" t="s">
        <v>489</v>
      </c>
      <c r="D65" s="738">
        <v>40345</v>
      </c>
      <c r="E65" s="739">
        <v>5.7</v>
      </c>
      <c r="F65" s="67">
        <v>7.43</v>
      </c>
      <c r="G65" s="67">
        <v>10</v>
      </c>
      <c r="H65" s="736"/>
      <c r="I65" s="736"/>
      <c r="J65" s="736"/>
      <c r="K65" s="736"/>
      <c r="L65" s="736"/>
      <c r="M65" s="736"/>
      <c r="N65" s="736"/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</row>
    <row r="66" spans="1:40" ht="12" customHeight="1">
      <c r="A66" s="740">
        <v>59</v>
      </c>
      <c r="B66" s="737" t="s">
        <v>509</v>
      </c>
      <c r="C66" s="737" t="s">
        <v>539</v>
      </c>
      <c r="D66" s="738">
        <v>40347</v>
      </c>
      <c r="E66" s="739">
        <v>26.5</v>
      </c>
      <c r="F66" s="67">
        <v>8.2100000000000009</v>
      </c>
      <c r="G66" s="67">
        <v>10.3</v>
      </c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</row>
    <row r="67" spans="1:40" ht="12" customHeight="1">
      <c r="A67" s="740">
        <v>60</v>
      </c>
      <c r="B67" s="737" t="s">
        <v>540</v>
      </c>
      <c r="C67" s="737" t="s">
        <v>475</v>
      </c>
      <c r="D67" s="738">
        <v>40389</v>
      </c>
      <c r="E67" s="739">
        <v>3.9</v>
      </c>
      <c r="F67" s="67"/>
      <c r="G67" s="67"/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6"/>
      <c r="T67" s="736"/>
      <c r="U67" s="736"/>
      <c r="V67" s="736"/>
      <c r="W67" s="736"/>
      <c r="X67" s="736"/>
      <c r="Y67" s="736"/>
      <c r="Z67" s="736"/>
      <c r="AA67" s="736"/>
      <c r="AB67" s="736"/>
      <c r="AC67" s="736"/>
      <c r="AD67" s="736"/>
      <c r="AE67" s="736"/>
      <c r="AF67" s="736"/>
      <c r="AG67" s="736"/>
      <c r="AH67" s="736"/>
      <c r="AI67" s="736"/>
      <c r="AJ67" s="736"/>
      <c r="AK67" s="736"/>
      <c r="AL67" s="736"/>
      <c r="AM67" s="736"/>
      <c r="AN67" s="736"/>
    </row>
    <row r="68" spans="1:40" ht="12" customHeight="1">
      <c r="A68" s="740">
        <v>61</v>
      </c>
      <c r="B68" s="737" t="s">
        <v>470</v>
      </c>
      <c r="C68" s="737" t="s">
        <v>471</v>
      </c>
      <c r="D68" s="738">
        <v>40389</v>
      </c>
      <c r="E68" s="739">
        <v>17</v>
      </c>
      <c r="F68" s="67"/>
      <c r="G68" s="67"/>
      <c r="H68" s="736"/>
      <c r="I68" s="736"/>
      <c r="J68" s="736"/>
      <c r="K68" s="736"/>
      <c r="L68" s="736"/>
      <c r="M68" s="736"/>
      <c r="N68" s="736"/>
      <c r="O68" s="736"/>
      <c r="P68" s="736"/>
      <c r="Q68" s="736"/>
      <c r="R68" s="736"/>
      <c r="S68" s="736"/>
      <c r="T68" s="736"/>
      <c r="U68" s="736"/>
      <c r="V68" s="736"/>
      <c r="W68" s="736"/>
      <c r="X68" s="736"/>
      <c r="Y68" s="736"/>
      <c r="Z68" s="736"/>
      <c r="AA68" s="736"/>
      <c r="AB68" s="736"/>
      <c r="AC68" s="736"/>
      <c r="AD68" s="736"/>
      <c r="AE68" s="736"/>
      <c r="AF68" s="736"/>
      <c r="AG68" s="736"/>
      <c r="AH68" s="736"/>
      <c r="AI68" s="736"/>
      <c r="AJ68" s="736"/>
      <c r="AK68" s="736"/>
      <c r="AL68" s="736"/>
      <c r="AM68" s="736"/>
      <c r="AN68" s="736"/>
    </row>
    <row r="69" spans="1:40" ht="12" customHeight="1">
      <c r="A69" s="740">
        <v>62</v>
      </c>
      <c r="B69" s="737" t="s">
        <v>525</v>
      </c>
      <c r="C69" s="737" t="s">
        <v>541</v>
      </c>
      <c r="D69" s="738">
        <v>40407</v>
      </c>
      <c r="E69" s="739">
        <v>8.3000000000000007</v>
      </c>
      <c r="F69" s="67">
        <v>9.11</v>
      </c>
      <c r="G69" s="67">
        <v>10.1</v>
      </c>
      <c r="H69" s="736"/>
      <c r="I69" s="736"/>
      <c r="J69" s="736"/>
      <c r="K69" s="736"/>
      <c r="L69" s="736"/>
      <c r="M69" s="736"/>
      <c r="N69" s="736"/>
      <c r="O69" s="736"/>
      <c r="P69" s="736"/>
      <c r="Q69" s="736"/>
      <c r="R69" s="736"/>
      <c r="S69" s="736"/>
      <c r="T69" s="736"/>
      <c r="U69" s="736"/>
      <c r="V69" s="736"/>
      <c r="W69" s="736"/>
      <c r="X69" s="736"/>
      <c r="Y69" s="736"/>
      <c r="Z69" s="736"/>
      <c r="AA69" s="736"/>
      <c r="AB69" s="736"/>
      <c r="AC69" s="736"/>
      <c r="AD69" s="736"/>
      <c r="AE69" s="736"/>
      <c r="AF69" s="736"/>
      <c r="AG69" s="736"/>
      <c r="AH69" s="736"/>
      <c r="AI69" s="736"/>
      <c r="AJ69" s="736"/>
      <c r="AK69" s="736"/>
      <c r="AL69" s="736"/>
      <c r="AM69" s="736"/>
      <c r="AN69" s="736"/>
    </row>
    <row r="70" spans="1:40" ht="12" customHeight="1">
      <c r="A70" s="740">
        <v>63</v>
      </c>
      <c r="B70" s="737" t="s">
        <v>519</v>
      </c>
      <c r="C70" s="737" t="s">
        <v>475</v>
      </c>
      <c r="D70" s="738">
        <v>40408</v>
      </c>
      <c r="E70" s="739">
        <v>5.7</v>
      </c>
      <c r="F70" s="67"/>
      <c r="G70" s="67"/>
      <c r="H70" s="736"/>
      <c r="I70" s="736"/>
      <c r="J70" s="736"/>
      <c r="K70" s="736"/>
      <c r="L70" s="736"/>
      <c r="M70" s="736"/>
      <c r="N70" s="736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6"/>
      <c r="Z70" s="736"/>
      <c r="AA70" s="736"/>
      <c r="AB70" s="736"/>
      <c r="AC70" s="736"/>
      <c r="AD70" s="736"/>
      <c r="AE70" s="736"/>
      <c r="AF70" s="736"/>
      <c r="AG70" s="736"/>
      <c r="AH70" s="736"/>
      <c r="AI70" s="736"/>
      <c r="AJ70" s="736"/>
      <c r="AK70" s="736"/>
      <c r="AL70" s="736"/>
      <c r="AM70" s="736"/>
      <c r="AN70" s="736"/>
    </row>
    <row r="71" spans="1:40" ht="12" customHeight="1">
      <c r="A71" s="740">
        <v>64</v>
      </c>
      <c r="B71" s="737" t="s">
        <v>519</v>
      </c>
      <c r="C71" s="737" t="s">
        <v>542</v>
      </c>
      <c r="D71" s="738">
        <v>40408</v>
      </c>
      <c r="E71" s="739">
        <v>31.4</v>
      </c>
      <c r="F71" s="67"/>
      <c r="G71" s="67"/>
      <c r="H71" s="736"/>
      <c r="I71" s="736"/>
      <c r="J71" s="736"/>
      <c r="K71" s="736"/>
      <c r="L71" s="736"/>
      <c r="M71" s="736"/>
      <c r="N71" s="736"/>
      <c r="O71" s="736"/>
      <c r="P71" s="736"/>
      <c r="Q71" s="736"/>
      <c r="R71" s="736"/>
      <c r="S71" s="736"/>
      <c r="T71" s="736"/>
      <c r="U71" s="736"/>
      <c r="V71" s="736"/>
      <c r="W71" s="736"/>
      <c r="X71" s="736"/>
      <c r="Y71" s="736"/>
      <c r="Z71" s="736"/>
      <c r="AA71" s="736"/>
      <c r="AB71" s="736"/>
      <c r="AC71" s="736"/>
      <c r="AD71" s="736"/>
      <c r="AE71" s="736"/>
      <c r="AF71" s="736"/>
      <c r="AG71" s="736"/>
      <c r="AH71" s="736"/>
      <c r="AI71" s="736"/>
      <c r="AJ71" s="736"/>
      <c r="AK71" s="736"/>
      <c r="AL71" s="736"/>
      <c r="AM71" s="736"/>
      <c r="AN71" s="736"/>
    </row>
    <row r="72" spans="1:40" ht="12" customHeight="1">
      <c r="A72" s="740">
        <v>65</v>
      </c>
      <c r="B72" s="737" t="s">
        <v>472</v>
      </c>
      <c r="C72" s="737" t="s">
        <v>543</v>
      </c>
      <c r="D72" s="738">
        <v>40408</v>
      </c>
      <c r="E72" s="739">
        <v>12</v>
      </c>
      <c r="F72" s="67"/>
      <c r="G72" s="67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/>
      <c r="Z72" s="736"/>
      <c r="AA72" s="736"/>
      <c r="AB72" s="736"/>
      <c r="AC72" s="736"/>
      <c r="AD72" s="736"/>
      <c r="AE72" s="736"/>
      <c r="AF72" s="736"/>
      <c r="AG72" s="736"/>
      <c r="AH72" s="736"/>
      <c r="AI72" s="736"/>
      <c r="AJ72" s="736"/>
      <c r="AK72" s="736"/>
      <c r="AL72" s="736"/>
      <c r="AM72" s="736"/>
      <c r="AN72" s="736"/>
    </row>
    <row r="73" spans="1:40" ht="12" customHeight="1">
      <c r="A73" s="740">
        <v>66</v>
      </c>
      <c r="B73" s="737" t="s">
        <v>509</v>
      </c>
      <c r="C73" s="737" t="s">
        <v>544</v>
      </c>
      <c r="D73" s="738">
        <v>40437</v>
      </c>
      <c r="E73" s="739">
        <v>45</v>
      </c>
      <c r="F73" s="67">
        <v>8.2100000000000009</v>
      </c>
      <c r="G73" s="67">
        <v>10.3</v>
      </c>
      <c r="H73" s="736"/>
      <c r="I73" s="736"/>
      <c r="J73" s="736"/>
      <c r="K73" s="736"/>
      <c r="L73" s="736"/>
      <c r="M73" s="736"/>
      <c r="N73" s="736"/>
      <c r="O73" s="736"/>
      <c r="P73" s="736"/>
      <c r="Q73" s="736"/>
      <c r="R73" s="736"/>
      <c r="S73" s="736"/>
      <c r="T73" s="736"/>
      <c r="U73" s="736"/>
      <c r="V73" s="736"/>
      <c r="W73" s="736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6"/>
    </row>
    <row r="74" spans="1:40" ht="12" customHeight="1">
      <c r="A74" s="740">
        <v>67</v>
      </c>
      <c r="B74" s="737" t="s">
        <v>482</v>
      </c>
      <c r="C74" s="737" t="s">
        <v>545</v>
      </c>
      <c r="D74" s="738">
        <v>40437</v>
      </c>
      <c r="E74" s="739">
        <v>47.1</v>
      </c>
      <c r="F74" s="67">
        <v>7.46</v>
      </c>
      <c r="G74" s="67">
        <v>9.6</v>
      </c>
      <c r="H74" s="736"/>
      <c r="I74" s="736"/>
      <c r="J74" s="736"/>
      <c r="K74" s="736"/>
      <c r="L74" s="736"/>
      <c r="M74" s="736"/>
      <c r="N74" s="736"/>
      <c r="O74" s="736"/>
      <c r="P74" s="736"/>
      <c r="Q74" s="736"/>
      <c r="R74" s="736"/>
      <c r="S74" s="736"/>
      <c r="T74" s="736"/>
      <c r="U74" s="736"/>
      <c r="V74" s="736"/>
      <c r="W74" s="736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  <c r="AH74" s="736"/>
      <c r="AI74" s="736"/>
      <c r="AJ74" s="736"/>
      <c r="AK74" s="736"/>
      <c r="AL74" s="736"/>
      <c r="AM74" s="736"/>
      <c r="AN74" s="736"/>
    </row>
    <row r="75" spans="1:40" ht="12" customHeight="1">
      <c r="A75" s="740">
        <v>68</v>
      </c>
      <c r="B75" s="737" t="s">
        <v>482</v>
      </c>
      <c r="C75" s="737" t="s">
        <v>546</v>
      </c>
      <c r="D75" s="738">
        <v>40437</v>
      </c>
      <c r="E75" s="739">
        <v>30.1</v>
      </c>
      <c r="F75" s="67">
        <v>7.48</v>
      </c>
      <c r="G75" s="67">
        <v>10</v>
      </c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6"/>
      <c r="AM75" s="736"/>
      <c r="AN75" s="736"/>
    </row>
    <row r="76" spans="1:40" ht="12" customHeight="1">
      <c r="A76" s="740">
        <v>69</v>
      </c>
      <c r="B76" s="737" t="s">
        <v>482</v>
      </c>
      <c r="C76" s="737" t="s">
        <v>547</v>
      </c>
      <c r="D76" s="738">
        <v>40437</v>
      </c>
      <c r="E76" s="739">
        <v>28.1</v>
      </c>
      <c r="F76" s="67">
        <v>8.4700000000000006</v>
      </c>
      <c r="G76" s="67">
        <v>10</v>
      </c>
      <c r="H76" s="736"/>
      <c r="I76" s="736"/>
      <c r="J76" s="736"/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J76" s="736"/>
      <c r="AK76" s="736"/>
      <c r="AL76" s="736"/>
      <c r="AM76" s="736"/>
      <c r="AN76" s="736"/>
    </row>
    <row r="77" spans="1:40" ht="12" customHeight="1">
      <c r="A77" s="740">
        <v>70</v>
      </c>
      <c r="B77" s="737" t="s">
        <v>495</v>
      </c>
      <c r="C77" s="737" t="s">
        <v>496</v>
      </c>
      <c r="D77" s="738">
        <v>40442</v>
      </c>
      <c r="E77" s="739">
        <v>1.9</v>
      </c>
      <c r="F77" s="67"/>
      <c r="G77" s="67"/>
      <c r="H77" s="736"/>
      <c r="I77" s="736"/>
      <c r="J77" s="736"/>
      <c r="K77" s="736"/>
      <c r="L77" s="736"/>
      <c r="M77" s="736"/>
      <c r="N77" s="736"/>
      <c r="O77" s="736"/>
      <c r="P77" s="736"/>
      <c r="Q77" s="736"/>
      <c r="R77" s="736"/>
      <c r="S77" s="736"/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J77" s="736"/>
      <c r="AK77" s="736"/>
      <c r="AL77" s="736"/>
      <c r="AM77" s="736"/>
      <c r="AN77" s="736"/>
    </row>
    <row r="78" spans="1:40" ht="12" customHeight="1">
      <c r="A78" s="740">
        <v>71</v>
      </c>
      <c r="B78" s="737" t="s">
        <v>470</v>
      </c>
      <c r="C78" s="737" t="s">
        <v>548</v>
      </c>
      <c r="D78" s="738">
        <v>40472</v>
      </c>
      <c r="E78" s="739">
        <v>3.5</v>
      </c>
      <c r="F78" s="67">
        <v>7.97</v>
      </c>
      <c r="G78" s="67">
        <v>10.4</v>
      </c>
      <c r="H78" s="736"/>
      <c r="I78" s="736"/>
      <c r="J78" s="736"/>
      <c r="K78" s="736"/>
      <c r="L78" s="736"/>
      <c r="M78" s="736"/>
      <c r="N78" s="736"/>
      <c r="O78" s="736"/>
      <c r="P78" s="736"/>
      <c r="Q78" s="736"/>
      <c r="R78" s="736"/>
      <c r="S78" s="736"/>
      <c r="T78" s="736"/>
      <c r="U78" s="736"/>
      <c r="V78" s="736"/>
      <c r="W78" s="736"/>
      <c r="X78" s="736"/>
      <c r="Y78" s="736"/>
      <c r="Z78" s="736"/>
      <c r="AA78" s="736"/>
      <c r="AB78" s="736"/>
      <c r="AC78" s="736"/>
      <c r="AD78" s="736"/>
      <c r="AE78" s="736"/>
      <c r="AF78" s="736"/>
      <c r="AG78" s="736"/>
      <c r="AH78" s="736"/>
      <c r="AI78" s="736"/>
      <c r="AJ78" s="736"/>
      <c r="AK78" s="736"/>
      <c r="AL78" s="736"/>
      <c r="AM78" s="736"/>
      <c r="AN78" s="736"/>
    </row>
    <row r="79" spans="1:40" ht="12" customHeight="1">
      <c r="A79" s="740">
        <v>72</v>
      </c>
      <c r="B79" s="737" t="s">
        <v>468</v>
      </c>
      <c r="C79" s="737" t="s">
        <v>549</v>
      </c>
      <c r="D79" s="738">
        <v>40484</v>
      </c>
      <c r="E79" s="739">
        <v>41.5</v>
      </c>
      <c r="F79" s="67">
        <v>7.91</v>
      </c>
      <c r="G79" s="67">
        <v>9.75</v>
      </c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  <c r="S79" s="736"/>
      <c r="T79" s="736"/>
      <c r="U79" s="736"/>
      <c r="V79" s="736"/>
      <c r="W79" s="736"/>
      <c r="X79" s="736"/>
      <c r="Y79" s="736"/>
      <c r="Z79" s="736"/>
      <c r="AA79" s="736"/>
      <c r="AB79" s="736"/>
      <c r="AC79" s="736"/>
      <c r="AD79" s="736"/>
      <c r="AE79" s="736"/>
      <c r="AF79" s="736"/>
      <c r="AG79" s="736"/>
      <c r="AH79" s="736"/>
      <c r="AI79" s="736"/>
      <c r="AJ79" s="736"/>
      <c r="AK79" s="736"/>
      <c r="AL79" s="736"/>
      <c r="AM79" s="736"/>
      <c r="AN79" s="736"/>
    </row>
    <row r="80" spans="1:40" ht="12" customHeight="1">
      <c r="A80" s="740">
        <v>73</v>
      </c>
      <c r="B80" s="737" t="s">
        <v>468</v>
      </c>
      <c r="C80" s="737" t="s">
        <v>550</v>
      </c>
      <c r="D80" s="738">
        <v>40484</v>
      </c>
      <c r="E80" s="739">
        <v>16.5</v>
      </c>
      <c r="F80" s="67">
        <v>8.16</v>
      </c>
      <c r="G80" s="67">
        <v>9.75</v>
      </c>
      <c r="H80" s="736"/>
      <c r="I80" s="736"/>
      <c r="J80" s="736"/>
      <c r="K80" s="736"/>
      <c r="L80" s="736"/>
      <c r="M80" s="736"/>
      <c r="N80" s="736"/>
      <c r="O80" s="736"/>
      <c r="P80" s="736"/>
      <c r="Q80" s="736"/>
      <c r="R80" s="736"/>
      <c r="S80" s="736"/>
      <c r="T80" s="736"/>
      <c r="U80" s="736"/>
      <c r="V80" s="736"/>
      <c r="W80" s="736"/>
      <c r="X80" s="736"/>
      <c r="Y80" s="736"/>
      <c r="Z80" s="736"/>
      <c r="AA80" s="736"/>
      <c r="AB80" s="736"/>
      <c r="AC80" s="736"/>
      <c r="AD80" s="736"/>
      <c r="AE80" s="736"/>
      <c r="AF80" s="736"/>
      <c r="AG80" s="736"/>
      <c r="AH80" s="736"/>
      <c r="AI80" s="736"/>
      <c r="AJ80" s="736"/>
      <c r="AK80" s="736"/>
      <c r="AL80" s="736"/>
      <c r="AM80" s="736"/>
      <c r="AN80" s="736"/>
    </row>
    <row r="81" spans="1:40" ht="12" customHeight="1">
      <c r="A81" s="740">
        <v>74</v>
      </c>
      <c r="B81" s="737" t="s">
        <v>529</v>
      </c>
      <c r="C81" s="737" t="s">
        <v>551</v>
      </c>
      <c r="D81" s="738">
        <v>40485</v>
      </c>
      <c r="E81" s="739">
        <v>26.6</v>
      </c>
      <c r="F81" s="67">
        <v>8.1</v>
      </c>
      <c r="G81" s="67">
        <v>10.75</v>
      </c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3"/>
      <c r="AD81" s="723"/>
      <c r="AE81" s="723"/>
      <c r="AF81" s="723"/>
      <c r="AG81" s="723"/>
      <c r="AH81" s="723"/>
      <c r="AI81" s="723"/>
      <c r="AJ81" s="723"/>
      <c r="AK81" s="723"/>
      <c r="AL81" s="723"/>
      <c r="AM81" s="723"/>
      <c r="AN81" s="723"/>
    </row>
    <row r="82" spans="1:40" ht="12" customHeight="1">
      <c r="A82" s="740">
        <v>75</v>
      </c>
      <c r="B82" s="737" t="s">
        <v>552</v>
      </c>
      <c r="C82" s="737" t="s">
        <v>553</v>
      </c>
      <c r="D82" s="738">
        <v>40486</v>
      </c>
      <c r="E82" s="739">
        <v>-14.8</v>
      </c>
      <c r="F82" s="67"/>
      <c r="G82" s="67"/>
      <c r="H82" s="723"/>
      <c r="I82" s="723"/>
      <c r="J82" s="723"/>
      <c r="K82" s="723"/>
      <c r="L82" s="723"/>
      <c r="M82" s="723"/>
      <c r="N82" s="723"/>
      <c r="O82" s="723"/>
      <c r="P82" s="723"/>
      <c r="Q82" s="723"/>
      <c r="R82" s="723"/>
      <c r="S82" s="723"/>
      <c r="T82" s="723"/>
      <c r="U82" s="723"/>
      <c r="V82" s="723"/>
      <c r="W82" s="723"/>
      <c r="X82" s="723"/>
      <c r="Y82" s="723"/>
      <c r="Z82" s="723"/>
      <c r="AA82" s="723"/>
      <c r="AB82" s="723"/>
      <c r="AC82" s="723"/>
      <c r="AD82" s="723"/>
      <c r="AE82" s="723"/>
      <c r="AF82" s="723"/>
      <c r="AG82" s="723"/>
      <c r="AH82" s="723"/>
      <c r="AI82" s="723"/>
      <c r="AJ82" s="723"/>
      <c r="AK82" s="723"/>
      <c r="AL82" s="723"/>
      <c r="AM82" s="723"/>
      <c r="AN82" s="723"/>
    </row>
    <row r="83" spans="1:40" ht="12" customHeight="1">
      <c r="A83" s="740">
        <v>76</v>
      </c>
      <c r="B83" s="737" t="s">
        <v>515</v>
      </c>
      <c r="C83" s="737" t="s">
        <v>496</v>
      </c>
      <c r="D83" s="738">
        <v>40501</v>
      </c>
      <c r="E83" s="739">
        <v>4.5999999999999996</v>
      </c>
      <c r="F83" s="67">
        <v>7.91</v>
      </c>
      <c r="G83" s="67">
        <v>10.199999999999999</v>
      </c>
      <c r="H83" s="723"/>
      <c r="I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W83" s="723"/>
      <c r="X83" s="723"/>
      <c r="Y83" s="723"/>
      <c r="Z83" s="723"/>
      <c r="AA83" s="723"/>
      <c r="AB83" s="723"/>
      <c r="AC83" s="723"/>
      <c r="AD83" s="723"/>
      <c r="AE83" s="723"/>
      <c r="AF83" s="723"/>
      <c r="AG83" s="723"/>
      <c r="AH83" s="723"/>
      <c r="AI83" s="723"/>
      <c r="AJ83" s="723"/>
      <c r="AK83" s="723"/>
      <c r="AL83" s="723"/>
      <c r="AM83" s="723"/>
      <c r="AN83" s="723"/>
    </row>
    <row r="84" spans="1:40" ht="12" customHeight="1">
      <c r="A84" s="740">
        <v>77</v>
      </c>
      <c r="B84" s="737" t="s">
        <v>554</v>
      </c>
      <c r="C84" s="737" t="s">
        <v>526</v>
      </c>
      <c r="D84" s="738">
        <v>40523</v>
      </c>
      <c r="E84" s="739">
        <v>2.8</v>
      </c>
      <c r="F84" s="67">
        <v>8.02</v>
      </c>
      <c r="G84" s="67">
        <v>10</v>
      </c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3"/>
      <c r="AK84" s="723"/>
      <c r="AL84" s="723"/>
      <c r="AM84" s="723"/>
      <c r="AN84" s="723"/>
    </row>
    <row r="85" spans="1:40" ht="12" customHeight="1">
      <c r="A85" s="740">
        <v>78</v>
      </c>
      <c r="B85" s="737" t="s">
        <v>555</v>
      </c>
      <c r="C85" s="737" t="s">
        <v>556</v>
      </c>
      <c r="D85" s="738">
        <v>40518</v>
      </c>
      <c r="E85" s="739">
        <v>9.8000000000000007</v>
      </c>
      <c r="F85" s="67">
        <v>7.9</v>
      </c>
      <c r="G85" s="67">
        <v>9.56</v>
      </c>
      <c r="H85" s="723"/>
      <c r="I85" s="723"/>
      <c r="J85" s="723"/>
      <c r="K85" s="723"/>
      <c r="L85" s="723"/>
      <c r="M85" s="723"/>
      <c r="N85" s="723"/>
      <c r="O85" s="723"/>
      <c r="P85" s="723"/>
      <c r="Q85" s="723"/>
      <c r="R85" s="723"/>
      <c r="S85" s="723"/>
      <c r="T85" s="723"/>
      <c r="U85" s="723"/>
      <c r="V85" s="723"/>
      <c r="W85" s="723"/>
      <c r="X85" s="723"/>
      <c r="Y85" s="723"/>
      <c r="Z85" s="723"/>
      <c r="AA85" s="723"/>
      <c r="AB85" s="723"/>
      <c r="AC85" s="723"/>
      <c r="AD85" s="723"/>
      <c r="AE85" s="723"/>
      <c r="AF85" s="723"/>
      <c r="AG85" s="723"/>
      <c r="AH85" s="723"/>
      <c r="AI85" s="723"/>
      <c r="AJ85" s="723"/>
      <c r="AK85" s="723"/>
      <c r="AL85" s="723"/>
      <c r="AM85" s="723"/>
      <c r="AN85" s="723"/>
    </row>
    <row r="86" spans="1:40" ht="12" customHeight="1">
      <c r="A86" s="740">
        <v>79</v>
      </c>
      <c r="B86" s="737" t="s">
        <v>490</v>
      </c>
      <c r="C86" s="737" t="s">
        <v>557</v>
      </c>
      <c r="D86" s="738">
        <v>40518</v>
      </c>
      <c r="E86" s="739">
        <v>7.3</v>
      </c>
      <c r="F86" s="67">
        <v>8.2799999999999994</v>
      </c>
      <c r="G86" s="67">
        <v>10.09</v>
      </c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36"/>
      <c r="AD86" s="736"/>
      <c r="AE86" s="736"/>
      <c r="AF86" s="736"/>
      <c r="AG86" s="736"/>
      <c r="AH86" s="736"/>
      <c r="AI86" s="736"/>
      <c r="AJ86" s="736"/>
      <c r="AK86" s="736"/>
      <c r="AL86" s="736"/>
      <c r="AM86" s="736"/>
      <c r="AN86" s="736"/>
    </row>
    <row r="87" spans="1:40" ht="12" customHeight="1">
      <c r="A87" s="740">
        <v>80</v>
      </c>
      <c r="B87" s="737" t="s">
        <v>558</v>
      </c>
      <c r="C87" s="737" t="s">
        <v>559</v>
      </c>
      <c r="D87" s="738">
        <v>40521</v>
      </c>
      <c r="E87" s="739">
        <v>-1</v>
      </c>
      <c r="F87" s="67">
        <v>7.92</v>
      </c>
      <c r="G87" s="67">
        <v>10.25</v>
      </c>
      <c r="H87" s="736"/>
      <c r="I87" s="736"/>
      <c r="J87" s="736"/>
      <c r="K87" s="736"/>
      <c r="L87" s="736"/>
      <c r="M87" s="736"/>
      <c r="N87" s="736"/>
      <c r="O87" s="736"/>
      <c r="P87" s="736"/>
      <c r="Q87" s="736"/>
      <c r="R87" s="736"/>
      <c r="S87" s="736"/>
      <c r="T87" s="736"/>
      <c r="U87" s="736"/>
      <c r="V87" s="736"/>
      <c r="W87" s="736"/>
      <c r="X87" s="736"/>
      <c r="Y87" s="736"/>
      <c r="Z87" s="736"/>
      <c r="AA87" s="736"/>
      <c r="AB87" s="736"/>
      <c r="AC87" s="736"/>
      <c r="AD87" s="736"/>
      <c r="AE87" s="736"/>
      <c r="AF87" s="736"/>
      <c r="AG87" s="736"/>
      <c r="AH87" s="736"/>
      <c r="AI87" s="736"/>
      <c r="AJ87" s="736"/>
      <c r="AK87" s="736"/>
      <c r="AL87" s="736"/>
      <c r="AM87" s="736"/>
      <c r="AN87" s="736"/>
    </row>
    <row r="88" spans="1:40" ht="12" customHeight="1">
      <c r="A88" s="740">
        <v>81</v>
      </c>
      <c r="B88" s="737" t="s">
        <v>523</v>
      </c>
      <c r="C88" s="737" t="s">
        <v>560</v>
      </c>
      <c r="D88" s="738">
        <v>40526</v>
      </c>
      <c r="E88" s="739">
        <v>0.8</v>
      </c>
      <c r="F88" s="67">
        <v>8.65</v>
      </c>
      <c r="G88" s="67">
        <v>10.33</v>
      </c>
      <c r="H88" s="736"/>
      <c r="I88" s="736"/>
      <c r="J88" s="736"/>
      <c r="K88" s="736"/>
      <c r="L88" s="736"/>
      <c r="M88" s="736"/>
      <c r="N88" s="736"/>
      <c r="O88" s="736"/>
      <c r="P88" s="736"/>
      <c r="Q88" s="736"/>
      <c r="R88" s="736"/>
      <c r="S88" s="736"/>
      <c r="T88" s="736"/>
      <c r="U88" s="736"/>
      <c r="V88" s="736"/>
      <c r="W88" s="736"/>
      <c r="X88" s="736"/>
      <c r="Y88" s="736"/>
      <c r="Z88" s="736"/>
      <c r="AA88" s="736"/>
      <c r="AB88" s="736"/>
      <c r="AC88" s="736"/>
      <c r="AD88" s="736"/>
      <c r="AE88" s="736"/>
      <c r="AF88" s="736"/>
      <c r="AG88" s="736"/>
      <c r="AH88" s="736"/>
      <c r="AI88" s="736"/>
      <c r="AJ88" s="736"/>
      <c r="AK88" s="736"/>
      <c r="AL88" s="736"/>
      <c r="AM88" s="736"/>
      <c r="AN88" s="736"/>
    </row>
    <row r="89" spans="1:40" ht="12" customHeight="1">
      <c r="A89" s="740">
        <v>82</v>
      </c>
      <c r="B89" s="737" t="s">
        <v>472</v>
      </c>
      <c r="C89" s="737" t="s">
        <v>561</v>
      </c>
      <c r="D89" s="738">
        <v>40528</v>
      </c>
      <c r="E89" s="739">
        <v>19.600000000000001</v>
      </c>
      <c r="F89" s="67"/>
      <c r="G89" s="67"/>
      <c r="H89" s="736"/>
      <c r="I89" s="736"/>
      <c r="J89" s="736"/>
      <c r="K89" s="736"/>
      <c r="L89" s="736"/>
      <c r="M89" s="736"/>
      <c r="N89" s="736"/>
      <c r="O89" s="736"/>
      <c r="P89" s="736"/>
      <c r="Q89" s="736"/>
      <c r="R89" s="736"/>
      <c r="S89" s="736"/>
      <c r="T89" s="736"/>
      <c r="U89" s="736"/>
      <c r="V89" s="736"/>
      <c r="W89" s="736"/>
      <c r="X89" s="736"/>
      <c r="Y89" s="736"/>
      <c r="Z89" s="736"/>
      <c r="AA89" s="736"/>
      <c r="AB89" s="736"/>
      <c r="AC89" s="736"/>
      <c r="AD89" s="736"/>
      <c r="AE89" s="736"/>
      <c r="AF89" s="736"/>
      <c r="AG89" s="736"/>
      <c r="AH89" s="736"/>
      <c r="AI89" s="736"/>
      <c r="AJ89" s="736"/>
      <c r="AK89" s="736"/>
      <c r="AL89" s="736"/>
      <c r="AM89" s="736"/>
      <c r="AN89" s="736"/>
    </row>
    <row r="90" spans="1:40" ht="12" customHeight="1">
      <c r="A90" s="740">
        <v>83</v>
      </c>
      <c r="B90" s="737" t="s">
        <v>562</v>
      </c>
      <c r="C90" s="737" t="s">
        <v>563</v>
      </c>
      <c r="D90" s="738">
        <v>40529</v>
      </c>
      <c r="E90" s="739">
        <v>4.9000000000000004</v>
      </c>
      <c r="F90" s="67">
        <v>7.92</v>
      </c>
      <c r="G90" s="67">
        <v>10.1</v>
      </c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6"/>
      <c r="T90" s="736"/>
      <c r="U90" s="736"/>
      <c r="V90" s="736"/>
      <c r="W90" s="736"/>
      <c r="X90" s="736"/>
      <c r="Y90" s="736"/>
      <c r="Z90" s="736"/>
      <c r="AA90" s="736"/>
      <c r="AB90" s="736"/>
      <c r="AC90" s="736"/>
      <c r="AD90" s="736"/>
      <c r="AE90" s="736"/>
      <c r="AF90" s="736"/>
      <c r="AG90" s="736"/>
      <c r="AH90" s="736"/>
      <c r="AI90" s="736"/>
      <c r="AJ90" s="736"/>
      <c r="AK90" s="736"/>
      <c r="AL90" s="736"/>
      <c r="AM90" s="736"/>
      <c r="AN90" s="736"/>
    </row>
    <row r="91" spans="1:40" ht="12" customHeight="1">
      <c r="A91" s="740">
        <v>84</v>
      </c>
      <c r="B91" s="737" t="s">
        <v>502</v>
      </c>
      <c r="C91" s="737" t="s">
        <v>564</v>
      </c>
      <c r="D91" s="738">
        <v>40532</v>
      </c>
      <c r="E91" s="739">
        <v>2.7</v>
      </c>
      <c r="F91" s="67">
        <v>5.18</v>
      </c>
      <c r="G91" s="67">
        <v>10.1</v>
      </c>
      <c r="H91" s="736"/>
      <c r="I91" s="736"/>
      <c r="J91" s="736"/>
      <c r="K91" s="736"/>
      <c r="L91" s="736"/>
      <c r="M91" s="736"/>
      <c r="N91" s="736"/>
      <c r="O91" s="736"/>
      <c r="P91" s="736"/>
      <c r="Q91" s="736"/>
      <c r="R91" s="736"/>
      <c r="S91" s="736"/>
      <c r="T91" s="736"/>
      <c r="U91" s="736"/>
      <c r="V91" s="736"/>
      <c r="W91" s="736"/>
      <c r="X91" s="736"/>
      <c r="Y91" s="736"/>
      <c r="Z91" s="736"/>
      <c r="AA91" s="736"/>
      <c r="AB91" s="736"/>
      <c r="AC91" s="736"/>
      <c r="AD91" s="736"/>
      <c r="AE91" s="736"/>
      <c r="AF91" s="736"/>
      <c r="AG91" s="736"/>
      <c r="AH91" s="736"/>
      <c r="AI91" s="736"/>
      <c r="AJ91" s="736"/>
      <c r="AK91" s="736"/>
      <c r="AL91" s="736"/>
      <c r="AM91" s="736"/>
      <c r="AN91" s="736"/>
    </row>
    <row r="92" spans="1:40" ht="12" customHeight="1">
      <c r="A92" s="740">
        <v>85</v>
      </c>
      <c r="B92" s="737" t="s">
        <v>565</v>
      </c>
      <c r="C92" s="737" t="s">
        <v>526</v>
      </c>
      <c r="D92" s="738">
        <v>40535</v>
      </c>
      <c r="E92" s="739">
        <v>4.3</v>
      </c>
      <c r="F92" s="67">
        <v>7.98</v>
      </c>
      <c r="G92" s="67">
        <v>9.92</v>
      </c>
      <c r="H92" s="736"/>
      <c r="I92" s="736"/>
      <c r="J92" s="736"/>
      <c r="K92" s="736"/>
      <c r="L92" s="736"/>
      <c r="M92" s="736"/>
      <c r="N92" s="736"/>
      <c r="O92" s="736"/>
      <c r="P92" s="736"/>
      <c r="Q92" s="736"/>
      <c r="R92" s="736"/>
      <c r="S92" s="736"/>
      <c r="T92" s="736"/>
      <c r="U92" s="736"/>
      <c r="V92" s="736"/>
      <c r="W92" s="736"/>
      <c r="X92" s="736"/>
      <c r="Y92" s="736"/>
      <c r="Z92" s="736"/>
      <c r="AA92" s="736"/>
      <c r="AB92" s="736"/>
      <c r="AC92" s="736"/>
      <c r="AD92" s="736"/>
      <c r="AE92" s="736"/>
      <c r="AF92" s="736"/>
      <c r="AG92" s="736"/>
      <c r="AH92" s="736"/>
      <c r="AI92" s="736"/>
      <c r="AJ92" s="736"/>
      <c r="AK92" s="736"/>
      <c r="AL92" s="736"/>
      <c r="AM92" s="736"/>
      <c r="AN92" s="736"/>
    </row>
    <row r="93" spans="1:40" ht="12" customHeight="1">
      <c r="A93" s="740">
        <v>86</v>
      </c>
      <c r="B93" s="737" t="s">
        <v>466</v>
      </c>
      <c r="C93" s="737" t="s">
        <v>566</v>
      </c>
      <c r="D93" s="738">
        <v>40549</v>
      </c>
      <c r="E93" s="739">
        <v>8.1</v>
      </c>
      <c r="F93" s="67">
        <v>7.19</v>
      </c>
      <c r="G93" s="67">
        <v>10.35</v>
      </c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</row>
    <row r="94" spans="1:40" ht="12" customHeight="1">
      <c r="A94" s="740">
        <v>87</v>
      </c>
      <c r="B94" s="737" t="s">
        <v>511</v>
      </c>
      <c r="C94" s="737" t="s">
        <v>516</v>
      </c>
      <c r="D94" s="738">
        <v>40555</v>
      </c>
      <c r="E94" s="739">
        <v>1.9</v>
      </c>
      <c r="F94" s="67">
        <v>8.8000000000000007</v>
      </c>
      <c r="G94" s="67">
        <v>10.3</v>
      </c>
      <c r="H94" s="736"/>
      <c r="I94" s="736"/>
      <c r="J94" s="736"/>
      <c r="K94" s="736"/>
      <c r="L94" s="736"/>
      <c r="M94" s="736"/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36"/>
      <c r="Y94" s="736"/>
      <c r="Z94" s="736"/>
      <c r="AA94" s="736"/>
      <c r="AB94" s="736"/>
      <c r="AC94" s="736"/>
      <c r="AD94" s="736"/>
      <c r="AE94" s="736"/>
      <c r="AF94" s="736"/>
      <c r="AG94" s="736"/>
      <c r="AH94" s="736"/>
      <c r="AI94" s="736"/>
      <c r="AJ94" s="736"/>
      <c r="AK94" s="736"/>
      <c r="AL94" s="736"/>
      <c r="AM94" s="736"/>
      <c r="AN94" s="736"/>
    </row>
    <row r="95" spans="1:40" ht="12" customHeight="1">
      <c r="A95" s="740">
        <v>88</v>
      </c>
      <c r="B95" s="737" t="s">
        <v>511</v>
      </c>
      <c r="C95" s="737" t="s">
        <v>567</v>
      </c>
      <c r="D95" s="738">
        <v>40556</v>
      </c>
      <c r="E95" s="739">
        <v>-8.3000000000000007</v>
      </c>
      <c r="F95" s="67">
        <v>7.72</v>
      </c>
      <c r="G95" s="67">
        <v>10.3</v>
      </c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736"/>
      <c r="AI95" s="736"/>
      <c r="AJ95" s="736"/>
      <c r="AK95" s="736"/>
      <c r="AL95" s="736"/>
      <c r="AM95" s="736"/>
      <c r="AN95" s="736"/>
    </row>
    <row r="96" spans="1:40" ht="12" customHeight="1">
      <c r="A96" s="740">
        <v>89</v>
      </c>
      <c r="B96" s="737" t="s">
        <v>519</v>
      </c>
      <c r="C96" s="737" t="s">
        <v>568</v>
      </c>
      <c r="D96" s="738">
        <v>40197</v>
      </c>
      <c r="E96" s="739">
        <v>9</v>
      </c>
      <c r="F96" s="67"/>
      <c r="G96" s="67"/>
      <c r="H96" s="736"/>
      <c r="I96" s="736"/>
      <c r="J96" s="736"/>
      <c r="K96" s="736"/>
      <c r="L96" s="736"/>
      <c r="M96" s="736"/>
      <c r="N96" s="736"/>
      <c r="O96" s="736"/>
      <c r="P96" s="736"/>
      <c r="Q96" s="736"/>
      <c r="R96" s="736"/>
      <c r="S96" s="736"/>
      <c r="T96" s="736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6"/>
      <c r="AN96" s="736"/>
    </row>
    <row r="97" spans="1:40" ht="12" customHeight="1">
      <c r="A97" s="740">
        <v>90</v>
      </c>
      <c r="B97" s="737" t="s">
        <v>487</v>
      </c>
      <c r="C97" s="737" t="s">
        <v>488</v>
      </c>
      <c r="D97" s="738">
        <v>40584</v>
      </c>
      <c r="E97" s="739">
        <v>3.7</v>
      </c>
      <c r="F97" s="67"/>
      <c r="G97" s="67"/>
      <c r="H97" s="736"/>
      <c r="I97" s="736"/>
      <c r="J97" s="736"/>
      <c r="K97" s="736"/>
      <c r="L97" s="736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  <c r="Y97" s="736"/>
      <c r="Z97" s="736"/>
      <c r="AA97" s="736"/>
      <c r="AB97" s="736"/>
      <c r="AC97" s="736"/>
      <c r="AD97" s="736"/>
      <c r="AE97" s="736"/>
      <c r="AF97" s="736"/>
      <c r="AG97" s="736"/>
      <c r="AH97" s="736"/>
      <c r="AI97" s="736"/>
      <c r="AJ97" s="736"/>
      <c r="AK97" s="736"/>
      <c r="AL97" s="736"/>
      <c r="AM97" s="736"/>
      <c r="AN97" s="736"/>
    </row>
    <row r="98" spans="1:40" ht="12" customHeight="1">
      <c r="A98" s="740">
        <v>91</v>
      </c>
      <c r="B98" s="737" t="s">
        <v>485</v>
      </c>
      <c r="C98" s="737" t="s">
        <v>486</v>
      </c>
      <c r="D98" s="738">
        <v>40612</v>
      </c>
      <c r="E98" s="739">
        <v>6.8</v>
      </c>
      <c r="F98" s="67">
        <v>8.33</v>
      </c>
      <c r="G98" s="67"/>
      <c r="H98" s="736"/>
      <c r="I98" s="736"/>
      <c r="J98" s="736"/>
      <c r="K98" s="736"/>
      <c r="L98" s="736"/>
      <c r="M98" s="736"/>
      <c r="N98" s="736"/>
      <c r="O98" s="736"/>
      <c r="P98" s="736"/>
      <c r="Q98" s="736"/>
      <c r="R98" s="736"/>
      <c r="S98" s="736"/>
      <c r="T98" s="736"/>
      <c r="U98" s="736"/>
      <c r="V98" s="736"/>
      <c r="W98" s="736"/>
      <c r="X98" s="736"/>
      <c r="Y98" s="736"/>
      <c r="Z98" s="736"/>
      <c r="AA98" s="736"/>
      <c r="AB98" s="736"/>
      <c r="AC98" s="736"/>
      <c r="AD98" s="736"/>
      <c r="AE98" s="736"/>
      <c r="AF98" s="736"/>
      <c r="AG98" s="736"/>
      <c r="AH98" s="736"/>
      <c r="AI98" s="736"/>
      <c r="AJ98" s="736"/>
      <c r="AK98" s="736"/>
      <c r="AL98" s="736"/>
      <c r="AM98" s="736"/>
      <c r="AN98" s="736"/>
    </row>
    <row r="99" spans="1:40" ht="12" customHeight="1">
      <c r="A99" s="740">
        <v>92</v>
      </c>
      <c r="B99" s="737" t="s">
        <v>501</v>
      </c>
      <c r="C99" s="737" t="s">
        <v>496</v>
      </c>
      <c r="D99" s="738">
        <v>40612</v>
      </c>
      <c r="E99" s="739">
        <v>3</v>
      </c>
      <c r="F99" s="67">
        <v>8</v>
      </c>
      <c r="G99" s="67">
        <v>10.1</v>
      </c>
      <c r="H99" s="736"/>
      <c r="I99" s="736"/>
      <c r="J99" s="736"/>
      <c r="K99" s="736"/>
      <c r="L99" s="736"/>
      <c r="M99" s="736"/>
      <c r="N99" s="736"/>
      <c r="O99" s="736"/>
      <c r="P99" s="736"/>
      <c r="Q99" s="736"/>
      <c r="R99" s="736"/>
      <c r="S99" s="736"/>
      <c r="T99" s="736"/>
      <c r="U99" s="736"/>
      <c r="V99" s="736"/>
      <c r="W99" s="736"/>
      <c r="X99" s="736"/>
      <c r="Y99" s="736"/>
      <c r="Z99" s="736"/>
      <c r="AA99" s="736"/>
      <c r="AB99" s="736"/>
      <c r="AC99" s="736"/>
      <c r="AD99" s="736"/>
      <c r="AE99" s="736"/>
      <c r="AF99" s="736"/>
      <c r="AG99" s="736"/>
      <c r="AH99" s="736"/>
      <c r="AI99" s="736"/>
      <c r="AJ99" s="736"/>
      <c r="AK99" s="736"/>
      <c r="AL99" s="736"/>
      <c r="AM99" s="736"/>
      <c r="AN99" s="736"/>
    </row>
    <row r="100" spans="1:40" ht="12" customHeight="1">
      <c r="A100" s="740">
        <v>93</v>
      </c>
      <c r="B100" s="737" t="s">
        <v>515</v>
      </c>
      <c r="C100" s="737" t="s">
        <v>532</v>
      </c>
      <c r="D100" s="738">
        <v>40617</v>
      </c>
      <c r="E100" s="739">
        <v>19</v>
      </c>
      <c r="F100" s="67"/>
      <c r="G100" s="67"/>
      <c r="H100" s="736"/>
      <c r="I100" s="736"/>
      <c r="J100" s="736"/>
      <c r="K100" s="736"/>
      <c r="L100" s="736"/>
      <c r="M100" s="736"/>
      <c r="N100" s="736"/>
      <c r="O100" s="736"/>
      <c r="P100" s="736"/>
      <c r="Q100" s="736"/>
      <c r="R100" s="736"/>
      <c r="S100" s="736"/>
      <c r="T100" s="736"/>
      <c r="U100" s="736"/>
      <c r="V100" s="736"/>
      <c r="W100" s="736"/>
      <c r="X100" s="736"/>
      <c r="Y100" s="736"/>
      <c r="Z100" s="736"/>
      <c r="AA100" s="736"/>
      <c r="AB100" s="736"/>
      <c r="AC100" s="736"/>
      <c r="AD100" s="736"/>
      <c r="AE100" s="736"/>
      <c r="AF100" s="736"/>
      <c r="AG100" s="736"/>
      <c r="AH100" s="736"/>
      <c r="AI100" s="736"/>
      <c r="AJ100" s="736"/>
      <c r="AK100" s="736"/>
      <c r="AL100" s="736"/>
      <c r="AM100" s="736"/>
      <c r="AN100" s="736"/>
    </row>
    <row r="101" spans="1:40" ht="12" customHeight="1">
      <c r="A101" s="740">
        <v>94</v>
      </c>
      <c r="B101" s="737" t="s">
        <v>468</v>
      </c>
      <c r="C101" s="737" t="s">
        <v>469</v>
      </c>
      <c r="D101" s="738">
        <v>40615</v>
      </c>
      <c r="E101" s="739">
        <v>5.0999999999999996</v>
      </c>
      <c r="F101" s="67">
        <v>8.39</v>
      </c>
      <c r="G101" s="67">
        <v>9.4499999999999993</v>
      </c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  <c r="R101" s="736"/>
      <c r="S101" s="736"/>
      <c r="T101" s="736"/>
      <c r="U101" s="736"/>
      <c r="V101" s="736"/>
      <c r="W101" s="736"/>
      <c r="X101" s="736"/>
      <c r="Y101" s="736"/>
      <c r="Z101" s="736"/>
      <c r="AA101" s="736"/>
      <c r="AB101" s="736"/>
      <c r="AC101" s="736"/>
      <c r="AD101" s="736"/>
      <c r="AE101" s="736"/>
      <c r="AF101" s="736"/>
      <c r="AG101" s="736"/>
      <c r="AH101" s="736"/>
      <c r="AI101" s="736"/>
      <c r="AJ101" s="736"/>
      <c r="AK101" s="736"/>
      <c r="AL101" s="736"/>
      <c r="AM101" s="736"/>
      <c r="AN101" s="736"/>
    </row>
    <row r="102" spans="1:40" ht="12" customHeight="1">
      <c r="A102" s="740">
        <v>95</v>
      </c>
      <c r="B102" s="737" t="s">
        <v>523</v>
      </c>
      <c r="C102" s="737" t="s">
        <v>518</v>
      </c>
      <c r="D102" s="738">
        <v>40651</v>
      </c>
      <c r="E102" s="739">
        <v>4.5999999999999996</v>
      </c>
      <c r="F102" s="67">
        <v>8.75</v>
      </c>
      <c r="G102" s="67">
        <v>10.050000000000001</v>
      </c>
      <c r="H102" s="736"/>
      <c r="I102" s="736"/>
      <c r="J102" s="736"/>
      <c r="K102" s="736"/>
      <c r="L102" s="736"/>
      <c r="M102" s="736"/>
      <c r="N102" s="736"/>
      <c r="O102" s="736"/>
      <c r="P102" s="736"/>
      <c r="Q102" s="736"/>
      <c r="R102" s="736"/>
      <c r="S102" s="736"/>
      <c r="T102" s="736"/>
      <c r="U102" s="736"/>
      <c r="V102" s="736"/>
      <c r="W102" s="736"/>
      <c r="X102" s="736"/>
      <c r="Y102" s="736"/>
      <c r="Z102" s="736"/>
      <c r="AA102" s="736"/>
      <c r="AB102" s="736"/>
      <c r="AC102" s="736"/>
      <c r="AD102" s="736"/>
      <c r="AE102" s="736"/>
      <c r="AF102" s="736"/>
      <c r="AG102" s="736"/>
      <c r="AH102" s="736"/>
      <c r="AI102" s="736"/>
      <c r="AJ102" s="736"/>
      <c r="AK102" s="736"/>
      <c r="AL102" s="736"/>
      <c r="AM102" s="736"/>
      <c r="AN102" s="736"/>
    </row>
    <row r="103" spans="1:40" ht="12" customHeight="1">
      <c r="A103" s="740">
        <v>96</v>
      </c>
      <c r="B103" s="737" t="s">
        <v>569</v>
      </c>
      <c r="C103" s="737" t="s">
        <v>570</v>
      </c>
      <c r="D103" s="738">
        <v>40676</v>
      </c>
      <c r="E103" s="739">
        <v>47.4</v>
      </c>
      <c r="F103" s="67">
        <v>8.7899999999999991</v>
      </c>
      <c r="G103" s="67">
        <v>11.35</v>
      </c>
      <c r="H103" s="736"/>
      <c r="I103" s="736"/>
      <c r="J103" s="736"/>
      <c r="K103" s="736"/>
      <c r="L103" s="736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736"/>
      <c r="AA103" s="736"/>
      <c r="AB103" s="736"/>
      <c r="AC103" s="736"/>
      <c r="AD103" s="736"/>
      <c r="AE103" s="736"/>
      <c r="AF103" s="736"/>
      <c r="AG103" s="736"/>
      <c r="AH103" s="736"/>
      <c r="AI103" s="736"/>
      <c r="AJ103" s="736"/>
      <c r="AK103" s="736"/>
      <c r="AL103" s="736"/>
      <c r="AM103" s="736"/>
      <c r="AN103" s="736"/>
    </row>
    <row r="104" spans="1:40" ht="12" customHeight="1">
      <c r="A104" s="740">
        <v>97</v>
      </c>
      <c r="B104" s="737" t="s">
        <v>466</v>
      </c>
      <c r="C104" s="737" t="s">
        <v>536</v>
      </c>
      <c r="D104" s="738">
        <v>40689</v>
      </c>
      <c r="E104" s="739">
        <v>31.4</v>
      </c>
      <c r="F104" s="67"/>
      <c r="G104" s="67">
        <v>10.5</v>
      </c>
      <c r="H104" s="736"/>
      <c r="I104" s="736"/>
      <c r="J104" s="736"/>
      <c r="K104" s="736"/>
      <c r="L104" s="736"/>
      <c r="M104" s="736"/>
      <c r="N104" s="736"/>
      <c r="O104" s="736"/>
      <c r="P104" s="736"/>
      <c r="Q104" s="736"/>
      <c r="R104" s="736"/>
      <c r="S104" s="736"/>
      <c r="T104" s="736"/>
      <c r="U104" s="736"/>
      <c r="V104" s="736"/>
      <c r="W104" s="736"/>
      <c r="X104" s="736"/>
      <c r="Y104" s="736"/>
      <c r="Z104" s="736"/>
      <c r="AA104" s="736"/>
      <c r="AB104" s="736"/>
      <c r="AC104" s="736"/>
      <c r="AD104" s="736"/>
      <c r="AE104" s="736"/>
      <c r="AF104" s="736"/>
      <c r="AG104" s="736"/>
      <c r="AH104" s="736"/>
      <c r="AI104" s="736"/>
      <c r="AJ104" s="736"/>
      <c r="AK104" s="736"/>
      <c r="AL104" s="736"/>
      <c r="AM104" s="736"/>
      <c r="AN104" s="736"/>
    </row>
    <row r="105" spans="1:40" ht="12" customHeight="1">
      <c r="A105" s="740">
        <v>98</v>
      </c>
      <c r="B105" s="737" t="s">
        <v>472</v>
      </c>
      <c r="C105" s="737" t="s">
        <v>571</v>
      </c>
      <c r="D105" s="738">
        <v>40703</v>
      </c>
      <c r="E105" s="739">
        <v>53</v>
      </c>
      <c r="F105" s="67"/>
      <c r="G105" s="67"/>
      <c r="H105" s="736"/>
      <c r="I105" s="736"/>
      <c r="J105" s="736"/>
      <c r="K105" s="736"/>
      <c r="L105" s="736"/>
      <c r="M105" s="736"/>
      <c r="N105" s="736"/>
      <c r="O105" s="736"/>
      <c r="P105" s="736"/>
      <c r="Q105" s="736"/>
      <c r="R105" s="736"/>
      <c r="S105" s="736"/>
      <c r="T105" s="736"/>
      <c r="U105" s="736"/>
      <c r="V105" s="736"/>
      <c r="W105" s="736"/>
      <c r="X105" s="736"/>
      <c r="Y105" s="736"/>
      <c r="Z105" s="736"/>
      <c r="AA105" s="736"/>
      <c r="AB105" s="736"/>
      <c r="AC105" s="736"/>
      <c r="AD105" s="736"/>
      <c r="AE105" s="736"/>
      <c r="AF105" s="736"/>
      <c r="AG105" s="736"/>
      <c r="AH105" s="736"/>
      <c r="AI105" s="736"/>
      <c r="AJ105" s="736"/>
      <c r="AK105" s="736"/>
      <c r="AL105" s="736"/>
      <c r="AM105" s="736"/>
      <c r="AN105" s="736"/>
    </row>
    <row r="106" spans="1:40" ht="12" customHeight="1">
      <c r="A106" s="740">
        <v>99</v>
      </c>
      <c r="B106" s="737" t="s">
        <v>572</v>
      </c>
      <c r="C106" s="737" t="s">
        <v>573</v>
      </c>
      <c r="D106" s="738">
        <v>40715</v>
      </c>
      <c r="E106" s="739">
        <v>5.8</v>
      </c>
      <c r="F106" s="67">
        <v>7.56</v>
      </c>
      <c r="G106" s="67">
        <v>10</v>
      </c>
      <c r="H106" s="736"/>
      <c r="I106" s="736"/>
      <c r="J106" s="736"/>
      <c r="K106" s="736"/>
      <c r="L106" s="736"/>
      <c r="M106" s="736"/>
      <c r="N106" s="736"/>
      <c r="O106" s="736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  <c r="Z106" s="736"/>
      <c r="AA106" s="736"/>
      <c r="AB106" s="736"/>
      <c r="AC106" s="736"/>
      <c r="AD106" s="736"/>
      <c r="AE106" s="736"/>
      <c r="AF106" s="736"/>
      <c r="AG106" s="736"/>
      <c r="AH106" s="736"/>
      <c r="AI106" s="736"/>
      <c r="AJ106" s="736"/>
      <c r="AK106" s="736"/>
      <c r="AL106" s="736"/>
      <c r="AM106" s="736"/>
      <c r="AN106" s="736"/>
    </row>
    <row r="107" spans="1:40" ht="12" customHeight="1">
      <c r="A107" s="740">
        <v>100</v>
      </c>
      <c r="B107" s="737" t="s">
        <v>492</v>
      </c>
      <c r="C107" s="737" t="s">
        <v>574</v>
      </c>
      <c r="D107" s="738">
        <v>40723</v>
      </c>
      <c r="E107" s="739">
        <v>6.2</v>
      </c>
      <c r="F107" s="67">
        <v>7.48</v>
      </c>
      <c r="G107" s="67">
        <v>8.83</v>
      </c>
      <c r="H107" s="736"/>
      <c r="I107" s="736"/>
      <c r="J107" s="736"/>
      <c r="K107" s="736"/>
      <c r="L107" s="736"/>
      <c r="M107" s="736"/>
      <c r="N107" s="736"/>
      <c r="O107" s="736"/>
      <c r="P107" s="736"/>
      <c r="Q107" s="736"/>
      <c r="R107" s="736"/>
      <c r="S107" s="736"/>
      <c r="T107" s="736"/>
      <c r="U107" s="736"/>
      <c r="V107" s="736"/>
      <c r="W107" s="736"/>
      <c r="X107" s="736"/>
      <c r="Y107" s="736"/>
      <c r="Z107" s="736"/>
      <c r="AA107" s="736"/>
      <c r="AB107" s="736"/>
      <c r="AC107" s="736"/>
      <c r="AD107" s="736"/>
      <c r="AE107" s="736"/>
      <c r="AF107" s="736"/>
      <c r="AG107" s="736"/>
      <c r="AH107" s="736"/>
      <c r="AI107" s="736"/>
      <c r="AJ107" s="736"/>
      <c r="AK107" s="736"/>
      <c r="AL107" s="736"/>
      <c r="AM107" s="736"/>
      <c r="AN107" s="736"/>
    </row>
    <row r="108" spans="1:40" ht="12" customHeight="1">
      <c r="A108" s="740">
        <v>101</v>
      </c>
      <c r="B108" s="737" t="s">
        <v>468</v>
      </c>
      <c r="C108" s="737" t="s">
        <v>575</v>
      </c>
      <c r="D108" s="738">
        <v>40756</v>
      </c>
      <c r="E108" s="739">
        <v>3.7</v>
      </c>
      <c r="F108" s="67">
        <v>7.93</v>
      </c>
      <c r="G108" s="67">
        <v>9.1999999999999993</v>
      </c>
      <c r="H108" s="736"/>
      <c r="I108" s="736"/>
      <c r="J108" s="736"/>
      <c r="K108" s="736"/>
      <c r="L108" s="736"/>
      <c r="M108" s="736"/>
      <c r="N108" s="736"/>
      <c r="O108" s="736"/>
      <c r="P108" s="736"/>
      <c r="Q108" s="736"/>
      <c r="R108" s="736"/>
      <c r="S108" s="736"/>
      <c r="T108" s="736"/>
      <c r="U108" s="736"/>
      <c r="V108" s="736"/>
      <c r="W108" s="736"/>
      <c r="X108" s="736"/>
      <c r="Y108" s="736"/>
      <c r="Z108" s="736"/>
      <c r="AA108" s="736"/>
      <c r="AB108" s="736"/>
      <c r="AC108" s="736"/>
      <c r="AD108" s="736"/>
      <c r="AE108" s="736"/>
      <c r="AF108" s="736"/>
      <c r="AG108" s="736"/>
      <c r="AH108" s="736"/>
      <c r="AI108" s="736"/>
      <c r="AJ108" s="736"/>
      <c r="AK108" s="736"/>
      <c r="AL108" s="736"/>
      <c r="AM108" s="736"/>
      <c r="AN108" s="736"/>
    </row>
    <row r="109" spans="1:40" ht="12" customHeight="1">
      <c r="A109" s="740">
        <v>102</v>
      </c>
      <c r="B109" s="737" t="s">
        <v>472</v>
      </c>
      <c r="C109" s="737" t="s">
        <v>497</v>
      </c>
      <c r="D109" s="738">
        <v>40766</v>
      </c>
      <c r="E109" s="739">
        <v>8.9</v>
      </c>
      <c r="F109" s="67"/>
      <c r="G109" s="67"/>
      <c r="H109" s="736"/>
      <c r="I109" s="736"/>
      <c r="J109" s="736"/>
      <c r="K109" s="736"/>
      <c r="L109" s="736"/>
      <c r="M109" s="736"/>
      <c r="N109" s="736"/>
      <c r="O109" s="736"/>
      <c r="P109" s="736"/>
      <c r="Q109" s="736"/>
      <c r="R109" s="736"/>
      <c r="S109" s="736"/>
      <c r="T109" s="736"/>
      <c r="U109" s="736"/>
      <c r="V109" s="736"/>
      <c r="W109" s="736"/>
      <c r="X109" s="736"/>
      <c r="Y109" s="736"/>
      <c r="Z109" s="736"/>
      <c r="AA109" s="736"/>
      <c r="AB109" s="736"/>
      <c r="AC109" s="736"/>
      <c r="AD109" s="736"/>
      <c r="AE109" s="736"/>
      <c r="AF109" s="736"/>
      <c r="AG109" s="736"/>
      <c r="AH109" s="736"/>
      <c r="AI109" s="736"/>
      <c r="AJ109" s="736"/>
      <c r="AK109" s="736"/>
      <c r="AL109" s="736"/>
      <c r="AM109" s="736"/>
      <c r="AN109" s="736"/>
    </row>
    <row r="110" spans="1:40" ht="12" customHeight="1">
      <c r="A110" s="740">
        <v>103</v>
      </c>
      <c r="B110" s="737" t="s">
        <v>554</v>
      </c>
      <c r="C110" s="737" t="s">
        <v>576</v>
      </c>
      <c r="D110" s="738">
        <v>40787</v>
      </c>
      <c r="E110" s="739">
        <v>12.8</v>
      </c>
      <c r="F110" s="67">
        <v>8.24</v>
      </c>
      <c r="G110" s="67">
        <v>10.1</v>
      </c>
      <c r="H110" s="736"/>
      <c r="I110" s="736"/>
      <c r="J110" s="736"/>
      <c r="K110" s="736"/>
      <c r="L110" s="736"/>
      <c r="M110" s="736"/>
      <c r="N110" s="736"/>
      <c r="O110" s="736"/>
      <c r="P110" s="736"/>
      <c r="Q110" s="736"/>
      <c r="R110" s="736"/>
      <c r="S110" s="736"/>
      <c r="T110" s="736"/>
      <c r="U110" s="736"/>
      <c r="V110" s="736"/>
      <c r="W110" s="736"/>
      <c r="X110" s="736"/>
      <c r="Y110" s="736"/>
      <c r="Z110" s="736"/>
      <c r="AA110" s="736"/>
      <c r="AB110" s="736"/>
      <c r="AC110" s="736"/>
      <c r="AD110" s="736"/>
      <c r="AE110" s="736"/>
      <c r="AF110" s="736"/>
      <c r="AG110" s="736"/>
      <c r="AH110" s="736"/>
      <c r="AI110" s="736"/>
      <c r="AJ110" s="736"/>
      <c r="AK110" s="736"/>
      <c r="AL110" s="736"/>
      <c r="AM110" s="736"/>
      <c r="AN110" s="736"/>
    </row>
    <row r="111" spans="1:40" ht="12" customHeight="1">
      <c r="A111" s="740">
        <v>104</v>
      </c>
      <c r="B111" s="737" t="s">
        <v>495</v>
      </c>
      <c r="C111" s="737" t="s">
        <v>496</v>
      </c>
      <c r="D111" s="738">
        <v>40816</v>
      </c>
      <c r="E111" s="739">
        <v>1.1000000000000001</v>
      </c>
      <c r="F111" s="67"/>
      <c r="G111" s="67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  <c r="S111" s="736"/>
      <c r="T111" s="736"/>
      <c r="U111" s="736"/>
      <c r="V111" s="736"/>
      <c r="W111" s="736"/>
      <c r="X111" s="736"/>
      <c r="Y111" s="736"/>
      <c r="Z111" s="736"/>
      <c r="AA111" s="736"/>
      <c r="AB111" s="736"/>
      <c r="AC111" s="736"/>
      <c r="AD111" s="736"/>
      <c r="AE111" s="736"/>
      <c r="AF111" s="736"/>
      <c r="AG111" s="736"/>
      <c r="AH111" s="736"/>
      <c r="AI111" s="736"/>
      <c r="AJ111" s="736"/>
      <c r="AK111" s="736"/>
      <c r="AL111" s="736"/>
      <c r="AM111" s="736"/>
      <c r="AN111" s="736"/>
    </row>
    <row r="112" spans="1:40" ht="12" customHeight="1">
      <c r="A112" s="740">
        <v>105</v>
      </c>
      <c r="B112" s="737" t="s">
        <v>511</v>
      </c>
      <c r="C112" s="737" t="s">
        <v>512</v>
      </c>
      <c r="D112" s="738">
        <v>40822</v>
      </c>
      <c r="E112" s="739">
        <v>0</v>
      </c>
      <c r="F112" s="67"/>
      <c r="G112" s="67"/>
      <c r="H112" s="736"/>
      <c r="I112" s="736"/>
      <c r="J112" s="736"/>
      <c r="K112" s="736"/>
      <c r="L112" s="736"/>
      <c r="M112" s="736"/>
      <c r="N112" s="736"/>
      <c r="O112" s="736"/>
      <c r="P112" s="736"/>
      <c r="Q112" s="736"/>
      <c r="R112" s="736"/>
      <c r="S112" s="736"/>
      <c r="T112" s="736"/>
      <c r="U112" s="736"/>
      <c r="V112" s="736"/>
      <c r="W112" s="736"/>
      <c r="X112" s="736"/>
      <c r="Y112" s="736"/>
      <c r="Z112" s="736"/>
      <c r="AA112" s="736"/>
      <c r="AB112" s="736"/>
      <c r="AC112" s="736"/>
      <c r="AD112" s="736"/>
      <c r="AE112" s="736"/>
      <c r="AF112" s="736"/>
      <c r="AG112" s="736"/>
      <c r="AH112" s="736"/>
      <c r="AI112" s="736"/>
      <c r="AJ112" s="736"/>
      <c r="AK112" s="736"/>
      <c r="AL112" s="736"/>
      <c r="AM112" s="736"/>
      <c r="AN112" s="736"/>
    </row>
    <row r="113" spans="1:40" ht="12" customHeight="1">
      <c r="A113" s="740">
        <v>106</v>
      </c>
      <c r="B113" s="737" t="s">
        <v>511</v>
      </c>
      <c r="C113" s="737" t="s">
        <v>513</v>
      </c>
      <c r="D113" s="738">
        <v>40822</v>
      </c>
      <c r="E113" s="739">
        <v>0</v>
      </c>
      <c r="F113" s="67"/>
      <c r="G113" s="67"/>
      <c r="H113" s="736"/>
      <c r="I113" s="736"/>
      <c r="J113" s="736"/>
      <c r="K113" s="736"/>
      <c r="L113" s="736"/>
      <c r="M113" s="736"/>
      <c r="N113" s="736"/>
      <c r="O113" s="736"/>
      <c r="P113" s="736"/>
      <c r="Q113" s="736"/>
      <c r="R113" s="736"/>
      <c r="S113" s="736"/>
      <c r="T113" s="736"/>
      <c r="U113" s="736"/>
      <c r="V113" s="736"/>
      <c r="W113" s="736"/>
      <c r="X113" s="736"/>
      <c r="Y113" s="736"/>
      <c r="Z113" s="736"/>
      <c r="AA113" s="736"/>
      <c r="AB113" s="736"/>
      <c r="AC113" s="736"/>
      <c r="AD113" s="736"/>
      <c r="AE113" s="736"/>
      <c r="AF113" s="736"/>
      <c r="AG113" s="736"/>
      <c r="AH113" s="736"/>
      <c r="AI113" s="736"/>
      <c r="AJ113" s="736"/>
      <c r="AK113" s="736"/>
      <c r="AL113" s="736"/>
      <c r="AM113" s="736"/>
      <c r="AN113" s="736"/>
    </row>
    <row r="114" spans="1:40" ht="12" customHeight="1">
      <c r="A114" s="740">
        <v>107</v>
      </c>
      <c r="B114" s="737" t="s">
        <v>472</v>
      </c>
      <c r="C114" s="737" t="s">
        <v>577</v>
      </c>
      <c r="D114" s="738">
        <v>40829</v>
      </c>
      <c r="E114" s="739">
        <v>17</v>
      </c>
      <c r="F114" s="67"/>
      <c r="G114" s="67"/>
      <c r="H114" s="736"/>
      <c r="I114" s="736"/>
      <c r="J114" s="736"/>
      <c r="K114" s="736"/>
      <c r="L114" s="736"/>
      <c r="M114" s="736"/>
      <c r="N114" s="736"/>
      <c r="O114" s="736"/>
      <c r="P114" s="736"/>
      <c r="Q114" s="736"/>
      <c r="R114" s="736"/>
      <c r="S114" s="736"/>
      <c r="T114" s="736"/>
      <c r="U114" s="736"/>
      <c r="V114" s="736"/>
      <c r="W114" s="736"/>
      <c r="X114" s="736"/>
      <c r="Y114" s="736"/>
      <c r="Z114" s="736"/>
      <c r="AA114" s="736"/>
      <c r="AB114" s="736"/>
      <c r="AC114" s="736"/>
      <c r="AD114" s="736"/>
      <c r="AE114" s="736"/>
      <c r="AF114" s="736"/>
      <c r="AG114" s="736"/>
      <c r="AH114" s="736"/>
      <c r="AI114" s="736"/>
      <c r="AJ114" s="736"/>
      <c r="AK114" s="736"/>
      <c r="AL114" s="736"/>
      <c r="AM114" s="736"/>
      <c r="AN114" s="736"/>
    </row>
    <row r="115" spans="1:40" ht="12" customHeight="1">
      <c r="A115" s="740">
        <v>108</v>
      </c>
      <c r="B115" s="737" t="s">
        <v>485</v>
      </c>
      <c r="C115" s="737" t="s">
        <v>578</v>
      </c>
      <c r="D115" s="738">
        <v>40855</v>
      </c>
      <c r="E115" s="739">
        <v>7.8</v>
      </c>
      <c r="F115" s="67">
        <v>7.4</v>
      </c>
      <c r="G115" s="67"/>
      <c r="H115" s="736"/>
      <c r="I115" s="736"/>
      <c r="J115" s="736"/>
      <c r="K115" s="736"/>
      <c r="L115" s="736"/>
      <c r="M115" s="736"/>
      <c r="N115" s="736"/>
      <c r="O115" s="736"/>
      <c r="P115" s="736"/>
      <c r="Q115" s="736"/>
      <c r="R115" s="736"/>
      <c r="S115" s="736"/>
      <c r="T115" s="736"/>
      <c r="U115" s="736"/>
      <c r="V115" s="736"/>
      <c r="W115" s="736"/>
      <c r="X115" s="736"/>
      <c r="Y115" s="736"/>
      <c r="Z115" s="736"/>
      <c r="AA115" s="736"/>
      <c r="AB115" s="736"/>
      <c r="AC115" s="736"/>
      <c r="AD115" s="736"/>
      <c r="AE115" s="736"/>
      <c r="AF115" s="736"/>
      <c r="AG115" s="736"/>
      <c r="AH115" s="736"/>
      <c r="AI115" s="736"/>
      <c r="AJ115" s="736"/>
      <c r="AK115" s="736"/>
      <c r="AL115" s="736"/>
      <c r="AM115" s="736"/>
      <c r="AN115" s="736"/>
    </row>
    <row r="116" spans="1:40" ht="12" customHeight="1">
      <c r="A116" s="740">
        <v>109</v>
      </c>
      <c r="B116" s="737" t="s">
        <v>555</v>
      </c>
      <c r="C116" s="737" t="s">
        <v>579</v>
      </c>
      <c r="D116" s="738">
        <v>40861</v>
      </c>
      <c r="E116" s="739">
        <v>8.4</v>
      </c>
      <c r="F116" s="67">
        <v>8.1</v>
      </c>
      <c r="G116" s="67">
        <v>9.6</v>
      </c>
      <c r="H116" s="736"/>
      <c r="I116" s="736"/>
      <c r="J116" s="736"/>
      <c r="K116" s="736"/>
      <c r="L116" s="736"/>
      <c r="M116" s="736"/>
      <c r="N116" s="736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36"/>
      <c r="AA116" s="736"/>
      <c r="AB116" s="736"/>
      <c r="AC116" s="736"/>
      <c r="AD116" s="736"/>
      <c r="AE116" s="736"/>
      <c r="AF116" s="736"/>
      <c r="AG116" s="736"/>
      <c r="AH116" s="736"/>
      <c r="AI116" s="736"/>
      <c r="AJ116" s="736"/>
      <c r="AK116" s="736"/>
      <c r="AL116" s="736"/>
      <c r="AM116" s="736"/>
      <c r="AN116" s="736"/>
    </row>
    <row r="117" spans="1:40" ht="12" customHeight="1">
      <c r="A117" s="740">
        <v>110</v>
      </c>
      <c r="B117" s="737" t="s">
        <v>562</v>
      </c>
      <c r="C117" s="737" t="s">
        <v>577</v>
      </c>
      <c r="D117" s="738">
        <v>40875</v>
      </c>
      <c r="E117" s="739">
        <v>11.1</v>
      </c>
      <c r="F117" s="67">
        <v>7.9</v>
      </c>
      <c r="G117" s="67">
        <v>10.1</v>
      </c>
      <c r="H117" s="736"/>
      <c r="I117" s="736"/>
      <c r="J117" s="736"/>
      <c r="K117" s="736"/>
      <c r="L117" s="736"/>
      <c r="M117" s="736"/>
      <c r="N117" s="736"/>
      <c r="O117" s="736"/>
      <c r="P117" s="736"/>
      <c r="Q117" s="736"/>
      <c r="R117" s="736"/>
      <c r="S117" s="736"/>
      <c r="T117" s="736"/>
      <c r="U117" s="736"/>
      <c r="V117" s="736"/>
      <c r="W117" s="736"/>
      <c r="X117" s="736"/>
      <c r="Y117" s="736"/>
      <c r="Z117" s="736"/>
      <c r="AA117" s="736"/>
      <c r="AB117" s="736"/>
      <c r="AC117" s="736"/>
      <c r="AD117" s="736"/>
      <c r="AE117" s="736"/>
      <c r="AF117" s="736"/>
      <c r="AG117" s="736"/>
      <c r="AH117" s="736"/>
      <c r="AI117" s="736"/>
      <c r="AJ117" s="736"/>
      <c r="AK117" s="736"/>
      <c r="AL117" s="736"/>
      <c r="AM117" s="736"/>
      <c r="AN117" s="736"/>
    </row>
    <row r="118" spans="1:40" ht="12" customHeight="1">
      <c r="A118" s="740">
        <v>111</v>
      </c>
      <c r="B118" s="737" t="s">
        <v>530</v>
      </c>
      <c r="C118" s="737" t="s">
        <v>503</v>
      </c>
      <c r="D118" s="738">
        <v>40890</v>
      </c>
      <c r="E118" s="739">
        <v>52.6</v>
      </c>
      <c r="F118" s="67">
        <v>9</v>
      </c>
      <c r="G118" s="67">
        <v>9.5</v>
      </c>
      <c r="H118" s="736"/>
      <c r="I118" s="736"/>
      <c r="J118" s="736"/>
      <c r="K118" s="736"/>
      <c r="L118" s="736"/>
      <c r="M118" s="736"/>
      <c r="N118" s="736"/>
      <c r="O118" s="736"/>
      <c r="P118" s="736"/>
      <c r="Q118" s="736"/>
      <c r="R118" s="736"/>
      <c r="S118" s="736"/>
      <c r="T118" s="736"/>
      <c r="U118" s="736"/>
      <c r="V118" s="736"/>
      <c r="W118" s="736"/>
      <c r="X118" s="736"/>
      <c r="Y118" s="736"/>
      <c r="Z118" s="736"/>
      <c r="AA118" s="736"/>
      <c r="AB118" s="736"/>
      <c r="AC118" s="736"/>
      <c r="AD118" s="736"/>
      <c r="AE118" s="736"/>
      <c r="AF118" s="736"/>
      <c r="AG118" s="736"/>
      <c r="AH118" s="736"/>
      <c r="AI118" s="736"/>
      <c r="AJ118" s="736"/>
      <c r="AK118" s="736"/>
      <c r="AL118" s="736"/>
      <c r="AM118" s="736"/>
      <c r="AN118" s="736"/>
    </row>
    <row r="119" spans="1:40" ht="12" customHeight="1">
      <c r="A119" s="740">
        <v>112</v>
      </c>
      <c r="B119" s="737" t="s">
        <v>515</v>
      </c>
      <c r="C119" s="737" t="s">
        <v>496</v>
      </c>
      <c r="D119" s="738">
        <v>40893</v>
      </c>
      <c r="E119" s="739">
        <v>3.8</v>
      </c>
      <c r="F119" s="67"/>
      <c r="G119" s="67"/>
      <c r="H119" s="736"/>
      <c r="I119" s="736"/>
      <c r="J119" s="736"/>
      <c r="K119" s="736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736"/>
      <c r="AH119" s="736"/>
      <c r="AI119" s="736"/>
      <c r="AJ119" s="736"/>
      <c r="AK119" s="736"/>
      <c r="AL119" s="736"/>
      <c r="AM119" s="736"/>
      <c r="AN119" s="736"/>
    </row>
    <row r="120" spans="1:40" ht="12" customHeight="1">
      <c r="A120" s="740">
        <v>113</v>
      </c>
      <c r="B120" s="737" t="s">
        <v>562</v>
      </c>
      <c r="C120" s="737" t="s">
        <v>580</v>
      </c>
      <c r="D120" s="738">
        <v>40897</v>
      </c>
      <c r="E120" s="739">
        <v>15.4</v>
      </c>
      <c r="F120" s="67">
        <v>7.4</v>
      </c>
      <c r="G120" s="67">
        <v>10</v>
      </c>
      <c r="H120" s="736"/>
      <c r="I120" s="736"/>
      <c r="J120" s="736"/>
      <c r="K120" s="736"/>
      <c r="L120" s="736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36"/>
      <c r="AA120" s="736"/>
      <c r="AB120" s="736"/>
      <c r="AC120" s="736"/>
      <c r="AD120" s="736"/>
      <c r="AE120" s="736"/>
      <c r="AF120" s="736"/>
      <c r="AG120" s="736"/>
      <c r="AH120" s="736"/>
      <c r="AI120" s="736"/>
      <c r="AJ120" s="736"/>
      <c r="AK120" s="736"/>
      <c r="AL120" s="736"/>
      <c r="AM120" s="736"/>
      <c r="AN120" s="736"/>
    </row>
    <row r="121" spans="1:40" ht="12" customHeight="1">
      <c r="A121" s="740">
        <v>114</v>
      </c>
      <c r="B121" s="737" t="s">
        <v>511</v>
      </c>
      <c r="C121" s="737" t="s">
        <v>581</v>
      </c>
      <c r="D121" s="738">
        <v>40899</v>
      </c>
      <c r="E121" s="739">
        <v>2.9</v>
      </c>
      <c r="F121" s="67">
        <v>8.5</v>
      </c>
      <c r="G121" s="67">
        <v>10.4</v>
      </c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6"/>
      <c r="AG121" s="736"/>
      <c r="AH121" s="736"/>
      <c r="AI121" s="736"/>
      <c r="AJ121" s="736"/>
      <c r="AK121" s="736"/>
      <c r="AL121" s="736"/>
      <c r="AM121" s="736"/>
      <c r="AN121" s="736"/>
    </row>
    <row r="122" spans="1:40" ht="12" customHeight="1">
      <c r="A122" s="740">
        <v>115</v>
      </c>
      <c r="B122" s="737" t="s">
        <v>476</v>
      </c>
      <c r="C122" s="737" t="s">
        <v>521</v>
      </c>
      <c r="D122" s="738">
        <v>40918</v>
      </c>
      <c r="E122" s="739">
        <v>1.9</v>
      </c>
      <c r="F122" s="67">
        <v>7.43</v>
      </c>
      <c r="G122" s="67">
        <v>9.4499999999999993</v>
      </c>
      <c r="H122" s="736"/>
      <c r="I122" s="736"/>
      <c r="J122" s="736"/>
      <c r="K122" s="736"/>
      <c r="L122" s="736"/>
      <c r="M122" s="736"/>
      <c r="N122" s="736"/>
      <c r="O122" s="736"/>
      <c r="P122" s="736"/>
      <c r="Q122" s="736"/>
      <c r="R122" s="736"/>
      <c r="S122" s="736"/>
      <c r="T122" s="736"/>
      <c r="U122" s="736"/>
      <c r="V122" s="736"/>
      <c r="W122" s="736"/>
      <c r="X122" s="736"/>
      <c r="Y122" s="736"/>
      <c r="Z122" s="736"/>
      <c r="AA122" s="736"/>
      <c r="AB122" s="736"/>
      <c r="AC122" s="736"/>
      <c r="AD122" s="736"/>
      <c r="AE122" s="736"/>
      <c r="AF122" s="736"/>
      <c r="AG122" s="736"/>
      <c r="AH122" s="736"/>
      <c r="AI122" s="736"/>
      <c r="AJ122" s="736"/>
      <c r="AK122" s="736"/>
      <c r="AL122" s="736"/>
      <c r="AM122" s="736"/>
      <c r="AN122" s="736"/>
    </row>
    <row r="123" spans="1:40" ht="12" customHeight="1">
      <c r="A123" s="740">
        <v>116</v>
      </c>
      <c r="B123" s="737" t="s">
        <v>476</v>
      </c>
      <c r="C123" s="737" t="s">
        <v>522</v>
      </c>
      <c r="D123" s="738">
        <v>40918</v>
      </c>
      <c r="E123" s="739">
        <v>57.8</v>
      </c>
      <c r="F123" s="67">
        <v>6.94</v>
      </c>
      <c r="G123" s="67">
        <v>9.4499999999999993</v>
      </c>
      <c r="H123" s="736"/>
      <c r="I123" s="736"/>
      <c r="J123" s="736"/>
      <c r="K123" s="736"/>
      <c r="L123" s="736"/>
      <c r="M123" s="736"/>
      <c r="N123" s="736"/>
      <c r="O123" s="736"/>
      <c r="P123" s="736"/>
      <c r="Q123" s="736"/>
      <c r="R123" s="736"/>
      <c r="S123" s="736"/>
      <c r="T123" s="736"/>
      <c r="U123" s="736"/>
      <c r="V123" s="736"/>
      <c r="W123" s="736"/>
      <c r="X123" s="736"/>
      <c r="Y123" s="736"/>
      <c r="Z123" s="736"/>
      <c r="AA123" s="736"/>
      <c r="AB123" s="736"/>
      <c r="AC123" s="736"/>
      <c r="AD123" s="736"/>
      <c r="AE123" s="736"/>
      <c r="AF123" s="736"/>
      <c r="AG123" s="736"/>
      <c r="AH123" s="736"/>
      <c r="AI123" s="736"/>
      <c r="AJ123" s="736"/>
      <c r="AK123" s="736"/>
      <c r="AL123" s="736"/>
      <c r="AM123" s="736"/>
      <c r="AN123" s="736"/>
    </row>
    <row r="124" spans="1:40" ht="12" customHeight="1">
      <c r="A124" s="740">
        <v>117</v>
      </c>
      <c r="B124" s="737" t="s">
        <v>474</v>
      </c>
      <c r="C124" s="737" t="s">
        <v>582</v>
      </c>
      <c r="D124" s="738">
        <v>40931</v>
      </c>
      <c r="E124" s="739">
        <v>11.9</v>
      </c>
      <c r="F124" s="67">
        <v>7.98</v>
      </c>
      <c r="G124" s="67">
        <v>10.199999999999999</v>
      </c>
      <c r="H124" s="736"/>
      <c r="I124" s="736"/>
      <c r="J124" s="736"/>
      <c r="K124" s="736"/>
      <c r="L124" s="736"/>
      <c r="M124" s="736"/>
      <c r="N124" s="736"/>
      <c r="O124" s="736"/>
      <c r="P124" s="736"/>
      <c r="Q124" s="736"/>
      <c r="R124" s="736"/>
      <c r="S124" s="736"/>
      <c r="T124" s="736"/>
      <c r="U124" s="736"/>
      <c r="V124" s="736"/>
      <c r="W124" s="736"/>
      <c r="X124" s="736"/>
      <c r="Y124" s="736"/>
      <c r="Z124" s="736"/>
      <c r="AA124" s="736"/>
      <c r="AB124" s="736"/>
      <c r="AC124" s="736"/>
      <c r="AD124" s="736"/>
      <c r="AE124" s="736"/>
      <c r="AF124" s="736"/>
      <c r="AG124" s="736"/>
      <c r="AH124" s="736"/>
      <c r="AI124" s="736"/>
      <c r="AJ124" s="736"/>
      <c r="AK124" s="736"/>
      <c r="AL124" s="736"/>
      <c r="AM124" s="736"/>
      <c r="AN124" s="736"/>
    </row>
    <row r="125" spans="1:40" ht="12" customHeight="1">
      <c r="A125" s="740">
        <v>118</v>
      </c>
      <c r="B125" s="737" t="s">
        <v>583</v>
      </c>
      <c r="C125" s="737" t="s">
        <v>584</v>
      </c>
      <c r="D125" s="738">
        <v>40939</v>
      </c>
      <c r="E125" s="739">
        <v>21.5</v>
      </c>
      <c r="F125" s="67">
        <v>7.48</v>
      </c>
      <c r="G125" s="67">
        <v>10</v>
      </c>
      <c r="H125" s="736"/>
      <c r="I125" s="736"/>
      <c r="J125" s="736"/>
      <c r="K125" s="736"/>
      <c r="L125" s="736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36"/>
      <c r="AA125" s="736"/>
      <c r="AB125" s="736"/>
      <c r="AC125" s="736"/>
      <c r="AD125" s="736"/>
      <c r="AE125" s="736"/>
      <c r="AF125" s="736"/>
      <c r="AG125" s="736"/>
      <c r="AH125" s="736"/>
      <c r="AI125" s="736"/>
      <c r="AJ125" s="736"/>
      <c r="AK125" s="736"/>
      <c r="AL125" s="736"/>
      <c r="AM125" s="736"/>
      <c r="AN125" s="736"/>
    </row>
    <row r="126" spans="1:40" ht="12" customHeight="1">
      <c r="A126" s="740">
        <v>119</v>
      </c>
      <c r="B126" s="737" t="s">
        <v>476</v>
      </c>
      <c r="C126" s="737" t="s">
        <v>535</v>
      </c>
      <c r="D126" s="738">
        <v>40957</v>
      </c>
      <c r="E126" s="739">
        <v>21.5</v>
      </c>
      <c r="F126" s="67">
        <v>8.33</v>
      </c>
      <c r="G126" s="67">
        <v>9.06</v>
      </c>
      <c r="H126" s="736"/>
      <c r="I126" s="736"/>
      <c r="J126" s="736"/>
      <c r="K126" s="736"/>
      <c r="L126" s="736"/>
      <c r="M126" s="736"/>
      <c r="N126" s="736"/>
      <c r="O126" s="736"/>
      <c r="P126" s="736"/>
      <c r="Q126" s="736"/>
      <c r="R126" s="736"/>
      <c r="S126" s="736"/>
      <c r="T126" s="736"/>
      <c r="U126" s="736"/>
      <c r="V126" s="736"/>
      <c r="W126" s="736"/>
      <c r="X126" s="736"/>
      <c r="Y126" s="736"/>
      <c r="Z126" s="736"/>
      <c r="AA126" s="736"/>
      <c r="AB126" s="736"/>
      <c r="AC126" s="736"/>
      <c r="AD126" s="736"/>
      <c r="AE126" s="736"/>
      <c r="AF126" s="736"/>
      <c r="AG126" s="736"/>
      <c r="AH126" s="736"/>
      <c r="AI126" s="736"/>
      <c r="AJ126" s="736"/>
      <c r="AK126" s="736"/>
      <c r="AL126" s="736"/>
      <c r="AM126" s="736"/>
      <c r="AN126" s="736"/>
    </row>
    <row r="127" spans="1:40" ht="12" customHeight="1">
      <c r="A127" s="740">
        <v>120</v>
      </c>
      <c r="B127" s="737" t="s">
        <v>530</v>
      </c>
      <c r="C127" s="737" t="s">
        <v>531</v>
      </c>
      <c r="D127" s="738">
        <v>41023</v>
      </c>
      <c r="E127" s="739">
        <v>2.7</v>
      </c>
      <c r="F127" s="67">
        <v>8.27</v>
      </c>
      <c r="G127" s="67">
        <v>9.75</v>
      </c>
      <c r="H127" s="736"/>
      <c r="I127" s="736"/>
      <c r="J127" s="736"/>
      <c r="K127" s="736"/>
      <c r="L127" s="736"/>
      <c r="M127" s="736"/>
      <c r="N127" s="736"/>
      <c r="O127" s="736"/>
      <c r="P127" s="736"/>
      <c r="Q127" s="736"/>
      <c r="R127" s="736"/>
      <c r="S127" s="736"/>
      <c r="T127" s="736"/>
      <c r="U127" s="736"/>
      <c r="V127" s="736"/>
      <c r="W127" s="736"/>
      <c r="X127" s="736"/>
      <c r="Y127" s="736"/>
      <c r="Z127" s="736"/>
      <c r="AA127" s="736"/>
      <c r="AB127" s="736"/>
      <c r="AC127" s="736"/>
      <c r="AD127" s="736"/>
      <c r="AE127" s="736"/>
      <c r="AF127" s="736"/>
      <c r="AG127" s="736"/>
      <c r="AH127" s="736"/>
      <c r="AI127" s="736"/>
      <c r="AJ127" s="736"/>
      <c r="AK127" s="736"/>
      <c r="AL127" s="736"/>
      <c r="AM127" s="736"/>
      <c r="AN127" s="736"/>
    </row>
    <row r="128" spans="1:40" ht="12" customHeight="1">
      <c r="A128" s="740">
        <v>121</v>
      </c>
      <c r="B128" s="737" t="s">
        <v>485</v>
      </c>
      <c r="C128" s="737" t="s">
        <v>578</v>
      </c>
      <c r="D128" s="738">
        <v>41023</v>
      </c>
      <c r="E128" s="739">
        <v>2.7</v>
      </c>
      <c r="F128" s="67"/>
      <c r="G128" s="67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6"/>
      <c r="Z128" s="736"/>
      <c r="AA128" s="736"/>
      <c r="AB128" s="736"/>
      <c r="AC128" s="736"/>
      <c r="AD128" s="736"/>
      <c r="AE128" s="736"/>
      <c r="AF128" s="736"/>
      <c r="AG128" s="736"/>
      <c r="AH128" s="736"/>
      <c r="AI128" s="736"/>
      <c r="AJ128" s="736"/>
      <c r="AK128" s="736"/>
      <c r="AL128" s="736"/>
      <c r="AM128" s="736"/>
      <c r="AN128" s="736"/>
    </row>
    <row r="129" spans="1:40" ht="12" customHeight="1">
      <c r="A129" s="740">
        <v>122</v>
      </c>
      <c r="B129" s="737" t="s">
        <v>515</v>
      </c>
      <c r="C129" s="737" t="s">
        <v>532</v>
      </c>
      <c r="D129" s="738">
        <v>41036</v>
      </c>
      <c r="E129" s="739">
        <v>13.4</v>
      </c>
      <c r="F129" s="67">
        <v>7.8</v>
      </c>
      <c r="G129" s="67">
        <v>9.8000000000000007</v>
      </c>
      <c r="H129" s="736"/>
      <c r="I129" s="736"/>
      <c r="J129" s="736"/>
      <c r="K129" s="736"/>
      <c r="L129" s="736"/>
      <c r="M129" s="736"/>
      <c r="N129" s="736"/>
      <c r="O129" s="736"/>
      <c r="P129" s="736"/>
      <c r="Q129" s="736"/>
      <c r="R129" s="736"/>
      <c r="S129" s="736"/>
      <c r="T129" s="736"/>
      <c r="U129" s="736"/>
      <c r="V129" s="736"/>
      <c r="W129" s="736"/>
      <c r="X129" s="736"/>
      <c r="Y129" s="736"/>
      <c r="Z129" s="736"/>
      <c r="AA129" s="736"/>
      <c r="AB129" s="736"/>
      <c r="AC129" s="736"/>
      <c r="AD129" s="736"/>
      <c r="AE129" s="736"/>
      <c r="AF129" s="736"/>
      <c r="AG129" s="736"/>
      <c r="AH129" s="736"/>
      <c r="AI129" s="736"/>
      <c r="AJ129" s="736"/>
      <c r="AK129" s="736"/>
      <c r="AL129" s="736"/>
      <c r="AM129" s="736"/>
      <c r="AN129" s="736"/>
    </row>
    <row r="130" spans="1:40" ht="12" customHeight="1">
      <c r="A130" s="740">
        <v>123</v>
      </c>
      <c r="B130" s="737" t="s">
        <v>525</v>
      </c>
      <c r="C130" s="737" t="s">
        <v>585</v>
      </c>
      <c r="D130" s="738">
        <v>41051</v>
      </c>
      <c r="E130" s="739">
        <v>5</v>
      </c>
      <c r="F130" s="67">
        <v>7.67</v>
      </c>
      <c r="G130" s="67">
        <v>9.6</v>
      </c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736"/>
      <c r="AB130" s="736"/>
      <c r="AC130" s="736"/>
      <c r="AD130" s="736"/>
      <c r="AE130" s="736"/>
      <c r="AF130" s="736"/>
      <c r="AG130" s="736"/>
      <c r="AH130" s="736"/>
      <c r="AI130" s="736"/>
      <c r="AJ130" s="736"/>
      <c r="AK130" s="736"/>
      <c r="AL130" s="736"/>
      <c r="AM130" s="736"/>
      <c r="AN130" s="736"/>
    </row>
    <row r="131" spans="1:40">
      <c r="A131" s="740">
        <v>124</v>
      </c>
      <c r="B131" s="737" t="s">
        <v>490</v>
      </c>
      <c r="C131" s="737" t="s">
        <v>491</v>
      </c>
      <c r="D131" s="738">
        <v>41053</v>
      </c>
      <c r="E131" s="739">
        <v>11</v>
      </c>
      <c r="F131" s="67"/>
      <c r="G131" s="67">
        <v>9.6999999999999993</v>
      </c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736"/>
      <c r="AB131" s="736"/>
      <c r="AC131" s="736"/>
      <c r="AD131" s="736"/>
      <c r="AE131" s="736"/>
      <c r="AF131" s="736"/>
      <c r="AG131" s="736"/>
      <c r="AH131" s="736"/>
      <c r="AI131" s="736"/>
      <c r="AJ131" s="736"/>
      <c r="AK131" s="736"/>
      <c r="AL131" s="736"/>
      <c r="AM131" s="736"/>
      <c r="AN131" s="736"/>
    </row>
    <row r="132" spans="1:40">
      <c r="A132" s="740">
        <v>125</v>
      </c>
      <c r="B132" s="737" t="s">
        <v>519</v>
      </c>
      <c r="C132" s="737" t="s">
        <v>536</v>
      </c>
      <c r="D132" s="738">
        <v>41067</v>
      </c>
      <c r="E132" s="739">
        <v>16</v>
      </c>
      <c r="F132" s="67"/>
      <c r="G132" s="67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736"/>
      <c r="AA132" s="736"/>
      <c r="AB132" s="736"/>
      <c r="AC132" s="736"/>
      <c r="AD132" s="736"/>
      <c r="AE132" s="736"/>
      <c r="AF132" s="736"/>
      <c r="AG132" s="736"/>
      <c r="AH132" s="736"/>
      <c r="AI132" s="736"/>
      <c r="AJ132" s="736"/>
      <c r="AK132" s="736"/>
      <c r="AL132" s="736"/>
      <c r="AM132" s="736"/>
      <c r="AN132" s="736"/>
    </row>
    <row r="133" spans="1:40">
      <c r="A133" s="740">
        <v>126</v>
      </c>
      <c r="B133" s="737" t="s">
        <v>565</v>
      </c>
      <c r="C133" s="737" t="s">
        <v>586</v>
      </c>
      <c r="D133" s="738">
        <v>41078</v>
      </c>
      <c r="E133" s="739">
        <v>1.6</v>
      </c>
      <c r="F133" s="67">
        <v>7.99</v>
      </c>
      <c r="G133" s="67">
        <v>9.6</v>
      </c>
      <c r="H133" s="736"/>
      <c r="I133" s="736"/>
      <c r="J133" s="736"/>
      <c r="K133" s="736"/>
      <c r="L133" s="736"/>
      <c r="M133" s="736"/>
      <c r="N133" s="736"/>
      <c r="O133" s="736"/>
      <c r="P133" s="736"/>
      <c r="Q133" s="736"/>
      <c r="R133" s="736"/>
      <c r="S133" s="736"/>
      <c r="T133" s="736"/>
      <c r="U133" s="736"/>
      <c r="V133" s="736"/>
      <c r="W133" s="736"/>
      <c r="X133" s="736"/>
      <c r="Y133" s="736"/>
      <c r="Z133" s="736"/>
      <c r="AA133" s="736"/>
      <c r="AB133" s="736"/>
      <c r="AC133" s="736"/>
      <c r="AD133" s="736"/>
      <c r="AE133" s="736"/>
      <c r="AF133" s="736"/>
      <c r="AG133" s="736"/>
      <c r="AH133" s="736"/>
      <c r="AI133" s="736"/>
      <c r="AJ133" s="736"/>
      <c r="AK133" s="736"/>
      <c r="AL133" s="736"/>
      <c r="AM133" s="736"/>
      <c r="AN133" s="736"/>
    </row>
    <row r="134" spans="1:40">
      <c r="A134" s="740">
        <v>127</v>
      </c>
      <c r="B134" s="737" t="s">
        <v>562</v>
      </c>
      <c r="C134" s="737" t="s">
        <v>579</v>
      </c>
      <c r="D134" s="738">
        <v>41092</v>
      </c>
      <c r="E134" s="739">
        <v>20</v>
      </c>
      <c r="F134" s="67">
        <v>8.26</v>
      </c>
      <c r="G134" s="67">
        <v>9.75</v>
      </c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  <c r="S134" s="736"/>
      <c r="T134" s="736"/>
      <c r="U134" s="736"/>
      <c r="V134" s="736"/>
      <c r="W134" s="736"/>
      <c r="X134" s="736"/>
      <c r="Y134" s="736"/>
      <c r="Z134" s="736"/>
      <c r="AA134" s="736"/>
      <c r="AB134" s="736"/>
      <c r="AC134" s="736"/>
      <c r="AD134" s="736"/>
      <c r="AE134" s="736"/>
      <c r="AF134" s="736"/>
      <c r="AG134" s="736"/>
      <c r="AH134" s="736"/>
      <c r="AI134" s="736"/>
      <c r="AJ134" s="736"/>
      <c r="AK134" s="736"/>
      <c r="AL134" s="736"/>
      <c r="AM134" s="736"/>
      <c r="AN134" s="736"/>
    </row>
    <row r="135" spans="1:40">
      <c r="A135" s="740">
        <v>128</v>
      </c>
      <c r="B135" s="737" t="s">
        <v>507</v>
      </c>
      <c r="C135" s="737" t="s">
        <v>508</v>
      </c>
      <c r="D135" s="738">
        <v>41109</v>
      </c>
      <c r="E135" s="739">
        <v>9.5</v>
      </c>
      <c r="F135" s="67"/>
      <c r="G135" s="67"/>
      <c r="H135" s="736"/>
      <c r="I135" s="736"/>
      <c r="J135" s="736"/>
      <c r="K135" s="736"/>
      <c r="L135" s="736"/>
      <c r="M135" s="736"/>
      <c r="N135" s="736"/>
      <c r="O135" s="736"/>
      <c r="P135" s="736"/>
      <c r="Q135" s="736"/>
      <c r="R135" s="736"/>
      <c r="S135" s="736"/>
      <c r="T135" s="736"/>
      <c r="U135" s="736"/>
      <c r="V135" s="736"/>
      <c r="W135" s="736"/>
      <c r="X135" s="736"/>
      <c r="Y135" s="736"/>
      <c r="Z135" s="736"/>
      <c r="AA135" s="736"/>
      <c r="AB135" s="736"/>
      <c r="AC135" s="736"/>
      <c r="AD135" s="736"/>
      <c r="AE135" s="736"/>
      <c r="AF135" s="736"/>
      <c r="AG135" s="736"/>
      <c r="AH135" s="736"/>
      <c r="AI135" s="736"/>
      <c r="AJ135" s="736"/>
      <c r="AK135" s="736"/>
      <c r="AL135" s="736"/>
      <c r="AM135" s="736"/>
      <c r="AN135" s="736"/>
    </row>
    <row r="136" spans="1:40">
      <c r="A136" s="740">
        <v>129</v>
      </c>
      <c r="B136" s="737" t="s">
        <v>540</v>
      </c>
      <c r="C136" s="737" t="s">
        <v>475</v>
      </c>
      <c r="D136" s="738">
        <v>41143</v>
      </c>
      <c r="E136" s="739">
        <v>2.8</v>
      </c>
      <c r="F136" s="67"/>
      <c r="G136" s="67"/>
      <c r="H136" s="736"/>
      <c r="I136" s="736"/>
      <c r="J136" s="736"/>
      <c r="K136" s="736"/>
      <c r="L136" s="736"/>
      <c r="M136" s="736"/>
      <c r="N136" s="736"/>
      <c r="O136" s="736"/>
      <c r="P136" s="736"/>
      <c r="Q136" s="736"/>
      <c r="R136" s="736"/>
      <c r="S136" s="736"/>
      <c r="T136" s="736"/>
      <c r="U136" s="736"/>
      <c r="V136" s="736"/>
      <c r="W136" s="736"/>
      <c r="X136" s="736"/>
      <c r="Y136" s="736"/>
      <c r="Z136" s="736"/>
      <c r="AA136" s="736"/>
      <c r="AB136" s="736"/>
      <c r="AC136" s="736"/>
      <c r="AD136" s="736"/>
      <c r="AE136" s="736"/>
      <c r="AF136" s="736"/>
      <c r="AG136" s="736"/>
      <c r="AH136" s="736"/>
      <c r="AI136" s="736"/>
      <c r="AJ136" s="736"/>
      <c r="AK136" s="736"/>
      <c r="AL136" s="736"/>
      <c r="AM136" s="736"/>
      <c r="AN136" s="736"/>
    </row>
    <row r="137" spans="1:40">
      <c r="A137" s="740">
        <v>130</v>
      </c>
      <c r="B137" s="737" t="s">
        <v>472</v>
      </c>
      <c r="C137" s="737" t="s">
        <v>571</v>
      </c>
      <c r="D137" s="738">
        <v>41179</v>
      </c>
      <c r="E137" s="739">
        <v>15.4</v>
      </c>
      <c r="F137" s="67"/>
      <c r="G137" s="67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736"/>
      <c r="AB137" s="736"/>
      <c r="AC137" s="736"/>
      <c r="AD137" s="736"/>
      <c r="AE137" s="736"/>
      <c r="AF137" s="736"/>
      <c r="AG137" s="736"/>
      <c r="AH137" s="736"/>
      <c r="AI137" s="736"/>
      <c r="AJ137" s="736"/>
      <c r="AK137" s="736"/>
      <c r="AL137" s="736"/>
      <c r="AM137" s="736"/>
      <c r="AN137" s="736"/>
    </row>
    <row r="138" spans="1:40">
      <c r="A138" s="740">
        <v>131</v>
      </c>
      <c r="B138" s="737" t="s">
        <v>523</v>
      </c>
      <c r="C138" s="737" t="s">
        <v>475</v>
      </c>
      <c r="D138" s="738">
        <v>41184</v>
      </c>
      <c r="E138" s="739">
        <v>6.6</v>
      </c>
      <c r="F138" s="67"/>
      <c r="G138" s="67"/>
      <c r="H138" s="736"/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6"/>
      <c r="Z138" s="736"/>
      <c r="AA138" s="736"/>
      <c r="AB138" s="736"/>
      <c r="AC138" s="736"/>
      <c r="AD138" s="736"/>
      <c r="AE138" s="736"/>
      <c r="AF138" s="736"/>
      <c r="AG138" s="736"/>
      <c r="AH138" s="736"/>
      <c r="AI138" s="736"/>
      <c r="AJ138" s="736"/>
      <c r="AK138" s="736"/>
      <c r="AL138" s="736"/>
      <c r="AM138" s="736"/>
      <c r="AN138" s="736"/>
    </row>
    <row r="139" spans="1:40">
      <c r="A139" s="740">
        <v>132</v>
      </c>
      <c r="B139" s="737" t="s">
        <v>587</v>
      </c>
      <c r="C139" s="737" t="s">
        <v>588</v>
      </c>
      <c r="D139" s="738">
        <v>41193</v>
      </c>
      <c r="E139" s="739">
        <v>7.5</v>
      </c>
      <c r="F139" s="67">
        <v>8.34</v>
      </c>
      <c r="G139" s="67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  <c r="S139" s="736"/>
      <c r="T139" s="736"/>
      <c r="U139" s="736"/>
      <c r="V139" s="736"/>
      <c r="W139" s="736"/>
      <c r="X139" s="736"/>
      <c r="Y139" s="736"/>
      <c r="Z139" s="736"/>
      <c r="AA139" s="736"/>
      <c r="AB139" s="736"/>
      <c r="AC139" s="736"/>
      <c r="AD139" s="736"/>
      <c r="AE139" s="736"/>
      <c r="AF139" s="736"/>
      <c r="AG139" s="736"/>
      <c r="AH139" s="736"/>
      <c r="AI139" s="736"/>
      <c r="AJ139" s="736"/>
      <c r="AK139" s="736"/>
      <c r="AL139" s="736"/>
      <c r="AM139" s="736"/>
      <c r="AN139" s="736"/>
    </row>
    <row r="140" spans="1:40">
      <c r="A140" s="740">
        <v>133</v>
      </c>
      <c r="B140" s="737" t="s">
        <v>511</v>
      </c>
      <c r="C140" s="737" t="s">
        <v>567</v>
      </c>
      <c r="D140" s="738">
        <v>41206</v>
      </c>
      <c r="E140" s="739">
        <v>-1</v>
      </c>
      <c r="F140" s="67"/>
      <c r="G140" s="67">
        <v>10.3</v>
      </c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  <c r="AC140" s="736"/>
      <c r="AD140" s="736"/>
      <c r="AE140" s="736"/>
      <c r="AF140" s="736"/>
      <c r="AG140" s="736"/>
      <c r="AH140" s="736"/>
      <c r="AI140" s="736"/>
      <c r="AJ140" s="736"/>
      <c r="AK140" s="736"/>
      <c r="AL140" s="736"/>
      <c r="AM140" s="736"/>
      <c r="AN140" s="736"/>
    </row>
    <row r="141" spans="1:40">
      <c r="A141" s="740">
        <v>134</v>
      </c>
      <c r="B141" s="737" t="s">
        <v>501</v>
      </c>
      <c r="C141" s="737" t="s">
        <v>154</v>
      </c>
      <c r="D141" s="738">
        <v>41208</v>
      </c>
      <c r="E141" s="739">
        <v>8.6999999999999993</v>
      </c>
      <c r="F141" s="67">
        <v>7.78</v>
      </c>
      <c r="G141" s="67">
        <v>9.5</v>
      </c>
      <c r="H141" s="736"/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  <c r="Z141" s="736"/>
      <c r="AA141" s="736"/>
      <c r="AB141" s="736"/>
      <c r="AC141" s="736"/>
      <c r="AD141" s="736"/>
      <c r="AE141" s="736"/>
      <c r="AF141" s="736"/>
      <c r="AG141" s="736"/>
      <c r="AH141" s="736"/>
      <c r="AI141" s="736"/>
      <c r="AJ141" s="736"/>
      <c r="AK141" s="736"/>
      <c r="AL141" s="736"/>
      <c r="AM141" s="736"/>
      <c r="AN141" s="736"/>
    </row>
    <row r="142" spans="1:40">
      <c r="A142" s="740">
        <v>135</v>
      </c>
      <c r="B142" s="737" t="s">
        <v>502</v>
      </c>
      <c r="C142" s="737" t="s">
        <v>503</v>
      </c>
      <c r="D142" s="738">
        <v>41213</v>
      </c>
      <c r="E142" s="739">
        <v>5.8</v>
      </c>
      <c r="F142" s="67">
        <v>6.49</v>
      </c>
      <c r="G142" s="67">
        <v>9.85</v>
      </c>
      <c r="H142" s="736"/>
      <c r="I142" s="736"/>
      <c r="J142" s="736"/>
      <c r="K142" s="736"/>
      <c r="L142" s="736"/>
      <c r="M142" s="736"/>
      <c r="N142" s="736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6"/>
      <c r="Z142" s="736"/>
      <c r="AA142" s="736"/>
      <c r="AB142" s="736"/>
      <c r="AC142" s="736"/>
      <c r="AD142" s="736"/>
      <c r="AE142" s="736"/>
      <c r="AF142" s="736"/>
      <c r="AG142" s="736"/>
      <c r="AH142" s="736"/>
      <c r="AI142" s="736"/>
      <c r="AJ142" s="736"/>
      <c r="AK142" s="736"/>
      <c r="AL142" s="736"/>
      <c r="AM142" s="736"/>
      <c r="AN142" s="736"/>
    </row>
    <row r="143" spans="1:40">
      <c r="A143" s="740">
        <v>136</v>
      </c>
      <c r="B143" s="737" t="s">
        <v>502</v>
      </c>
      <c r="C143" s="737" t="s">
        <v>503</v>
      </c>
      <c r="D143" s="738">
        <v>41213</v>
      </c>
      <c r="E143" s="739">
        <v>1.2</v>
      </c>
      <c r="F143" s="67">
        <v>8.01</v>
      </c>
      <c r="G143" s="67">
        <v>9.1999999999999993</v>
      </c>
      <c r="H143" s="736"/>
      <c r="I143" s="736"/>
      <c r="J143" s="736"/>
      <c r="K143" s="736"/>
      <c r="L143" s="736"/>
      <c r="M143" s="736"/>
      <c r="N143" s="736"/>
      <c r="O143" s="736"/>
      <c r="P143" s="736"/>
      <c r="Q143" s="736"/>
      <c r="R143" s="736"/>
      <c r="S143" s="736"/>
      <c r="T143" s="736"/>
      <c r="U143" s="736"/>
      <c r="V143" s="736"/>
      <c r="W143" s="736"/>
      <c r="X143" s="736"/>
      <c r="Y143" s="736"/>
      <c r="Z143" s="736"/>
      <c r="AA143" s="736"/>
      <c r="AB143" s="736"/>
      <c r="AC143" s="736"/>
      <c r="AD143" s="736"/>
      <c r="AE143" s="736"/>
      <c r="AF143" s="736"/>
      <c r="AG143" s="736"/>
      <c r="AH143" s="736"/>
      <c r="AI143" s="736"/>
      <c r="AJ143" s="736"/>
      <c r="AK143" s="736"/>
      <c r="AL143" s="736"/>
      <c r="AM143" s="736"/>
      <c r="AN143" s="736"/>
    </row>
    <row r="144" spans="1:40">
      <c r="A144" s="740">
        <v>137</v>
      </c>
      <c r="B144" s="737" t="s">
        <v>505</v>
      </c>
      <c r="C144" s="737" t="s">
        <v>527</v>
      </c>
      <c r="D144" s="738">
        <v>41213</v>
      </c>
      <c r="E144" s="739">
        <v>6.3</v>
      </c>
      <c r="F144" s="67">
        <v>8.94</v>
      </c>
      <c r="G144" s="67">
        <v>9.9</v>
      </c>
      <c r="H144" s="736"/>
      <c r="I144" s="736"/>
      <c r="J144" s="736"/>
      <c r="K144" s="736"/>
      <c r="L144" s="736"/>
      <c r="M144" s="736"/>
      <c r="N144" s="736"/>
      <c r="O144" s="736"/>
      <c r="P144" s="736"/>
      <c r="Q144" s="736"/>
      <c r="R144" s="736"/>
      <c r="S144" s="736"/>
      <c r="T144" s="736"/>
      <c r="U144" s="736"/>
      <c r="V144" s="736"/>
      <c r="W144" s="736"/>
      <c r="X144" s="736"/>
      <c r="Y144" s="736"/>
      <c r="Z144" s="736"/>
      <c r="AA144" s="736"/>
      <c r="AB144" s="736"/>
      <c r="AC144" s="736"/>
      <c r="AD144" s="736"/>
      <c r="AE144" s="736"/>
      <c r="AF144" s="736"/>
      <c r="AG144" s="736"/>
      <c r="AH144" s="736"/>
      <c r="AI144" s="736"/>
      <c r="AJ144" s="736"/>
      <c r="AK144" s="736"/>
      <c r="AL144" s="736"/>
      <c r="AM144" s="736"/>
      <c r="AN144" s="736"/>
    </row>
    <row r="145" spans="1:40">
      <c r="A145" s="740">
        <v>138</v>
      </c>
      <c r="B145" s="737" t="s">
        <v>468</v>
      </c>
      <c r="C145" s="737" t="s">
        <v>589</v>
      </c>
      <c r="D145" s="738">
        <v>41214</v>
      </c>
      <c r="E145" s="739">
        <v>7.9</v>
      </c>
      <c r="F145" s="67">
        <v>7.84</v>
      </c>
      <c r="G145" s="67">
        <v>9.4499999999999993</v>
      </c>
      <c r="H145" s="736"/>
      <c r="I145" s="736"/>
      <c r="J145" s="736"/>
      <c r="K145" s="736"/>
      <c r="L145" s="736"/>
      <c r="M145" s="736"/>
      <c r="N145" s="736"/>
      <c r="O145" s="736"/>
      <c r="P145" s="736"/>
      <c r="Q145" s="736"/>
      <c r="R145" s="736"/>
      <c r="S145" s="736"/>
      <c r="T145" s="736"/>
      <c r="U145" s="736"/>
      <c r="V145" s="736"/>
      <c r="W145" s="736"/>
      <c r="X145" s="736"/>
      <c r="Y145" s="736"/>
      <c r="Z145" s="736"/>
      <c r="AA145" s="736"/>
      <c r="AB145" s="736"/>
      <c r="AC145" s="736"/>
      <c r="AD145" s="736"/>
      <c r="AE145" s="736"/>
      <c r="AF145" s="736"/>
      <c r="AG145" s="736"/>
      <c r="AH145" s="736"/>
      <c r="AI145" s="736"/>
      <c r="AJ145" s="736"/>
      <c r="AK145" s="736"/>
      <c r="AL145" s="736"/>
      <c r="AM145" s="736"/>
      <c r="AN145" s="736"/>
    </row>
    <row r="146" spans="1:40">
      <c r="A146" s="740">
        <v>139</v>
      </c>
      <c r="B146" s="737" t="s">
        <v>474</v>
      </c>
      <c r="C146" s="737" t="s">
        <v>475</v>
      </c>
      <c r="D146" s="738">
        <v>41221</v>
      </c>
      <c r="E146" s="739">
        <v>7.1</v>
      </c>
      <c r="F146" s="67">
        <v>8.2799999999999994</v>
      </c>
      <c r="G146" s="67">
        <v>10.1</v>
      </c>
      <c r="H146" s="736"/>
      <c r="I146" s="736"/>
      <c r="J146" s="736"/>
      <c r="K146" s="736"/>
      <c r="L146" s="736"/>
      <c r="M146" s="736"/>
      <c r="N146" s="736"/>
      <c r="O146" s="736"/>
      <c r="P146" s="736"/>
      <c r="Q146" s="736"/>
      <c r="R146" s="736"/>
      <c r="S146" s="736"/>
      <c r="T146" s="736"/>
      <c r="U146" s="736"/>
      <c r="V146" s="736"/>
      <c r="W146" s="736"/>
      <c r="X146" s="736"/>
      <c r="Y146" s="736"/>
      <c r="Z146" s="736"/>
      <c r="AA146" s="736"/>
      <c r="AB146" s="736"/>
      <c r="AC146" s="736"/>
      <c r="AD146" s="736"/>
      <c r="AE146" s="736"/>
      <c r="AF146" s="736"/>
      <c r="AG146" s="736"/>
      <c r="AH146" s="736"/>
      <c r="AI146" s="736"/>
      <c r="AJ146" s="736"/>
      <c r="AK146" s="736"/>
      <c r="AL146" s="736"/>
      <c r="AM146" s="736"/>
      <c r="AN146" s="736"/>
    </row>
    <row r="147" spans="1:40">
      <c r="A147" s="740">
        <v>140</v>
      </c>
      <c r="B147" s="737" t="s">
        <v>511</v>
      </c>
      <c r="C147" s="737" t="s">
        <v>516</v>
      </c>
      <c r="D147" s="738">
        <v>41222</v>
      </c>
      <c r="E147" s="739">
        <v>1.6</v>
      </c>
      <c r="F147" s="67">
        <v>8.44</v>
      </c>
      <c r="G147" s="67">
        <v>10.3</v>
      </c>
      <c r="H147" s="736"/>
      <c r="I147" s="736"/>
      <c r="J147" s="736"/>
      <c r="K147" s="736"/>
      <c r="L147" s="736"/>
      <c r="M147" s="736"/>
      <c r="N147" s="736"/>
      <c r="O147" s="736"/>
      <c r="P147" s="736"/>
      <c r="Q147" s="736"/>
      <c r="R147" s="736"/>
      <c r="S147" s="736"/>
      <c r="T147" s="736"/>
      <c r="U147" s="736"/>
      <c r="V147" s="736"/>
      <c r="W147" s="736"/>
      <c r="X147" s="736"/>
      <c r="Y147" s="736"/>
      <c r="Z147" s="736"/>
      <c r="AA147" s="736"/>
      <c r="AB147" s="736"/>
      <c r="AC147" s="736"/>
      <c r="AD147" s="736"/>
      <c r="AE147" s="736"/>
      <c r="AF147" s="736"/>
      <c r="AG147" s="736"/>
      <c r="AH147" s="736"/>
      <c r="AI147" s="736"/>
      <c r="AJ147" s="736"/>
      <c r="AK147" s="736"/>
      <c r="AL147" s="736"/>
      <c r="AM147" s="736"/>
      <c r="AN147" s="736"/>
    </row>
    <row r="148" spans="1:40">
      <c r="A148" s="740">
        <v>141</v>
      </c>
      <c r="B148" s="737" t="s">
        <v>487</v>
      </c>
      <c r="C148" s="737" t="s">
        <v>590</v>
      </c>
      <c r="D148" s="738">
        <v>41239</v>
      </c>
      <c r="E148" s="739">
        <v>10.5</v>
      </c>
      <c r="F148" s="67">
        <v>7.76</v>
      </c>
      <c r="G148" s="67">
        <v>10</v>
      </c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  <c r="S148" s="736"/>
      <c r="T148" s="736"/>
      <c r="U148" s="736"/>
      <c r="V148" s="736"/>
      <c r="W148" s="736"/>
      <c r="X148" s="736"/>
      <c r="Y148" s="736"/>
      <c r="Z148" s="736"/>
      <c r="AA148" s="736"/>
      <c r="AB148" s="736"/>
      <c r="AC148" s="736"/>
      <c r="AD148" s="736"/>
      <c r="AE148" s="736"/>
      <c r="AF148" s="736"/>
      <c r="AG148" s="736"/>
      <c r="AH148" s="736"/>
      <c r="AI148" s="736"/>
      <c r="AJ148" s="736"/>
      <c r="AK148" s="736"/>
      <c r="AL148" s="736"/>
      <c r="AM148" s="736"/>
      <c r="AN148" s="736"/>
    </row>
    <row r="149" spans="1:40">
      <c r="A149" s="740">
        <v>142</v>
      </c>
      <c r="B149" s="737" t="s">
        <v>511</v>
      </c>
      <c r="C149" s="737" t="s">
        <v>512</v>
      </c>
      <c r="D149" s="738">
        <v>41241</v>
      </c>
      <c r="E149" s="739">
        <v>-8.1</v>
      </c>
      <c r="F149" s="67">
        <v>9.15</v>
      </c>
      <c r="G149" s="67">
        <v>10.4</v>
      </c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736"/>
      <c r="W149" s="736"/>
      <c r="X149" s="736"/>
      <c r="Y149" s="736"/>
      <c r="Z149" s="736"/>
      <c r="AA149" s="736"/>
      <c r="AB149" s="736"/>
      <c r="AC149" s="736"/>
      <c r="AD149" s="736"/>
      <c r="AE149" s="736"/>
      <c r="AF149" s="736"/>
      <c r="AG149" s="736"/>
      <c r="AH149" s="736"/>
      <c r="AI149" s="736"/>
      <c r="AJ149" s="736"/>
      <c r="AK149" s="736"/>
      <c r="AL149" s="736"/>
      <c r="AM149" s="736"/>
      <c r="AN149" s="736"/>
    </row>
    <row r="150" spans="1:40">
      <c r="A150" s="740">
        <v>143</v>
      </c>
      <c r="B150" s="737" t="s">
        <v>511</v>
      </c>
      <c r="C150" s="737" t="s">
        <v>513</v>
      </c>
      <c r="D150" s="738">
        <v>41241</v>
      </c>
      <c r="E150" s="739">
        <v>-34.299999999999997</v>
      </c>
      <c r="F150" s="67">
        <v>8.9600000000000009</v>
      </c>
      <c r="G150" s="67">
        <v>10.5</v>
      </c>
      <c r="H150" s="736"/>
      <c r="I150" s="736"/>
      <c r="J150" s="736"/>
      <c r="K150" s="736"/>
      <c r="L150" s="736"/>
      <c r="M150" s="736"/>
      <c r="N150" s="736"/>
      <c r="O150" s="736"/>
      <c r="P150" s="736"/>
      <c r="Q150" s="736"/>
      <c r="R150" s="736"/>
      <c r="S150" s="736"/>
      <c r="T150" s="736"/>
      <c r="U150" s="736"/>
      <c r="V150" s="736"/>
      <c r="W150" s="736"/>
      <c r="X150" s="736"/>
      <c r="Y150" s="736"/>
      <c r="Z150" s="736"/>
      <c r="AA150" s="736"/>
      <c r="AB150" s="736"/>
      <c r="AC150" s="736"/>
      <c r="AD150" s="736"/>
      <c r="AE150" s="736"/>
      <c r="AF150" s="736"/>
      <c r="AG150" s="736"/>
      <c r="AH150" s="736"/>
      <c r="AI150" s="736"/>
      <c r="AJ150" s="736"/>
      <c r="AK150" s="736"/>
      <c r="AL150" s="736"/>
      <c r="AM150" s="736"/>
      <c r="AN150" s="736"/>
    </row>
    <row r="151" spans="1:40">
      <c r="A151" s="740">
        <v>144</v>
      </c>
      <c r="B151" s="737" t="s">
        <v>523</v>
      </c>
      <c r="C151" s="737" t="s">
        <v>475</v>
      </c>
      <c r="D151" s="738">
        <v>41247</v>
      </c>
      <c r="E151" s="739">
        <v>25.1</v>
      </c>
      <c r="F151" s="67">
        <v>8.57</v>
      </c>
      <c r="G151" s="67">
        <v>10.5</v>
      </c>
      <c r="H151" s="736"/>
      <c r="I151" s="736"/>
      <c r="J151" s="736"/>
      <c r="K151" s="736"/>
      <c r="L151" s="736"/>
      <c r="M151" s="736"/>
      <c r="N151" s="736"/>
      <c r="O151" s="736"/>
      <c r="P151" s="736"/>
      <c r="Q151" s="736"/>
      <c r="R151" s="736"/>
      <c r="S151" s="736"/>
      <c r="T151" s="736"/>
      <c r="U151" s="736"/>
      <c r="V151" s="736"/>
      <c r="W151" s="736"/>
      <c r="X151" s="736"/>
      <c r="Y151" s="736"/>
      <c r="Z151" s="736"/>
      <c r="AA151" s="736"/>
      <c r="AB151" s="736"/>
      <c r="AC151" s="736"/>
      <c r="AD151" s="736"/>
      <c r="AE151" s="736"/>
      <c r="AF151" s="736"/>
      <c r="AG151" s="736"/>
      <c r="AH151" s="736"/>
      <c r="AI151" s="736"/>
      <c r="AJ151" s="736"/>
      <c r="AK151" s="736"/>
      <c r="AL151" s="736"/>
      <c r="AM151" s="736"/>
      <c r="AN151" s="736"/>
    </row>
    <row r="152" spans="1:40">
      <c r="A152" s="740">
        <v>145</v>
      </c>
      <c r="B152" s="737" t="s">
        <v>523</v>
      </c>
      <c r="C152" s="737" t="s">
        <v>518</v>
      </c>
      <c r="D152" s="738">
        <v>41247</v>
      </c>
      <c r="E152" s="739">
        <v>6.2</v>
      </c>
      <c r="F152" s="67">
        <v>8.51</v>
      </c>
      <c r="G152" s="67">
        <v>10</v>
      </c>
      <c r="H152" s="736"/>
      <c r="I152" s="736"/>
      <c r="J152" s="736"/>
      <c r="K152" s="736"/>
      <c r="L152" s="736"/>
      <c r="M152" s="736"/>
      <c r="N152" s="736"/>
      <c r="O152" s="736"/>
      <c r="P152" s="736"/>
      <c r="Q152" s="736"/>
      <c r="R152" s="736"/>
      <c r="S152" s="736"/>
      <c r="T152" s="736"/>
      <c r="U152" s="736"/>
      <c r="V152" s="736"/>
      <c r="W152" s="736"/>
      <c r="X152" s="736"/>
      <c r="Y152" s="736"/>
      <c r="Z152" s="736"/>
      <c r="AA152" s="736"/>
      <c r="AB152" s="736"/>
      <c r="AC152" s="736"/>
      <c r="AD152" s="736"/>
      <c r="AE152" s="736"/>
      <c r="AF152" s="736"/>
      <c r="AG152" s="736"/>
      <c r="AH152" s="736"/>
      <c r="AI152" s="736"/>
      <c r="AJ152" s="736"/>
      <c r="AK152" s="736"/>
      <c r="AL152" s="736"/>
      <c r="AM152" s="736"/>
      <c r="AN152" s="736"/>
    </row>
    <row r="153" spans="1:40">
      <c r="A153" s="740">
        <v>146</v>
      </c>
      <c r="B153" s="737" t="s">
        <v>540</v>
      </c>
      <c r="C153" s="737" t="s">
        <v>508</v>
      </c>
      <c r="D153" s="738">
        <v>41248</v>
      </c>
      <c r="E153" s="739">
        <v>28</v>
      </c>
      <c r="F153" s="67"/>
      <c r="G153" s="67"/>
      <c r="H153" s="736"/>
      <c r="I153" s="736"/>
      <c r="J153" s="736"/>
      <c r="K153" s="736"/>
      <c r="L153" s="736"/>
      <c r="M153" s="736"/>
      <c r="N153" s="736"/>
      <c r="O153" s="736"/>
      <c r="P153" s="736"/>
      <c r="Q153" s="736"/>
      <c r="R153" s="736"/>
      <c r="S153" s="736"/>
      <c r="T153" s="736"/>
      <c r="U153" s="736"/>
      <c r="V153" s="736"/>
      <c r="W153" s="736"/>
      <c r="X153" s="736"/>
      <c r="Y153" s="736"/>
      <c r="Z153" s="736"/>
      <c r="AA153" s="736"/>
      <c r="AB153" s="736"/>
      <c r="AC153" s="736"/>
      <c r="AD153" s="736"/>
      <c r="AE153" s="736"/>
      <c r="AF153" s="736"/>
      <c r="AG153" s="736"/>
      <c r="AH153" s="736"/>
      <c r="AI153" s="736"/>
      <c r="AJ153" s="736"/>
      <c r="AK153" s="736"/>
      <c r="AL153" s="736"/>
      <c r="AM153" s="736"/>
      <c r="AN153" s="736"/>
    </row>
    <row r="154" spans="1:40">
      <c r="A154" s="740">
        <v>147</v>
      </c>
      <c r="B154" s="737" t="s">
        <v>511</v>
      </c>
      <c r="C154" s="737" t="s">
        <v>591</v>
      </c>
      <c r="D154" s="738">
        <v>41257</v>
      </c>
      <c r="E154" s="739">
        <v>2.7</v>
      </c>
      <c r="F154" s="67"/>
      <c r="G154" s="67">
        <v>10.4</v>
      </c>
      <c r="H154" s="736"/>
      <c r="I154" s="736"/>
      <c r="J154" s="736"/>
      <c r="K154" s="736"/>
      <c r="L154" s="736"/>
      <c r="M154" s="736"/>
      <c r="N154" s="736"/>
      <c r="O154" s="736"/>
      <c r="P154" s="736"/>
      <c r="Q154" s="736"/>
      <c r="R154" s="736"/>
      <c r="S154" s="736"/>
      <c r="T154" s="736"/>
      <c r="U154" s="736"/>
      <c r="V154" s="736"/>
      <c r="W154" s="736"/>
      <c r="X154" s="736"/>
      <c r="Y154" s="736"/>
      <c r="Z154" s="736"/>
      <c r="AA154" s="736"/>
      <c r="AB154" s="736"/>
      <c r="AC154" s="736"/>
      <c r="AD154" s="736"/>
      <c r="AE154" s="736"/>
      <c r="AF154" s="736"/>
      <c r="AG154" s="736"/>
      <c r="AH154" s="736"/>
      <c r="AI154" s="736"/>
      <c r="AJ154" s="736"/>
      <c r="AK154" s="736"/>
      <c r="AL154" s="736"/>
      <c r="AM154" s="736"/>
      <c r="AN154" s="736"/>
    </row>
    <row r="155" spans="1:40">
      <c r="A155" s="740">
        <v>148</v>
      </c>
      <c r="B155" s="737" t="s">
        <v>569</v>
      </c>
      <c r="C155" s="737" t="s">
        <v>570</v>
      </c>
      <c r="D155" s="738">
        <v>41263</v>
      </c>
      <c r="E155" s="739">
        <v>-55.8</v>
      </c>
      <c r="F155" s="67">
        <v>8.06</v>
      </c>
      <c r="G155" s="67">
        <v>10.4</v>
      </c>
      <c r="H155" s="736"/>
      <c r="I155" s="736"/>
      <c r="J155" s="736"/>
      <c r="K155" s="736"/>
      <c r="L155" s="736"/>
      <c r="M155" s="736"/>
      <c r="N155" s="736"/>
      <c r="O155" s="736"/>
      <c r="P155" s="736"/>
      <c r="Q155" s="736"/>
      <c r="R155" s="736"/>
      <c r="S155" s="736"/>
      <c r="T155" s="736"/>
      <c r="U155" s="736"/>
      <c r="V155" s="736"/>
      <c r="W155" s="736"/>
      <c r="X155" s="736"/>
      <c r="Y155" s="736"/>
      <c r="Z155" s="736"/>
      <c r="AA155" s="736"/>
      <c r="AB155" s="736"/>
      <c r="AC155" s="736"/>
      <c r="AD155" s="736"/>
      <c r="AE155" s="736"/>
      <c r="AF155" s="736"/>
      <c r="AG155" s="736"/>
      <c r="AH155" s="736"/>
      <c r="AI155" s="736"/>
      <c r="AJ155" s="736"/>
      <c r="AK155" s="736"/>
      <c r="AL155" s="736"/>
      <c r="AM155" s="736"/>
      <c r="AN155" s="736"/>
    </row>
    <row r="156" spans="1:40">
      <c r="A156" s="740">
        <v>149</v>
      </c>
      <c r="B156" s="737" t="s">
        <v>569</v>
      </c>
      <c r="C156" s="737" t="s">
        <v>592</v>
      </c>
      <c r="D156" s="738">
        <v>41263</v>
      </c>
      <c r="E156" s="739">
        <v>-6</v>
      </c>
      <c r="F156" s="67">
        <v>7.79</v>
      </c>
      <c r="G156" s="67">
        <v>10.3</v>
      </c>
      <c r="H156" s="736"/>
      <c r="I156" s="736"/>
      <c r="J156" s="736"/>
      <c r="K156" s="736"/>
      <c r="L156" s="736"/>
      <c r="M156" s="736"/>
      <c r="N156" s="736"/>
      <c r="O156" s="736"/>
      <c r="P156" s="736"/>
      <c r="Q156" s="736"/>
      <c r="R156" s="736"/>
      <c r="S156" s="736"/>
      <c r="T156" s="736"/>
      <c r="U156" s="736"/>
      <c r="V156" s="736"/>
      <c r="W156" s="736"/>
      <c r="X156" s="736"/>
      <c r="Y156" s="736"/>
      <c r="Z156" s="736"/>
      <c r="AA156" s="736"/>
      <c r="AB156" s="736"/>
      <c r="AC156" s="736"/>
      <c r="AD156" s="736"/>
      <c r="AE156" s="736"/>
      <c r="AF156" s="736"/>
      <c r="AG156" s="736"/>
      <c r="AH156" s="736"/>
      <c r="AI156" s="736"/>
      <c r="AJ156" s="736"/>
      <c r="AK156" s="736"/>
      <c r="AL156" s="736"/>
      <c r="AM156" s="736"/>
      <c r="AN156" s="736"/>
    </row>
    <row r="157" spans="1:40">
      <c r="A157" s="740">
        <v>150</v>
      </c>
      <c r="B157" s="737" t="s">
        <v>569</v>
      </c>
      <c r="C157" s="737" t="s">
        <v>593</v>
      </c>
      <c r="D157" s="738">
        <v>41263</v>
      </c>
      <c r="E157" s="739">
        <v>-22</v>
      </c>
      <c r="F157" s="67">
        <v>8.02</v>
      </c>
      <c r="G157" s="67">
        <v>10.1</v>
      </c>
      <c r="H157" s="736"/>
      <c r="I157" s="736"/>
      <c r="J157" s="736"/>
      <c r="K157" s="736"/>
      <c r="L157" s="736"/>
      <c r="M157" s="736"/>
      <c r="N157" s="736"/>
      <c r="O157" s="736"/>
      <c r="P157" s="736"/>
      <c r="Q157" s="736"/>
      <c r="R157" s="736"/>
      <c r="S157" s="736"/>
      <c r="T157" s="736"/>
      <c r="U157" s="736"/>
      <c r="V157" s="736"/>
      <c r="W157" s="736"/>
      <c r="X157" s="736"/>
      <c r="Y157" s="736"/>
      <c r="Z157" s="736"/>
      <c r="AA157" s="736"/>
      <c r="AB157" s="736"/>
      <c r="AC157" s="736"/>
      <c r="AD157" s="736"/>
      <c r="AE157" s="736"/>
      <c r="AF157" s="736"/>
      <c r="AG157" s="736"/>
      <c r="AH157" s="736"/>
      <c r="AI157" s="736"/>
      <c r="AJ157" s="736"/>
      <c r="AK157" s="736"/>
      <c r="AL157" s="736"/>
      <c r="AM157" s="736"/>
      <c r="AN157" s="736"/>
    </row>
    <row r="158" spans="1:40">
      <c r="A158" s="740">
        <v>151</v>
      </c>
      <c r="B158" s="737" t="s">
        <v>470</v>
      </c>
      <c r="C158" s="737" t="s">
        <v>471</v>
      </c>
      <c r="D158" s="738">
        <v>41263</v>
      </c>
      <c r="E158" s="739">
        <v>15</v>
      </c>
      <c r="F158" s="67"/>
      <c r="G158" s="67">
        <v>10.25</v>
      </c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6"/>
      <c r="S158" s="736"/>
      <c r="T158" s="736"/>
      <c r="U158" s="736"/>
      <c r="V158" s="736"/>
      <c r="W158" s="736"/>
      <c r="X158" s="736"/>
      <c r="Y158" s="736"/>
      <c r="Z158" s="736"/>
      <c r="AA158" s="736"/>
      <c r="AB158" s="736"/>
      <c r="AC158" s="736"/>
      <c r="AD158" s="736"/>
      <c r="AE158" s="736"/>
      <c r="AF158" s="736"/>
      <c r="AG158" s="736"/>
      <c r="AH158" s="736"/>
      <c r="AI158" s="736"/>
      <c r="AJ158" s="736"/>
      <c r="AK158" s="736"/>
      <c r="AL158" s="736"/>
      <c r="AM158" s="736"/>
      <c r="AN158" s="736"/>
    </row>
    <row r="159" spans="1:40">
      <c r="A159" s="740">
        <v>152</v>
      </c>
      <c r="B159" s="737" t="s">
        <v>466</v>
      </c>
      <c r="C159" s="737" t="s">
        <v>594</v>
      </c>
      <c r="D159" s="738">
        <v>41263</v>
      </c>
      <c r="E159" s="739">
        <v>19.899999999999999</v>
      </c>
      <c r="F159" s="67"/>
      <c r="G159" s="67">
        <v>10.5</v>
      </c>
      <c r="H159" s="736"/>
      <c r="I159" s="736"/>
      <c r="J159" s="736"/>
      <c r="K159" s="736"/>
      <c r="L159" s="736"/>
      <c r="M159" s="736"/>
      <c r="N159" s="736"/>
      <c r="O159" s="736"/>
      <c r="P159" s="736"/>
      <c r="Q159" s="736"/>
      <c r="R159" s="736"/>
      <c r="S159" s="736"/>
      <c r="T159" s="736"/>
      <c r="U159" s="736"/>
      <c r="V159" s="736"/>
      <c r="W159" s="736"/>
      <c r="X159" s="736"/>
      <c r="Y159" s="736"/>
      <c r="Z159" s="736"/>
      <c r="AA159" s="736"/>
      <c r="AB159" s="736"/>
      <c r="AC159" s="736"/>
      <c r="AD159" s="736"/>
      <c r="AE159" s="736"/>
      <c r="AF159" s="736"/>
      <c r="AG159" s="736"/>
      <c r="AH159" s="736"/>
      <c r="AI159" s="736"/>
      <c r="AJ159" s="736"/>
      <c r="AK159" s="736"/>
      <c r="AL159" s="736"/>
      <c r="AM159" s="736"/>
      <c r="AN159" s="736"/>
    </row>
    <row r="160" spans="1:40">
      <c r="A160" s="740">
        <v>153</v>
      </c>
      <c r="B160" s="737" t="s">
        <v>595</v>
      </c>
      <c r="C160" s="737" t="s">
        <v>596</v>
      </c>
      <c r="D160" s="738">
        <v>41263</v>
      </c>
      <c r="E160" s="739">
        <v>11.3</v>
      </c>
      <c r="F160" s="67">
        <v>7.65</v>
      </c>
      <c r="G160" s="67">
        <v>9.5</v>
      </c>
      <c r="H160" s="736"/>
      <c r="I160" s="736"/>
      <c r="J160" s="736"/>
      <c r="K160" s="736"/>
      <c r="L160" s="736"/>
      <c r="M160" s="736"/>
      <c r="N160" s="736"/>
      <c r="O160" s="736"/>
      <c r="P160" s="736"/>
      <c r="Q160" s="736"/>
      <c r="R160" s="736"/>
      <c r="S160" s="736"/>
      <c r="T160" s="736"/>
      <c r="U160" s="736"/>
      <c r="V160" s="736"/>
      <c r="W160" s="736"/>
      <c r="X160" s="736"/>
      <c r="Y160" s="736"/>
      <c r="Z160" s="736"/>
      <c r="AA160" s="736"/>
      <c r="AB160" s="736"/>
      <c r="AC160" s="736"/>
      <c r="AD160" s="736"/>
      <c r="AE160" s="736"/>
      <c r="AF160" s="736"/>
      <c r="AG160" s="736"/>
      <c r="AH160" s="736"/>
      <c r="AI160" s="736"/>
      <c r="AJ160" s="736"/>
      <c r="AK160" s="736"/>
      <c r="AL160" s="736"/>
      <c r="AM160" s="736"/>
      <c r="AN160" s="736"/>
    </row>
    <row r="161" spans="1:40">
      <c r="A161" s="740">
        <v>154</v>
      </c>
      <c r="B161" s="737" t="s">
        <v>515</v>
      </c>
      <c r="C161" s="737" t="s">
        <v>496</v>
      </c>
      <c r="D161" s="738">
        <v>41269</v>
      </c>
      <c r="E161" s="739">
        <v>6.7</v>
      </c>
      <c r="F161" s="67">
        <v>7.64</v>
      </c>
      <c r="G161" s="67">
        <v>9.8000000000000007</v>
      </c>
      <c r="H161" s="736"/>
      <c r="I161" s="736"/>
      <c r="J161" s="736"/>
      <c r="K161" s="736"/>
      <c r="L161" s="736"/>
      <c r="M161" s="736"/>
      <c r="N161" s="736"/>
      <c r="O161" s="736"/>
      <c r="P161" s="736"/>
      <c r="Q161" s="736"/>
      <c r="R161" s="736"/>
      <c r="S161" s="736"/>
      <c r="T161" s="736"/>
      <c r="U161" s="736"/>
      <c r="V161" s="736"/>
      <c r="W161" s="736"/>
      <c r="X161" s="736"/>
      <c r="Y161" s="736"/>
      <c r="Z161" s="736"/>
      <c r="AA161" s="736"/>
      <c r="AB161" s="736"/>
      <c r="AC161" s="736"/>
      <c r="AD161" s="736"/>
      <c r="AE161" s="736"/>
      <c r="AF161" s="736"/>
      <c r="AG161" s="736"/>
      <c r="AH161" s="736"/>
      <c r="AI161" s="736"/>
      <c r="AJ161" s="736"/>
      <c r="AK161" s="736"/>
      <c r="AL161" s="736"/>
      <c r="AM161" s="736"/>
      <c r="AN161" s="736"/>
    </row>
    <row r="162" spans="1:40">
      <c r="A162" s="723"/>
      <c r="B162" s="780" t="s">
        <v>555</v>
      </c>
      <c r="C162" s="781" t="s">
        <v>556</v>
      </c>
      <c r="D162" s="782">
        <v>41327</v>
      </c>
      <c r="E162" s="783">
        <v>32.4</v>
      </c>
      <c r="F162" s="783">
        <v>7.53</v>
      </c>
      <c r="G162" s="783">
        <v>9.6</v>
      </c>
      <c r="H162" s="723"/>
      <c r="I162" s="723"/>
      <c r="J162" s="723"/>
      <c r="K162" s="723"/>
      <c r="L162" s="723"/>
      <c r="M162" s="723"/>
      <c r="N162" s="723"/>
      <c r="O162" s="723"/>
      <c r="P162" s="723"/>
      <c r="Q162" s="723"/>
      <c r="R162" s="723"/>
      <c r="S162" s="723"/>
      <c r="T162" s="723"/>
      <c r="U162" s="723"/>
      <c r="V162" s="723"/>
      <c r="W162" s="723"/>
      <c r="X162" s="723"/>
      <c r="Y162" s="723"/>
      <c r="Z162" s="723"/>
      <c r="AA162" s="723"/>
      <c r="AB162" s="723"/>
      <c r="AC162" s="723"/>
      <c r="AD162" s="723"/>
      <c r="AE162" s="723"/>
      <c r="AF162" s="723"/>
      <c r="AG162" s="723"/>
      <c r="AH162" s="723"/>
      <c r="AI162" s="723"/>
      <c r="AJ162" s="723"/>
      <c r="AK162" s="723"/>
      <c r="AL162" s="723"/>
      <c r="AM162" s="723"/>
      <c r="AN162" s="723"/>
    </row>
    <row r="163" spans="1:40">
      <c r="A163" s="723"/>
      <c r="B163" s="780" t="s">
        <v>482</v>
      </c>
      <c r="C163" s="781" t="s">
        <v>597</v>
      </c>
      <c r="D163" s="782">
        <v>41347</v>
      </c>
      <c r="E163" s="783">
        <v>-3.3</v>
      </c>
      <c r="F163" s="783">
        <v>6.5</v>
      </c>
      <c r="G163" s="783">
        <v>9.3000000000000007</v>
      </c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723"/>
      <c r="U163" s="723"/>
      <c r="V163" s="723"/>
      <c r="W163" s="723"/>
      <c r="X163" s="723"/>
      <c r="Y163" s="723"/>
      <c r="Z163" s="723"/>
      <c r="AA163" s="723"/>
      <c r="AB163" s="723"/>
      <c r="AC163" s="723"/>
      <c r="AD163" s="723"/>
      <c r="AE163" s="723"/>
      <c r="AF163" s="723"/>
      <c r="AG163" s="723"/>
      <c r="AH163" s="723"/>
      <c r="AI163" s="723"/>
      <c r="AJ163" s="723"/>
      <c r="AK163" s="723"/>
      <c r="AL163" s="723"/>
      <c r="AM163" s="723"/>
      <c r="AN163" s="723"/>
    </row>
    <row r="164" spans="1:40">
      <c r="A164" s="723"/>
      <c r="B164" s="780" t="s">
        <v>495</v>
      </c>
      <c r="C164" s="781" t="s">
        <v>598</v>
      </c>
      <c r="D164" s="782">
        <v>41360</v>
      </c>
      <c r="E164" s="783">
        <v>4.4000000000000004</v>
      </c>
      <c r="F164" s="783">
        <v>7.91</v>
      </c>
      <c r="G164" s="783">
        <v>9.8000000000000007</v>
      </c>
      <c r="H164" s="723"/>
      <c r="I164" s="723"/>
      <c r="J164" s="723"/>
      <c r="K164" s="723"/>
      <c r="L164" s="723"/>
      <c r="M164" s="723"/>
      <c r="N164" s="723"/>
      <c r="O164" s="723"/>
      <c r="P164" s="723"/>
      <c r="Q164" s="723"/>
      <c r="R164" s="723"/>
      <c r="S164" s="723"/>
      <c r="T164" s="723"/>
      <c r="U164" s="723"/>
      <c r="V164" s="723"/>
      <c r="W164" s="723"/>
      <c r="X164" s="723"/>
      <c r="Y164" s="723"/>
      <c r="Z164" s="723"/>
      <c r="AA164" s="723"/>
      <c r="AB164" s="723"/>
      <c r="AC164" s="723"/>
      <c r="AD164" s="723"/>
      <c r="AE164" s="723"/>
      <c r="AF164" s="723"/>
      <c r="AG164" s="723"/>
      <c r="AH164" s="723"/>
      <c r="AI164" s="723"/>
      <c r="AJ164" s="723"/>
      <c r="AK164" s="723"/>
      <c r="AL164" s="723"/>
      <c r="AM164" s="723"/>
      <c r="AN164" s="723"/>
    </row>
    <row r="165" spans="1:40">
      <c r="A165" s="723"/>
      <c r="B165" s="780" t="s">
        <v>558</v>
      </c>
      <c r="C165" s="781" t="s">
        <v>599</v>
      </c>
      <c r="D165" s="782">
        <v>41387</v>
      </c>
      <c r="E165" s="783">
        <v>11.5</v>
      </c>
      <c r="F165" s="783"/>
      <c r="G165" s="783">
        <v>9.8000000000000007</v>
      </c>
      <c r="H165" s="723"/>
      <c r="I165" s="723"/>
      <c r="J165" s="723"/>
      <c r="K165" s="723"/>
      <c r="L165" s="723"/>
      <c r="M165" s="723"/>
      <c r="N165" s="723"/>
      <c r="O165" s="723"/>
      <c r="P165" s="723"/>
      <c r="Q165" s="723"/>
      <c r="R165" s="723"/>
      <c r="S165" s="723"/>
      <c r="T165" s="723"/>
      <c r="U165" s="723"/>
      <c r="V165" s="723"/>
      <c r="W165" s="723"/>
      <c r="X165" s="723"/>
      <c r="Y165" s="723"/>
      <c r="Z165" s="723"/>
      <c r="AA165" s="723"/>
      <c r="AB165" s="723"/>
      <c r="AC165" s="723"/>
      <c r="AD165" s="723"/>
      <c r="AE165" s="723"/>
      <c r="AF165" s="723"/>
      <c r="AG165" s="723"/>
      <c r="AH165" s="723"/>
      <c r="AI165" s="723"/>
      <c r="AJ165" s="723"/>
      <c r="AK165" s="723"/>
      <c r="AL165" s="723"/>
      <c r="AM165" s="723"/>
      <c r="AN165" s="723"/>
    </row>
    <row r="166" spans="1:40">
      <c r="A166" s="723"/>
      <c r="B166" s="780" t="s">
        <v>600</v>
      </c>
      <c r="C166" s="781" t="s">
        <v>601</v>
      </c>
      <c r="D166" s="782">
        <v>41404</v>
      </c>
      <c r="E166" s="783">
        <v>8.4</v>
      </c>
      <c r="F166" s="783">
        <v>7.93</v>
      </c>
      <c r="G166" s="783">
        <v>9.25</v>
      </c>
      <c r="H166" s="723"/>
      <c r="I166" s="723"/>
      <c r="J166" s="723"/>
      <c r="K166" s="723"/>
      <c r="L166" s="723"/>
      <c r="M166" s="723"/>
      <c r="N166" s="723"/>
      <c r="O166" s="723"/>
      <c r="P166" s="723"/>
      <c r="Q166" s="723"/>
      <c r="R166" s="723"/>
      <c r="S166" s="723"/>
      <c r="T166" s="723"/>
      <c r="U166" s="723"/>
      <c r="V166" s="723"/>
      <c r="W166" s="723"/>
      <c r="X166" s="723"/>
      <c r="Y166" s="723"/>
      <c r="Z166" s="723"/>
      <c r="AA166" s="723"/>
      <c r="AB166" s="723"/>
      <c r="AC166" s="723"/>
      <c r="AD166" s="723"/>
      <c r="AE166" s="723"/>
      <c r="AF166" s="723"/>
      <c r="AG166" s="723"/>
      <c r="AH166" s="723"/>
      <c r="AI166" s="723"/>
      <c r="AJ166" s="723"/>
      <c r="AK166" s="723"/>
      <c r="AL166" s="723"/>
      <c r="AM166" s="723"/>
      <c r="AN166" s="723"/>
    </row>
    <row r="167" spans="1:40">
      <c r="A167" s="723"/>
      <c r="B167" s="780" t="s">
        <v>482</v>
      </c>
      <c r="C167" s="781" t="s">
        <v>602</v>
      </c>
      <c r="D167" s="782">
        <v>41438</v>
      </c>
      <c r="E167" s="783">
        <v>0</v>
      </c>
      <c r="F167" s="783">
        <v>6.98</v>
      </c>
      <c r="G167" s="783">
        <v>9.4</v>
      </c>
      <c r="H167" s="723"/>
      <c r="I167" s="723"/>
      <c r="J167" s="723"/>
      <c r="K167" s="723"/>
      <c r="L167" s="723"/>
      <c r="M167" s="723"/>
      <c r="N167" s="723"/>
      <c r="O167" s="723"/>
      <c r="P167" s="723"/>
      <c r="Q167" s="723"/>
      <c r="R167" s="723"/>
      <c r="S167" s="723"/>
      <c r="T167" s="723"/>
      <c r="U167" s="723"/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723"/>
      <c r="AI167" s="723"/>
      <c r="AJ167" s="723"/>
      <c r="AK167" s="723"/>
      <c r="AL167" s="723"/>
      <c r="AM167" s="723"/>
      <c r="AN167" s="723"/>
    </row>
    <row r="168" spans="1:40">
      <c r="A168" s="723"/>
      <c r="B168" s="780" t="s">
        <v>476</v>
      </c>
      <c r="C168" s="781" t="s">
        <v>603</v>
      </c>
      <c r="D168" s="782">
        <v>41443</v>
      </c>
      <c r="E168" s="783">
        <v>57.2</v>
      </c>
      <c r="F168" s="783">
        <v>6.67</v>
      </c>
      <c r="G168" s="783">
        <v>9.2799999999999994</v>
      </c>
      <c r="H168" s="723"/>
      <c r="I168" s="723"/>
      <c r="J168" s="723"/>
      <c r="K168" s="723"/>
      <c r="L168" s="723"/>
      <c r="M168" s="723"/>
      <c r="N168" s="723"/>
      <c r="O168" s="723"/>
      <c r="P168" s="723"/>
      <c r="Q168" s="723"/>
      <c r="R168" s="723"/>
      <c r="S168" s="723"/>
      <c r="T168" s="723"/>
      <c r="U168" s="723"/>
      <c r="V168" s="723"/>
      <c r="W168" s="723"/>
      <c r="X168" s="723"/>
      <c r="Y168" s="723"/>
      <c r="Z168" s="723"/>
      <c r="AA168" s="723"/>
      <c r="AB168" s="723"/>
      <c r="AC168" s="723"/>
      <c r="AD168" s="723"/>
      <c r="AE168" s="723"/>
      <c r="AF168" s="723"/>
      <c r="AG168" s="723"/>
      <c r="AH168" s="723"/>
      <c r="AI168" s="723"/>
      <c r="AJ168" s="723"/>
      <c r="AK168" s="723"/>
      <c r="AL168" s="723"/>
      <c r="AM168" s="723"/>
      <c r="AN168" s="723"/>
    </row>
    <row r="169" spans="1:40">
      <c r="A169" s="723"/>
      <c r="B169" s="780" t="s">
        <v>476</v>
      </c>
      <c r="C169" s="781" t="s">
        <v>521</v>
      </c>
      <c r="D169" s="782">
        <v>41443</v>
      </c>
      <c r="E169" s="783">
        <v>6.6</v>
      </c>
      <c r="F169" s="783">
        <v>6.72</v>
      </c>
      <c r="G169" s="783">
        <v>9.2799999999999994</v>
      </c>
      <c r="H169" s="723"/>
      <c r="I169" s="723"/>
      <c r="J169" s="723"/>
      <c r="K169" s="723"/>
      <c r="L169" s="723"/>
      <c r="M169" s="723"/>
      <c r="N169" s="723"/>
      <c r="O169" s="723"/>
      <c r="P169" s="723"/>
      <c r="Q169" s="723"/>
      <c r="R169" s="723"/>
      <c r="S169" s="723"/>
      <c r="T169" s="723"/>
      <c r="U169" s="723"/>
      <c r="V169" s="723"/>
      <c r="W169" s="723"/>
      <c r="X169" s="723"/>
      <c r="Y169" s="723"/>
      <c r="Z169" s="723"/>
      <c r="AA169" s="723"/>
      <c r="AB169" s="723"/>
      <c r="AC169" s="723"/>
      <c r="AD169" s="723"/>
      <c r="AE169" s="723"/>
      <c r="AF169" s="723"/>
      <c r="AG169" s="723"/>
      <c r="AH169" s="723"/>
      <c r="AI169" s="723"/>
      <c r="AJ169" s="723"/>
      <c r="AK169" s="723"/>
      <c r="AL169" s="723"/>
      <c r="AM169" s="723"/>
      <c r="AN169" s="723"/>
    </row>
    <row r="170" spans="1:40">
      <c r="A170" s="723"/>
      <c r="B170" s="780" t="s">
        <v>515</v>
      </c>
      <c r="C170" s="781" t="s">
        <v>532</v>
      </c>
      <c r="D170" s="782">
        <v>41450</v>
      </c>
      <c r="E170" s="783">
        <v>9.1</v>
      </c>
      <c r="F170" s="783">
        <v>7.77</v>
      </c>
      <c r="G170" s="783">
        <v>9.8000000000000007</v>
      </c>
      <c r="H170" s="723"/>
      <c r="I170" s="723"/>
      <c r="J170" s="723"/>
      <c r="K170" s="723"/>
      <c r="L170" s="723"/>
      <c r="M170" s="723"/>
      <c r="N170" s="723"/>
      <c r="O170" s="723"/>
      <c r="P170" s="723"/>
      <c r="Q170" s="723"/>
      <c r="R170" s="723"/>
      <c r="S170" s="723"/>
      <c r="T170" s="723"/>
      <c r="U170" s="723"/>
      <c r="V170" s="723"/>
      <c r="W170" s="723"/>
      <c r="X170" s="723"/>
      <c r="Y170" s="723"/>
      <c r="Z170" s="723"/>
      <c r="AA170" s="723"/>
      <c r="AB170" s="723"/>
      <c r="AC170" s="723"/>
      <c r="AD170" s="723"/>
      <c r="AE170" s="723"/>
      <c r="AF170" s="723"/>
      <c r="AG170" s="723"/>
      <c r="AH170" s="723"/>
      <c r="AI170" s="723"/>
      <c r="AJ170" s="723"/>
      <c r="AK170" s="723"/>
      <c r="AL170" s="723"/>
      <c r="AM170" s="723"/>
      <c r="AN170" s="723"/>
    </row>
    <row r="171" spans="1:40">
      <c r="A171" s="723"/>
      <c r="B171" s="780" t="s">
        <v>555</v>
      </c>
      <c r="C171" s="781" t="s">
        <v>604</v>
      </c>
      <c r="D171" s="782">
        <v>41540</v>
      </c>
      <c r="E171" s="783">
        <v>3.6</v>
      </c>
      <c r="F171" s="783">
        <v>7.53</v>
      </c>
      <c r="G171" s="783">
        <v>9.6</v>
      </c>
      <c r="H171" s="723"/>
      <c r="I171" s="723"/>
      <c r="J171" s="723"/>
      <c r="K171" s="723"/>
      <c r="L171" s="723"/>
      <c r="M171" s="723"/>
      <c r="N171" s="723"/>
      <c r="O171" s="723"/>
      <c r="P171" s="723"/>
      <c r="Q171" s="723"/>
      <c r="R171" s="723"/>
      <c r="S171" s="723"/>
      <c r="T171" s="723"/>
      <c r="U171" s="723"/>
      <c r="V171" s="723"/>
      <c r="W171" s="723"/>
      <c r="X171" s="723"/>
      <c r="Y171" s="723"/>
      <c r="Z171" s="723"/>
      <c r="AA171" s="723"/>
      <c r="AB171" s="723"/>
      <c r="AC171" s="723"/>
      <c r="AD171" s="723"/>
      <c r="AE171" s="723"/>
      <c r="AF171" s="723"/>
      <c r="AG171" s="723"/>
      <c r="AH171" s="723"/>
      <c r="AI171" s="723"/>
      <c r="AJ171" s="723"/>
      <c r="AK171" s="723"/>
      <c r="AL171" s="723"/>
      <c r="AM171" s="723"/>
      <c r="AN171" s="723"/>
    </row>
    <row r="172" spans="1:40">
      <c r="A172" s="740"/>
      <c r="B172" s="737"/>
      <c r="C172" s="737"/>
      <c r="D172" s="738"/>
      <c r="E172" s="739"/>
      <c r="F172" s="67"/>
      <c r="G172" s="67"/>
      <c r="H172" s="736"/>
      <c r="I172" s="736"/>
      <c r="J172" s="736"/>
      <c r="K172" s="736"/>
      <c r="L172" s="736"/>
      <c r="M172" s="736"/>
      <c r="N172" s="736"/>
      <c r="O172" s="736"/>
      <c r="P172" s="736"/>
      <c r="Q172" s="736"/>
      <c r="R172" s="736"/>
      <c r="S172" s="736"/>
      <c r="T172" s="736"/>
      <c r="U172" s="736"/>
      <c r="V172" s="736"/>
      <c r="W172" s="736"/>
      <c r="X172" s="736"/>
      <c r="Y172" s="736"/>
      <c r="Z172" s="736"/>
      <c r="AA172" s="736"/>
      <c r="AB172" s="736"/>
      <c r="AC172" s="736"/>
      <c r="AD172" s="736"/>
      <c r="AE172" s="736"/>
      <c r="AF172" s="736"/>
      <c r="AG172" s="736"/>
      <c r="AH172" s="736"/>
      <c r="AI172" s="736"/>
      <c r="AJ172" s="736"/>
      <c r="AK172" s="736"/>
      <c r="AL172" s="736"/>
      <c r="AM172" s="736"/>
      <c r="AN172" s="736"/>
    </row>
    <row r="173" spans="1:40">
      <c r="A173" s="736"/>
      <c r="H173" s="736"/>
      <c r="I173" s="736"/>
      <c r="J173" s="736"/>
      <c r="K173" s="736"/>
      <c r="L173" s="736"/>
      <c r="M173" s="736"/>
      <c r="N173" s="736"/>
      <c r="O173" s="736"/>
      <c r="P173" s="736"/>
      <c r="Q173" s="736"/>
      <c r="R173" s="736"/>
      <c r="S173" s="736"/>
      <c r="T173" s="736"/>
      <c r="U173" s="736"/>
      <c r="V173" s="736"/>
      <c r="W173" s="736"/>
      <c r="X173" s="736"/>
      <c r="Y173" s="736"/>
      <c r="Z173" s="736"/>
      <c r="AA173" s="736"/>
      <c r="AB173" s="736"/>
      <c r="AC173" s="736"/>
      <c r="AD173" s="736"/>
      <c r="AE173" s="736"/>
      <c r="AF173" s="736"/>
      <c r="AG173" s="736"/>
      <c r="AH173" s="736"/>
      <c r="AI173" s="736"/>
      <c r="AJ173" s="736"/>
      <c r="AK173" s="736"/>
      <c r="AL173" s="736"/>
      <c r="AM173" s="736"/>
      <c r="AN173" s="736"/>
    </row>
    <row r="174" spans="1:40">
      <c r="A174" s="740">
        <v>155</v>
      </c>
      <c r="H174" s="736"/>
      <c r="I174" s="736"/>
      <c r="J174" s="736"/>
      <c r="K174" s="736"/>
      <c r="L174" s="736"/>
      <c r="M174" s="736"/>
      <c r="N174" s="736"/>
      <c r="O174" s="736"/>
      <c r="P174" s="736"/>
      <c r="Q174" s="736"/>
      <c r="R174" s="736"/>
      <c r="S174" s="736"/>
      <c r="T174" s="736"/>
      <c r="U174" s="736"/>
      <c r="V174" s="736"/>
      <c r="W174" s="736"/>
      <c r="X174" s="736"/>
      <c r="Y174" s="736"/>
      <c r="Z174" s="736"/>
      <c r="AA174" s="736"/>
      <c r="AB174" s="736"/>
      <c r="AC174" s="736"/>
      <c r="AD174" s="736"/>
      <c r="AE174" s="736"/>
      <c r="AF174" s="736"/>
      <c r="AG174" s="736"/>
      <c r="AH174" s="736"/>
      <c r="AI174" s="736"/>
      <c r="AJ174" s="736"/>
      <c r="AK174" s="736"/>
      <c r="AL174" s="736"/>
      <c r="AM174" s="736"/>
      <c r="AN174" s="736"/>
    </row>
    <row r="175" spans="1:40">
      <c r="A175" s="740">
        <v>156</v>
      </c>
      <c r="H175" s="736"/>
      <c r="I175" s="736"/>
      <c r="J175" s="736"/>
      <c r="K175" s="736"/>
      <c r="L175" s="736"/>
      <c r="M175" s="736"/>
      <c r="N175" s="736"/>
      <c r="O175" s="736"/>
      <c r="P175" s="736"/>
      <c r="Q175" s="736"/>
      <c r="R175" s="736"/>
      <c r="S175" s="736"/>
      <c r="T175" s="736"/>
      <c r="U175" s="736"/>
      <c r="V175" s="736"/>
      <c r="W175" s="736"/>
      <c r="X175" s="736"/>
      <c r="Y175" s="736"/>
      <c r="Z175" s="736"/>
      <c r="AA175" s="736"/>
      <c r="AB175" s="736"/>
      <c r="AC175" s="736"/>
      <c r="AD175" s="736"/>
      <c r="AE175" s="736"/>
      <c r="AF175" s="736"/>
      <c r="AG175" s="736"/>
      <c r="AH175" s="736"/>
      <c r="AI175" s="736"/>
      <c r="AJ175" s="736"/>
      <c r="AK175" s="736"/>
      <c r="AL175" s="736"/>
      <c r="AM175" s="736"/>
      <c r="AN175" s="736"/>
    </row>
    <row r="176" spans="1:40">
      <c r="A176" s="740">
        <v>157</v>
      </c>
      <c r="H176" s="736"/>
      <c r="I176" s="736"/>
      <c r="J176" s="736"/>
      <c r="K176" s="736"/>
      <c r="L176" s="736"/>
      <c r="M176" s="736"/>
      <c r="N176" s="736"/>
      <c r="O176" s="736"/>
      <c r="P176" s="736"/>
      <c r="Q176" s="736"/>
      <c r="R176" s="736"/>
      <c r="S176" s="736"/>
      <c r="T176" s="736"/>
      <c r="U176" s="736"/>
      <c r="V176" s="736"/>
      <c r="W176" s="736"/>
      <c r="X176" s="736"/>
      <c r="Y176" s="736"/>
      <c r="Z176" s="736"/>
      <c r="AA176" s="736"/>
      <c r="AB176" s="736"/>
      <c r="AC176" s="736"/>
      <c r="AD176" s="736"/>
      <c r="AE176" s="736"/>
      <c r="AF176" s="736"/>
      <c r="AG176" s="736"/>
      <c r="AH176" s="736"/>
      <c r="AI176" s="736"/>
      <c r="AJ176" s="736"/>
      <c r="AK176" s="736"/>
      <c r="AL176" s="736"/>
      <c r="AM176" s="736"/>
      <c r="AN176" s="736"/>
    </row>
    <row r="177" spans="1:40">
      <c r="A177" s="740"/>
      <c r="H177" s="736"/>
      <c r="I177" s="736"/>
      <c r="J177" s="736"/>
      <c r="K177" s="736"/>
      <c r="L177" s="736"/>
      <c r="M177" s="736"/>
      <c r="N177" s="736"/>
      <c r="O177" s="736"/>
      <c r="P177" s="736"/>
      <c r="Q177" s="736"/>
      <c r="R177" s="736"/>
      <c r="S177" s="736"/>
      <c r="T177" s="736"/>
      <c r="U177" s="736"/>
      <c r="V177" s="736"/>
      <c r="W177" s="736"/>
      <c r="X177" s="736"/>
      <c r="Y177" s="736"/>
      <c r="Z177" s="736"/>
      <c r="AA177" s="736"/>
      <c r="AB177" s="736"/>
      <c r="AC177" s="736"/>
      <c r="AD177" s="736"/>
      <c r="AE177" s="736"/>
      <c r="AF177" s="736"/>
      <c r="AG177" s="736"/>
      <c r="AH177" s="736"/>
      <c r="AI177" s="736"/>
      <c r="AJ177" s="736"/>
      <c r="AK177" s="736"/>
      <c r="AL177" s="736"/>
      <c r="AM177" s="736"/>
      <c r="AN177" s="736"/>
    </row>
    <row r="178" spans="1:40">
      <c r="A178" s="740"/>
      <c r="H178" s="736"/>
      <c r="I178" s="736"/>
      <c r="J178" s="736"/>
      <c r="K178" s="736"/>
      <c r="L178" s="736"/>
      <c r="M178" s="736"/>
      <c r="N178" s="736"/>
      <c r="O178" s="736"/>
      <c r="P178" s="736"/>
      <c r="Q178" s="736"/>
      <c r="R178" s="736"/>
      <c r="S178" s="736"/>
      <c r="T178" s="736"/>
      <c r="U178" s="736"/>
      <c r="V178" s="736"/>
      <c r="W178" s="736"/>
      <c r="X178" s="736"/>
      <c r="Y178" s="736"/>
      <c r="Z178" s="736"/>
      <c r="AA178" s="736"/>
      <c r="AB178" s="736"/>
      <c r="AC178" s="736"/>
      <c r="AD178" s="736"/>
      <c r="AE178" s="736"/>
      <c r="AF178" s="736"/>
      <c r="AG178" s="736"/>
      <c r="AH178" s="736"/>
      <c r="AI178" s="736"/>
      <c r="AJ178" s="736"/>
      <c r="AK178" s="736"/>
      <c r="AL178" s="736"/>
      <c r="AM178" s="736"/>
      <c r="AN178" s="736"/>
    </row>
    <row r="179" spans="1:40">
      <c r="A179" s="740">
        <v>158</v>
      </c>
      <c r="H179" s="736"/>
      <c r="I179" s="736"/>
      <c r="J179" s="736"/>
      <c r="K179" s="736"/>
      <c r="L179" s="736"/>
      <c r="M179" s="736"/>
      <c r="N179" s="736"/>
      <c r="O179" s="736"/>
      <c r="P179" s="736"/>
      <c r="Q179" s="736"/>
      <c r="R179" s="736"/>
      <c r="S179" s="736"/>
      <c r="T179" s="736"/>
      <c r="U179" s="736"/>
      <c r="V179" s="736"/>
      <c r="W179" s="736"/>
      <c r="X179" s="736"/>
      <c r="Y179" s="736"/>
      <c r="Z179" s="736"/>
      <c r="AA179" s="736"/>
      <c r="AB179" s="736"/>
      <c r="AC179" s="736"/>
      <c r="AD179" s="736"/>
      <c r="AE179" s="736"/>
      <c r="AF179" s="736"/>
      <c r="AG179" s="736"/>
      <c r="AH179" s="736"/>
      <c r="AI179" s="736"/>
      <c r="AJ179" s="736"/>
      <c r="AK179" s="736"/>
      <c r="AL179" s="736"/>
      <c r="AM179" s="736"/>
      <c r="AN179" s="736"/>
    </row>
    <row r="180" spans="1:40">
      <c r="A180" s="740">
        <v>159</v>
      </c>
      <c r="H180" s="736"/>
      <c r="I180" s="736"/>
      <c r="J180" s="736"/>
      <c r="K180" s="736"/>
      <c r="L180" s="736"/>
      <c r="M180" s="736"/>
      <c r="N180" s="736"/>
      <c r="O180" s="736"/>
      <c r="P180" s="736"/>
      <c r="Q180" s="736"/>
      <c r="R180" s="736"/>
      <c r="S180" s="736"/>
      <c r="T180" s="736"/>
      <c r="U180" s="736"/>
      <c r="V180" s="736"/>
      <c r="W180" s="736"/>
      <c r="X180" s="736"/>
      <c r="Y180" s="736"/>
      <c r="Z180" s="736"/>
      <c r="AA180" s="736"/>
      <c r="AB180" s="736"/>
      <c r="AC180" s="736"/>
      <c r="AD180" s="736"/>
      <c r="AE180" s="736"/>
      <c r="AF180" s="736"/>
      <c r="AG180" s="736"/>
      <c r="AH180" s="736"/>
      <c r="AI180" s="736"/>
      <c r="AJ180" s="736"/>
      <c r="AK180" s="736"/>
      <c r="AL180" s="736"/>
      <c r="AM180" s="736"/>
      <c r="AN180" s="736"/>
    </row>
    <row r="181" spans="1:40">
      <c r="A181" s="736">
        <v>160</v>
      </c>
      <c r="H181" s="736"/>
      <c r="I181" s="736"/>
      <c r="J181" s="736"/>
      <c r="K181" s="736"/>
      <c r="L181" s="736"/>
      <c r="M181" s="736"/>
      <c r="N181" s="736"/>
      <c r="O181" s="736"/>
      <c r="P181" s="736"/>
      <c r="Q181" s="736"/>
      <c r="R181" s="736"/>
      <c r="S181" s="736"/>
      <c r="T181" s="736"/>
      <c r="U181" s="736"/>
      <c r="V181" s="736"/>
      <c r="W181" s="736"/>
      <c r="X181" s="736"/>
      <c r="Y181" s="736"/>
      <c r="Z181" s="736"/>
      <c r="AA181" s="736"/>
      <c r="AB181" s="736"/>
      <c r="AC181" s="736"/>
      <c r="AD181" s="736"/>
      <c r="AE181" s="736"/>
      <c r="AF181" s="736"/>
      <c r="AG181" s="736"/>
      <c r="AH181" s="736"/>
      <c r="AI181" s="736"/>
      <c r="AJ181" s="736"/>
      <c r="AK181" s="736"/>
      <c r="AL181" s="736"/>
      <c r="AM181" s="736"/>
      <c r="AN181" s="736"/>
    </row>
    <row r="182" spans="1:40">
      <c r="A182" s="736"/>
      <c r="H182" s="736"/>
      <c r="I182" s="736"/>
      <c r="J182" s="736"/>
      <c r="K182" s="736"/>
      <c r="L182" s="736"/>
      <c r="M182" s="736"/>
      <c r="N182" s="736"/>
      <c r="O182" s="736"/>
      <c r="P182" s="736"/>
      <c r="Q182" s="736"/>
      <c r="R182" s="736"/>
      <c r="S182" s="736"/>
      <c r="T182" s="736"/>
      <c r="U182" s="736"/>
      <c r="V182" s="736"/>
      <c r="W182" s="736"/>
      <c r="X182" s="736"/>
      <c r="Y182" s="736"/>
      <c r="Z182" s="736"/>
      <c r="AA182" s="736"/>
      <c r="AB182" s="736"/>
      <c r="AC182" s="736"/>
      <c r="AD182" s="736"/>
      <c r="AE182" s="736"/>
      <c r="AF182" s="736"/>
      <c r="AG182" s="736"/>
      <c r="AH182" s="736"/>
      <c r="AI182" s="736"/>
      <c r="AJ182" s="736"/>
      <c r="AK182" s="736"/>
      <c r="AL182" s="736"/>
      <c r="AM182" s="736"/>
      <c r="AN182" s="736"/>
    </row>
    <row r="183" spans="1:40">
      <c r="A183" s="736"/>
      <c r="H183" s="736"/>
      <c r="I183" s="736"/>
      <c r="J183" s="736"/>
      <c r="K183" s="736"/>
      <c r="L183" s="736"/>
      <c r="M183" s="736"/>
      <c r="N183" s="736"/>
      <c r="O183" s="736"/>
      <c r="P183" s="736"/>
      <c r="Q183" s="736"/>
      <c r="R183" s="736"/>
      <c r="S183" s="736"/>
      <c r="T183" s="736"/>
      <c r="U183" s="736"/>
      <c r="V183" s="736"/>
      <c r="W183" s="736"/>
      <c r="X183" s="736"/>
      <c r="Y183" s="736"/>
      <c r="Z183" s="736"/>
      <c r="AA183" s="736"/>
      <c r="AB183" s="736"/>
      <c r="AC183" s="736"/>
      <c r="AD183" s="736"/>
      <c r="AE183" s="736"/>
      <c r="AF183" s="736"/>
      <c r="AG183" s="736"/>
      <c r="AH183" s="736"/>
      <c r="AI183" s="736"/>
      <c r="AJ183" s="736"/>
      <c r="AK183" s="736"/>
      <c r="AL183" s="736"/>
      <c r="AM183" s="736"/>
      <c r="AN183" s="736"/>
    </row>
    <row r="184" spans="1:40">
      <c r="A184" s="723"/>
      <c r="H184" s="723"/>
      <c r="I184" s="723"/>
      <c r="J184" s="723"/>
      <c r="K184" s="723"/>
      <c r="L184" s="723"/>
      <c r="M184" s="723"/>
      <c r="N184" s="723"/>
      <c r="O184" s="723"/>
      <c r="P184" s="723"/>
      <c r="Q184" s="723"/>
      <c r="R184" s="723"/>
      <c r="S184" s="723"/>
      <c r="T184" s="723"/>
      <c r="U184" s="723"/>
      <c r="V184" s="723"/>
      <c r="W184" s="723"/>
      <c r="X184" s="723"/>
      <c r="Y184" s="723"/>
      <c r="Z184" s="723"/>
      <c r="AA184" s="723"/>
      <c r="AB184" s="723"/>
      <c r="AC184" s="723"/>
      <c r="AD184" s="723"/>
      <c r="AE184" s="723"/>
      <c r="AF184" s="723"/>
      <c r="AG184" s="723"/>
      <c r="AH184" s="723"/>
      <c r="AI184" s="723"/>
      <c r="AJ184" s="723"/>
      <c r="AK184" s="723"/>
      <c r="AL184" s="723"/>
      <c r="AM184" s="723"/>
      <c r="AN184" s="723"/>
    </row>
    <row r="185" spans="1:40">
      <c r="A185" s="723"/>
      <c r="H185" s="723"/>
      <c r="I185" s="723"/>
      <c r="J185" s="723"/>
      <c r="K185" s="723"/>
      <c r="L185" s="723"/>
      <c r="M185" s="723"/>
      <c r="N185" s="723"/>
      <c r="O185" s="723"/>
      <c r="P185" s="723"/>
      <c r="Q185" s="723"/>
      <c r="R185" s="723"/>
      <c r="S185" s="723"/>
      <c r="T185" s="723"/>
      <c r="U185" s="723"/>
      <c r="V185" s="723"/>
      <c r="W185" s="723"/>
      <c r="X185" s="723"/>
      <c r="Y185" s="723"/>
      <c r="Z185" s="723"/>
      <c r="AA185" s="723"/>
      <c r="AB185" s="723"/>
      <c r="AC185" s="723"/>
      <c r="AD185" s="723"/>
      <c r="AE185" s="723"/>
      <c r="AF185" s="723"/>
      <c r="AG185" s="723"/>
      <c r="AH185" s="723"/>
      <c r="AI185" s="723"/>
      <c r="AJ185" s="723"/>
      <c r="AK185" s="723"/>
      <c r="AL185" s="723"/>
      <c r="AM185" s="723"/>
      <c r="AN185" s="723"/>
    </row>
    <row r="186" spans="1:40">
      <c r="A186" s="723"/>
      <c r="H186" s="723"/>
      <c r="I186" s="723"/>
      <c r="J186" s="723"/>
      <c r="K186" s="723"/>
      <c r="L186" s="723"/>
      <c r="M186" s="723"/>
      <c r="N186" s="723"/>
      <c r="O186" s="723"/>
      <c r="P186" s="723"/>
      <c r="Q186" s="723"/>
      <c r="R186" s="723"/>
      <c r="S186" s="723"/>
      <c r="T186" s="723"/>
      <c r="U186" s="723"/>
      <c r="V186" s="723"/>
      <c r="W186" s="723"/>
      <c r="X186" s="723"/>
      <c r="Y186" s="723"/>
      <c r="Z186" s="723"/>
      <c r="AA186" s="723"/>
      <c r="AB186" s="723"/>
      <c r="AC186" s="723"/>
      <c r="AD186" s="723"/>
      <c r="AE186" s="723"/>
      <c r="AF186" s="723"/>
      <c r="AG186" s="723"/>
      <c r="AH186" s="723"/>
      <c r="AI186" s="723"/>
      <c r="AJ186" s="723"/>
      <c r="AK186" s="723"/>
      <c r="AL186" s="723"/>
      <c r="AM186" s="723"/>
      <c r="AN186" s="723"/>
    </row>
    <row r="187" spans="1:40">
      <c r="A187" s="723"/>
      <c r="B187" s="723"/>
      <c r="C187" s="725"/>
      <c r="D187" s="726"/>
      <c r="E187" s="727"/>
      <c r="F187" s="723"/>
      <c r="G187" s="723"/>
      <c r="H187" s="723"/>
      <c r="I187" s="723"/>
      <c r="J187" s="723"/>
      <c r="K187" s="723"/>
      <c r="L187" s="723"/>
      <c r="M187" s="723"/>
      <c r="N187" s="723"/>
      <c r="O187" s="723"/>
      <c r="P187" s="723"/>
      <c r="Q187" s="723"/>
      <c r="R187" s="723"/>
      <c r="S187" s="723"/>
      <c r="T187" s="723"/>
      <c r="U187" s="723"/>
      <c r="V187" s="723"/>
      <c r="W187" s="723"/>
      <c r="X187" s="723"/>
      <c r="Y187" s="723"/>
      <c r="Z187" s="723"/>
      <c r="AA187" s="723"/>
      <c r="AB187" s="723"/>
      <c r="AC187" s="723"/>
      <c r="AD187" s="723"/>
      <c r="AE187" s="723"/>
      <c r="AF187" s="723"/>
      <c r="AG187" s="723"/>
      <c r="AH187" s="723"/>
      <c r="AI187" s="723"/>
      <c r="AJ187" s="723"/>
      <c r="AK187" s="723"/>
      <c r="AL187" s="723"/>
      <c r="AM187" s="723"/>
      <c r="AN187" s="723"/>
    </row>
    <row r="188" spans="1:40">
      <c r="A188" s="723"/>
      <c r="B188" s="723"/>
      <c r="C188" s="725"/>
      <c r="D188" s="726"/>
      <c r="E188" s="727"/>
      <c r="F188" s="723"/>
      <c r="G188" s="723"/>
      <c r="H188" s="723"/>
      <c r="I188" s="723"/>
      <c r="J188" s="723"/>
      <c r="K188" s="723"/>
      <c r="L188" s="723"/>
      <c r="M188" s="723"/>
      <c r="N188" s="723"/>
      <c r="O188" s="723"/>
      <c r="P188" s="723"/>
      <c r="Q188" s="723"/>
      <c r="R188" s="723"/>
      <c r="S188" s="723"/>
      <c r="T188" s="723"/>
      <c r="U188" s="723"/>
      <c r="V188" s="723"/>
      <c r="W188" s="723"/>
      <c r="X188" s="723"/>
      <c r="Y188" s="723"/>
      <c r="Z188" s="723"/>
      <c r="AA188" s="723"/>
      <c r="AB188" s="723"/>
      <c r="AC188" s="723"/>
      <c r="AD188" s="723"/>
      <c r="AE188" s="723"/>
      <c r="AF188" s="723"/>
      <c r="AG188" s="723"/>
      <c r="AH188" s="723"/>
      <c r="AI188" s="723"/>
      <c r="AJ188" s="723"/>
      <c r="AK188" s="723"/>
      <c r="AL188" s="723"/>
      <c r="AM188" s="723"/>
      <c r="AN188" s="723"/>
    </row>
    <row r="189" spans="1:40">
      <c r="A189" s="723"/>
      <c r="B189" s="723"/>
      <c r="C189" s="725"/>
      <c r="D189" s="726"/>
      <c r="E189" s="727"/>
      <c r="F189" s="723"/>
      <c r="G189" s="723"/>
      <c r="H189" s="723"/>
      <c r="I189" s="723"/>
      <c r="J189" s="723"/>
      <c r="K189" s="723"/>
      <c r="L189" s="723"/>
      <c r="M189" s="723"/>
      <c r="N189" s="723"/>
      <c r="O189" s="723"/>
      <c r="P189" s="723"/>
      <c r="Q189" s="723"/>
      <c r="R189" s="723"/>
      <c r="S189" s="723"/>
      <c r="T189" s="723"/>
      <c r="U189" s="723"/>
      <c r="V189" s="723"/>
      <c r="W189" s="723"/>
      <c r="X189" s="723"/>
      <c r="Y189" s="723"/>
      <c r="Z189" s="723"/>
      <c r="AA189" s="723"/>
      <c r="AB189" s="723"/>
      <c r="AC189" s="723"/>
      <c r="AD189" s="723"/>
      <c r="AE189" s="723"/>
      <c r="AF189" s="723"/>
      <c r="AG189" s="723"/>
      <c r="AH189" s="723"/>
      <c r="AI189" s="723"/>
      <c r="AJ189" s="723"/>
      <c r="AK189" s="723"/>
      <c r="AL189" s="723"/>
      <c r="AM189" s="723"/>
      <c r="AN189" s="723"/>
    </row>
    <row r="190" spans="1:40">
      <c r="A190" s="723"/>
      <c r="B190" s="684" t="s">
        <v>607</v>
      </c>
      <c r="C190" s="108"/>
      <c r="D190" s="726"/>
      <c r="E190" s="727"/>
      <c r="F190" s="723"/>
      <c r="G190" s="723"/>
      <c r="H190" s="723"/>
      <c r="I190" s="723"/>
      <c r="J190" s="723"/>
      <c r="K190" s="723"/>
      <c r="L190" s="723"/>
      <c r="M190" s="723"/>
      <c r="N190" s="723"/>
      <c r="O190" s="723"/>
      <c r="P190" s="723"/>
      <c r="Q190" s="723"/>
      <c r="R190" s="723"/>
      <c r="S190" s="723"/>
      <c r="T190" s="723"/>
      <c r="U190" s="723"/>
      <c r="V190" s="723"/>
      <c r="W190" s="723"/>
      <c r="X190" s="723"/>
      <c r="Y190" s="723"/>
      <c r="Z190" s="723"/>
      <c r="AA190" s="723"/>
      <c r="AB190" s="723"/>
      <c r="AC190" s="723"/>
      <c r="AD190" s="723"/>
      <c r="AE190" s="723"/>
      <c r="AF190" s="723"/>
      <c r="AG190" s="723"/>
      <c r="AH190" s="723"/>
      <c r="AI190" s="723"/>
      <c r="AJ190" s="723"/>
      <c r="AK190" s="723"/>
      <c r="AL190" s="723"/>
      <c r="AM190" s="723"/>
      <c r="AN190" s="723"/>
    </row>
    <row r="191" spans="1:40">
      <c r="A191" s="723"/>
      <c r="B191" s="741" t="s">
        <v>608</v>
      </c>
      <c r="C191" s="725"/>
      <c r="D191" s="726"/>
      <c r="E191" s="727"/>
      <c r="F191" s="723"/>
      <c r="G191" s="723"/>
      <c r="H191" s="723"/>
      <c r="I191" s="723"/>
      <c r="J191" s="723"/>
      <c r="K191" s="723"/>
      <c r="L191" s="723"/>
      <c r="M191" s="723"/>
      <c r="N191" s="723"/>
      <c r="O191" s="723"/>
      <c r="P191" s="723"/>
      <c r="Q191" s="723"/>
      <c r="R191" s="723"/>
      <c r="S191" s="723"/>
      <c r="T191" s="723"/>
      <c r="U191" s="723"/>
      <c r="V191" s="723"/>
      <c r="W191" s="723"/>
      <c r="X191" s="723"/>
      <c r="Y191" s="723"/>
      <c r="Z191" s="723"/>
      <c r="AA191" s="723"/>
      <c r="AB191" s="723"/>
      <c r="AC191" s="723"/>
      <c r="AD191" s="723"/>
      <c r="AE191" s="723"/>
      <c r="AF191" s="723"/>
      <c r="AG191" s="723"/>
      <c r="AH191" s="723"/>
      <c r="AI191" s="723"/>
      <c r="AJ191" s="723"/>
      <c r="AK191" s="723"/>
      <c r="AL191" s="723"/>
      <c r="AM191" s="723"/>
      <c r="AN191" s="723"/>
    </row>
    <row r="192" spans="1:40">
      <c r="A192" s="723"/>
      <c r="B192" s="723"/>
      <c r="C192" s="725"/>
      <c r="D192" s="726"/>
      <c r="E192" s="727"/>
      <c r="F192" s="723"/>
      <c r="G192" s="723"/>
      <c r="H192" s="723"/>
      <c r="I192" s="723"/>
      <c r="J192" s="723"/>
      <c r="K192" s="723"/>
      <c r="L192" s="723"/>
      <c r="M192" s="723"/>
      <c r="N192" s="723"/>
      <c r="O192" s="723"/>
      <c r="P192" s="723"/>
      <c r="Q192" s="723"/>
      <c r="R192" s="723"/>
      <c r="S192" s="723"/>
      <c r="T192" s="723"/>
      <c r="U192" s="723"/>
      <c r="V192" s="723"/>
      <c r="W192" s="723"/>
      <c r="X192" s="723"/>
      <c r="Y192" s="723"/>
      <c r="Z192" s="723"/>
      <c r="AA192" s="723"/>
      <c r="AB192" s="723"/>
      <c r="AC192" s="723"/>
      <c r="AD192" s="723"/>
      <c r="AE192" s="723"/>
      <c r="AF192" s="723"/>
      <c r="AG192" s="723"/>
      <c r="AH192" s="723"/>
      <c r="AI192" s="723"/>
      <c r="AJ192" s="723"/>
      <c r="AK192" s="723"/>
      <c r="AL192" s="723"/>
      <c r="AM192" s="723"/>
      <c r="AN192" s="723"/>
    </row>
    <row r="193" spans="1:40">
      <c r="A193" s="723"/>
      <c r="B193" s="723"/>
      <c r="C193" s="725"/>
      <c r="D193" s="726"/>
      <c r="E193" s="727"/>
      <c r="F193" s="723"/>
      <c r="G193" s="723"/>
      <c r="H193" s="723"/>
      <c r="I193" s="723"/>
      <c r="J193" s="723"/>
      <c r="K193" s="723"/>
      <c r="L193" s="723"/>
      <c r="M193" s="723"/>
      <c r="N193" s="723"/>
      <c r="O193" s="723"/>
      <c r="P193" s="723"/>
      <c r="Q193" s="723"/>
      <c r="R193" s="723"/>
      <c r="S193" s="723"/>
      <c r="T193" s="723"/>
      <c r="U193" s="723"/>
      <c r="V193" s="723"/>
      <c r="W193" s="723"/>
      <c r="X193" s="723"/>
      <c r="Y193" s="723"/>
      <c r="Z193" s="723"/>
      <c r="AA193" s="723"/>
      <c r="AB193" s="723"/>
      <c r="AC193" s="723"/>
      <c r="AD193" s="723"/>
      <c r="AE193" s="723"/>
      <c r="AF193" s="723"/>
      <c r="AG193" s="723"/>
      <c r="AH193" s="723"/>
      <c r="AI193" s="723"/>
      <c r="AJ193" s="723"/>
      <c r="AK193" s="723"/>
      <c r="AL193" s="723"/>
      <c r="AM193" s="723"/>
      <c r="AN193" s="723"/>
    </row>
    <row r="194" spans="1:40">
      <c r="A194" s="723"/>
      <c r="B194" s="723"/>
      <c r="C194" s="725"/>
      <c r="D194" s="726"/>
      <c r="E194" s="727"/>
      <c r="F194" s="723"/>
      <c r="G194" s="723"/>
      <c r="H194" s="723"/>
      <c r="I194" s="723"/>
      <c r="J194" s="723"/>
      <c r="K194" s="723"/>
      <c r="L194" s="723"/>
      <c r="M194" s="723"/>
      <c r="N194" s="723"/>
      <c r="O194" s="723"/>
      <c r="P194" s="723"/>
      <c r="Q194" s="723"/>
      <c r="R194" s="723"/>
      <c r="S194" s="723"/>
      <c r="T194" s="723"/>
      <c r="U194" s="723"/>
      <c r="V194" s="723"/>
      <c r="W194" s="723"/>
      <c r="X194" s="723"/>
      <c r="Y194" s="723"/>
      <c r="Z194" s="723"/>
      <c r="AA194" s="723"/>
      <c r="AB194" s="723"/>
      <c r="AC194" s="723"/>
      <c r="AD194" s="723"/>
      <c r="AE194" s="723"/>
      <c r="AF194" s="723"/>
      <c r="AG194" s="723"/>
      <c r="AH194" s="723"/>
      <c r="AI194" s="723"/>
      <c r="AJ194" s="723"/>
      <c r="AK194" s="723"/>
      <c r="AL194" s="723"/>
      <c r="AM194" s="723"/>
      <c r="AN194" s="723"/>
    </row>
  </sheetData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view="pageBreakPreview" zoomScale="110" zoomScaleNormal="100" zoomScaleSheetLayoutView="110" workbookViewId="0">
      <selection activeCell="B43" sqref="B43"/>
    </sheetView>
  </sheetViews>
  <sheetFormatPr defaultRowHeight="12.75"/>
  <cols>
    <col min="2" max="2" width="25.5" customWidth="1"/>
    <col min="3" max="3" width="13.1640625" style="6" bestFit="1" customWidth="1"/>
    <col min="4" max="4" width="15" style="6" customWidth="1"/>
    <col min="5" max="6" width="14.33203125" style="6" customWidth="1"/>
    <col min="7" max="7" width="17" style="6" customWidth="1"/>
    <col min="8" max="8" width="14.83203125" style="6" customWidth="1"/>
    <col min="9" max="9" width="11.5" style="6" customWidth="1"/>
    <col min="10" max="10" width="25.33203125" customWidth="1"/>
    <col min="11" max="11" width="0" hidden="1" customWidth="1"/>
    <col min="12" max="14" width="10.83203125" hidden="1" customWidth="1"/>
    <col min="15" max="27" width="10.83203125" customWidth="1"/>
    <col min="28" max="29" width="10.83203125" hidden="1" customWidth="1"/>
    <col min="30" max="30" width="13.83203125" hidden="1" customWidth="1"/>
  </cols>
  <sheetData>
    <row r="1" spans="2:30" ht="15.75">
      <c r="I1" s="8" t="s">
        <v>346</v>
      </c>
      <c r="AD1" s="325"/>
    </row>
    <row r="2" spans="2:30" ht="15.75">
      <c r="I2" s="665" t="s">
        <v>414</v>
      </c>
    </row>
    <row r="3" spans="2:30" ht="18.75">
      <c r="B3" s="28" t="s">
        <v>149</v>
      </c>
      <c r="C3" s="33"/>
      <c r="D3" s="33"/>
      <c r="E3" s="33"/>
      <c r="F3" s="33"/>
      <c r="G3" s="33"/>
      <c r="H3" s="33"/>
      <c r="I3" s="33"/>
      <c r="L3" s="834" t="s">
        <v>149</v>
      </c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</row>
    <row r="4" spans="2:30" ht="18.75">
      <c r="B4" s="28" t="s">
        <v>317</v>
      </c>
      <c r="C4" s="33"/>
      <c r="D4" s="33"/>
      <c r="E4" s="33"/>
      <c r="F4" s="33"/>
      <c r="G4" s="33"/>
      <c r="H4" s="33"/>
      <c r="I4" s="33"/>
      <c r="L4" s="835" t="s">
        <v>317</v>
      </c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</row>
    <row r="5" spans="2:30" ht="15.75">
      <c r="B5" s="31" t="s">
        <v>346</v>
      </c>
      <c r="C5" s="33"/>
      <c r="D5" s="33"/>
      <c r="E5" s="33"/>
      <c r="F5" s="33"/>
      <c r="G5" s="33"/>
      <c r="H5" s="33"/>
      <c r="I5" s="33"/>
      <c r="L5" s="836" t="str">
        <f>+B5</f>
        <v>Docket No. 13-057-05</v>
      </c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6"/>
      <c r="AA5" s="836"/>
      <c r="AB5" s="836"/>
      <c r="AC5" s="836"/>
      <c r="AD5" s="836"/>
    </row>
    <row r="6" spans="2:30" hidden="1"/>
    <row r="7" spans="2:30" hidden="1"/>
    <row r="8" spans="2:30" hidden="1">
      <c r="C8" s="92" t="s">
        <v>150</v>
      </c>
      <c r="D8" s="93"/>
      <c r="E8" s="93" t="s">
        <v>146</v>
      </c>
      <c r="F8" s="93"/>
      <c r="G8" s="93"/>
      <c r="H8" s="93" t="s">
        <v>151</v>
      </c>
      <c r="I8" s="93"/>
    </row>
    <row r="9" spans="2:30" ht="12" hidden="1" customHeight="1">
      <c r="B9" s="94" t="s">
        <v>3</v>
      </c>
      <c r="C9" s="95">
        <v>2007</v>
      </c>
      <c r="D9" s="96" t="s">
        <v>152</v>
      </c>
      <c r="E9" s="95">
        <v>2007</v>
      </c>
      <c r="F9" s="95"/>
      <c r="G9" s="96" t="str">
        <f>D9</f>
        <v>Avg. 2001-2007</v>
      </c>
      <c r="H9" s="95">
        <v>2007</v>
      </c>
      <c r="I9" s="96" t="str">
        <f>D9</f>
        <v>Avg. 2001-2007</v>
      </c>
    </row>
    <row r="10" spans="2:30" ht="7.5" hidden="1" customHeight="1">
      <c r="B10" s="97"/>
      <c r="C10" s="98"/>
      <c r="D10" s="99"/>
      <c r="E10" s="98"/>
      <c r="F10" s="98"/>
      <c r="G10" s="99"/>
      <c r="H10" s="98"/>
      <c r="I10" s="99"/>
    </row>
    <row r="11" spans="2:30" s="94" customFormat="1" hidden="1">
      <c r="B11" s="100" t="s">
        <v>153</v>
      </c>
      <c r="C11" s="101">
        <v>0.42430000000000001</v>
      </c>
      <c r="D11" s="102">
        <v>0.42559999999999998</v>
      </c>
      <c r="E11" s="101">
        <v>0</v>
      </c>
      <c r="F11" s="101"/>
      <c r="G11" s="102">
        <v>0</v>
      </c>
      <c r="H11" s="102">
        <f t="shared" ref="H11:H20" si="0">C11+E11</f>
        <v>0.42430000000000001</v>
      </c>
      <c r="I11" s="102">
        <f t="shared" ref="I11:I20" si="1">D11+G11</f>
        <v>0.42559999999999998</v>
      </c>
      <c r="L11" s="152">
        <v>0.42035623409669209</v>
      </c>
    </row>
    <row r="12" spans="2:30" s="94" customFormat="1" hidden="1">
      <c r="B12" s="94" t="s">
        <v>7</v>
      </c>
      <c r="C12" s="102">
        <v>0.46329999999999999</v>
      </c>
      <c r="D12" s="102">
        <v>0.44130000000000003</v>
      </c>
      <c r="E12" s="102">
        <v>0</v>
      </c>
      <c r="F12" s="102"/>
      <c r="G12" s="102">
        <v>0</v>
      </c>
      <c r="H12" s="102">
        <f t="shared" si="0"/>
        <v>0.46329999999999999</v>
      </c>
      <c r="I12" s="102">
        <f t="shared" si="1"/>
        <v>0.44130000000000003</v>
      </c>
      <c r="L12" s="152">
        <v>0.44051086712973297</v>
      </c>
      <c r="M12" s="152">
        <f>(1966+1648+1602+1133+858+573+584)/(4463+4135+4134+3342+1945+1378+1415)</f>
        <v>0.40188352873342303</v>
      </c>
    </row>
    <row r="13" spans="2:30" s="94" customFormat="1" hidden="1">
      <c r="B13" s="94" t="s">
        <v>10</v>
      </c>
      <c r="C13" s="102">
        <v>0.54600000000000004</v>
      </c>
      <c r="D13" s="102">
        <v>0.50990000000000002</v>
      </c>
      <c r="E13" s="102">
        <v>8.0000000000000004E-4</v>
      </c>
      <c r="F13" s="102"/>
      <c r="G13" s="102">
        <v>1.6999999999999999E-3</v>
      </c>
      <c r="H13" s="102">
        <f t="shared" si="0"/>
        <v>0.54680000000000006</v>
      </c>
      <c r="I13" s="102">
        <f t="shared" si="1"/>
        <v>0.51160000000000005</v>
      </c>
      <c r="L13" s="151"/>
      <c r="M13" s="94">
        <f>1966+2126</f>
        <v>4092</v>
      </c>
    </row>
    <row r="14" spans="2:30" s="94" customFormat="1" hidden="1">
      <c r="B14" s="94" t="s">
        <v>12</v>
      </c>
      <c r="C14" s="102">
        <v>0.50029999999999997</v>
      </c>
      <c r="D14" s="102">
        <v>0.46839999999999998</v>
      </c>
      <c r="E14" s="102">
        <v>0</v>
      </c>
      <c r="F14" s="102"/>
      <c r="G14" s="102">
        <v>1E-4</v>
      </c>
      <c r="H14" s="102">
        <f t="shared" si="0"/>
        <v>0.50029999999999997</v>
      </c>
      <c r="I14" s="102">
        <f t="shared" si="1"/>
        <v>0.46849999999999997</v>
      </c>
    </row>
    <row r="15" spans="2:30" s="94" customFormat="1" hidden="1">
      <c r="B15" s="94" t="s">
        <v>154</v>
      </c>
      <c r="C15" s="102">
        <v>0.53500000000000003</v>
      </c>
      <c r="D15" s="102">
        <v>0.51890000000000003</v>
      </c>
      <c r="E15" s="102">
        <v>0</v>
      </c>
      <c r="F15" s="102"/>
      <c r="G15" s="102">
        <v>6.4999999999999997E-3</v>
      </c>
      <c r="H15" s="102">
        <f t="shared" si="0"/>
        <v>0.53500000000000003</v>
      </c>
      <c r="I15" s="102">
        <f t="shared" si="1"/>
        <v>0.52539999999999998</v>
      </c>
    </row>
    <row r="16" spans="2:30" s="94" customFormat="1" hidden="1">
      <c r="B16" s="94" t="s">
        <v>16</v>
      </c>
      <c r="C16" s="102">
        <v>0.51570000000000005</v>
      </c>
      <c r="D16" s="102">
        <v>0.54379999999999995</v>
      </c>
      <c r="E16" s="102">
        <v>0</v>
      </c>
      <c r="F16" s="102"/>
      <c r="G16" s="102">
        <v>0</v>
      </c>
      <c r="H16" s="102">
        <f t="shared" si="0"/>
        <v>0.51570000000000005</v>
      </c>
      <c r="I16" s="102">
        <f t="shared" si="1"/>
        <v>0.54379999999999995</v>
      </c>
    </row>
    <row r="17" spans="2:30" s="94" customFormat="1" hidden="1">
      <c r="B17" s="100" t="s">
        <v>155</v>
      </c>
      <c r="C17" s="102">
        <v>0.5736</v>
      </c>
      <c r="D17" s="102">
        <v>0.55810000000000004</v>
      </c>
      <c r="E17" s="102">
        <v>0</v>
      </c>
      <c r="F17" s="102"/>
      <c r="G17" s="102">
        <v>0</v>
      </c>
      <c r="H17" s="102">
        <f t="shared" si="0"/>
        <v>0.5736</v>
      </c>
      <c r="I17" s="102">
        <f t="shared" si="1"/>
        <v>0.55810000000000004</v>
      </c>
    </row>
    <row r="18" spans="2:30" s="94" customFormat="1" hidden="1">
      <c r="B18" s="100" t="s">
        <v>156</v>
      </c>
      <c r="C18" s="102">
        <v>0.65480000000000005</v>
      </c>
      <c r="D18" s="102">
        <v>0.61499999999999999</v>
      </c>
      <c r="E18" s="102">
        <v>0</v>
      </c>
      <c r="F18" s="102"/>
      <c r="G18" s="102">
        <v>5.9999999999999995E-4</v>
      </c>
      <c r="H18" s="102">
        <f t="shared" si="0"/>
        <v>0.65480000000000005</v>
      </c>
      <c r="I18" s="102">
        <f t="shared" si="1"/>
        <v>0.61560000000000004</v>
      </c>
    </row>
    <row r="19" spans="2:30" s="94" customFormat="1" hidden="1">
      <c r="B19" s="100" t="s">
        <v>157</v>
      </c>
      <c r="C19" s="102">
        <v>0.4521</v>
      </c>
      <c r="D19" s="102">
        <v>0.40060000000000001</v>
      </c>
      <c r="E19" s="102">
        <v>0</v>
      </c>
      <c r="F19" s="102"/>
      <c r="G19" s="102">
        <v>0</v>
      </c>
      <c r="H19" s="102">
        <f t="shared" si="0"/>
        <v>0.4521</v>
      </c>
      <c r="I19" s="102">
        <f t="shared" si="1"/>
        <v>0.40060000000000001</v>
      </c>
    </row>
    <row r="20" spans="2:30" s="94" customFormat="1" hidden="1">
      <c r="B20" s="100" t="s">
        <v>158</v>
      </c>
      <c r="C20" s="102">
        <v>0.59570000000000001</v>
      </c>
      <c r="D20" s="102">
        <v>0.56069999999999998</v>
      </c>
      <c r="E20" s="102">
        <v>1.7100000000000001E-2</v>
      </c>
      <c r="F20" s="102"/>
      <c r="G20" s="102">
        <v>1.8200000000000001E-2</v>
      </c>
      <c r="H20" s="102">
        <f t="shared" si="0"/>
        <v>0.61280000000000001</v>
      </c>
      <c r="I20" s="102">
        <f t="shared" si="1"/>
        <v>0.57889999999999997</v>
      </c>
    </row>
    <row r="21" spans="2:30" hidden="1"/>
    <row r="22" spans="2:30" hidden="1">
      <c r="B22" s="94" t="s">
        <v>80</v>
      </c>
      <c r="C22" s="6">
        <f t="shared" ref="C22:I22" si="2">AVERAGE(C11:C20)</f>
        <v>0.52607999999999999</v>
      </c>
      <c r="D22" s="6">
        <f t="shared" si="2"/>
        <v>0.50422999999999996</v>
      </c>
      <c r="E22" s="6">
        <f t="shared" si="2"/>
        <v>1.7899999999999999E-3</v>
      </c>
      <c r="G22" s="6">
        <f t="shared" si="2"/>
        <v>2.7099999999999997E-3</v>
      </c>
      <c r="H22" s="6">
        <f t="shared" si="2"/>
        <v>0.52786999999999995</v>
      </c>
      <c r="I22" s="6">
        <f t="shared" si="2"/>
        <v>0.50693999999999995</v>
      </c>
    </row>
    <row r="23" spans="2:30" hidden="1">
      <c r="B23" s="94" t="s">
        <v>159</v>
      </c>
      <c r="C23" s="6">
        <f t="shared" ref="C23:I23" si="3">STDEV(C11:C20)</f>
        <v>7.0471582925318438E-2</v>
      </c>
      <c r="D23" s="6">
        <f t="shared" si="3"/>
        <v>6.858879160134955E-2</v>
      </c>
      <c r="E23" s="6">
        <f t="shared" si="3"/>
        <v>5.3852576540031954E-3</v>
      </c>
      <c r="G23" s="6">
        <f t="shared" si="3"/>
        <v>5.8052562389613776E-3</v>
      </c>
      <c r="H23" s="6">
        <f t="shared" si="3"/>
        <v>7.2548896155168532E-2</v>
      </c>
      <c r="I23" s="6">
        <f t="shared" si="3"/>
        <v>7.0737671874484528E-2</v>
      </c>
    </row>
    <row r="24" spans="2:30" hidden="1">
      <c r="B24" s="94" t="s">
        <v>21</v>
      </c>
      <c r="C24" s="6">
        <f t="shared" ref="C24:I24" si="4">MEDIAN(C11:C20)</f>
        <v>0.52534999999999998</v>
      </c>
      <c r="D24" s="6">
        <f t="shared" si="4"/>
        <v>0.51439999999999997</v>
      </c>
      <c r="E24" s="6">
        <f t="shared" si="4"/>
        <v>0</v>
      </c>
      <c r="G24" s="6">
        <f t="shared" si="4"/>
        <v>5.0000000000000002E-5</v>
      </c>
      <c r="H24" s="6">
        <f t="shared" si="4"/>
        <v>0.52534999999999998</v>
      </c>
      <c r="I24" s="6">
        <f t="shared" si="4"/>
        <v>0.51849999999999996</v>
      </c>
    </row>
    <row r="25" spans="2:30" hidden="1"/>
    <row r="26" spans="2:30" hidden="1">
      <c r="B26" s="103" t="s">
        <v>79</v>
      </c>
      <c r="C26" s="104">
        <v>0.5212</v>
      </c>
      <c r="D26" s="104">
        <v>0.51949999999999996</v>
      </c>
      <c r="E26" s="105">
        <v>0</v>
      </c>
      <c r="F26" s="105"/>
      <c r="G26" s="105">
        <v>0</v>
      </c>
      <c r="H26" s="105">
        <f>E26+C26</f>
        <v>0.5212</v>
      </c>
      <c r="I26" s="105">
        <f>G26+D26</f>
        <v>0.51949999999999996</v>
      </c>
      <c r="L26">
        <v>0.56759136944077504</v>
      </c>
    </row>
    <row r="27" spans="2:30" hidden="1"/>
    <row r="28" spans="2:30" hidden="1"/>
    <row r="29" spans="2:30" hidden="1">
      <c r="B29" t="s">
        <v>160</v>
      </c>
    </row>
    <row r="30" spans="2:30" ht="13.5" thickBot="1"/>
    <row r="31" spans="2:30" ht="19.5" thickBot="1">
      <c r="B31" s="837" t="s">
        <v>24</v>
      </c>
      <c r="C31" s="837"/>
      <c r="D31" s="837"/>
      <c r="E31" s="837"/>
      <c r="F31" s="837"/>
      <c r="G31" s="837"/>
      <c r="H31" s="837"/>
      <c r="L31" s="838" t="str">
        <f>+B31</f>
        <v>Equity</v>
      </c>
      <c r="M31" s="839"/>
      <c r="N31" s="839"/>
      <c r="O31" s="839"/>
      <c r="P31" s="839"/>
      <c r="Q31" s="839"/>
      <c r="R31" s="839"/>
      <c r="S31" s="839"/>
      <c r="T31" s="839"/>
      <c r="U31" s="839"/>
      <c r="V31" s="839"/>
      <c r="W31" s="839"/>
      <c r="X31" s="839"/>
      <c r="Y31" s="839"/>
      <c r="Z31" s="839"/>
      <c r="AA31" s="839"/>
      <c r="AB31" s="839"/>
      <c r="AC31" s="839"/>
      <c r="AD31" s="840"/>
    </row>
    <row r="32" spans="2:30" ht="15">
      <c r="B32" s="326"/>
      <c r="C32" s="607"/>
      <c r="D32" s="607"/>
      <c r="E32" s="607"/>
      <c r="F32" s="608" t="s">
        <v>382</v>
      </c>
      <c r="G32" s="608" t="s">
        <v>230</v>
      </c>
      <c r="H32" s="607" t="str">
        <f>+AA32</f>
        <v>Average</v>
      </c>
      <c r="AA32" t="s">
        <v>38</v>
      </c>
    </row>
    <row r="33" spans="2:30" ht="15">
      <c r="B33" s="326"/>
      <c r="C33" s="607"/>
      <c r="D33" s="607"/>
      <c r="E33" s="607"/>
      <c r="F33" s="608" t="s">
        <v>38</v>
      </c>
      <c r="G33" s="608" t="s">
        <v>38</v>
      </c>
      <c r="H33" s="607" t="str">
        <f>+AA33</f>
        <v xml:space="preserve">Annual </v>
      </c>
      <c r="Y33" t="s">
        <v>334</v>
      </c>
      <c r="Z33" t="s">
        <v>381</v>
      </c>
      <c r="AA33" t="s">
        <v>260</v>
      </c>
      <c r="AC33" s="53" t="s">
        <v>321</v>
      </c>
      <c r="AD33" s="321" t="s">
        <v>292</v>
      </c>
    </row>
    <row r="34" spans="2:30" ht="15">
      <c r="B34" s="326"/>
      <c r="C34" s="609">
        <f>+V34</f>
        <v>2010</v>
      </c>
      <c r="D34" s="609">
        <f>+W34</f>
        <v>2011</v>
      </c>
      <c r="E34" s="609">
        <f>+X34</f>
        <v>2012</v>
      </c>
      <c r="F34" s="607" t="s">
        <v>383</v>
      </c>
      <c r="G34" s="607" t="s">
        <v>329</v>
      </c>
      <c r="H34" s="607" t="str">
        <f>+AA34</f>
        <v>% Change</v>
      </c>
      <c r="I34" s="52"/>
      <c r="K34" s="250">
        <v>1999</v>
      </c>
      <c r="L34" s="354">
        <v>2000</v>
      </c>
      <c r="M34" s="354">
        <v>2001</v>
      </c>
      <c r="N34" s="354">
        <v>2002</v>
      </c>
      <c r="O34" s="354">
        <v>2003</v>
      </c>
      <c r="P34" s="354">
        <v>2004</v>
      </c>
      <c r="Q34" s="354">
        <v>2005</v>
      </c>
      <c r="R34" s="354">
        <v>2006</v>
      </c>
      <c r="S34" s="354">
        <v>2007</v>
      </c>
      <c r="T34" s="354">
        <v>2008</v>
      </c>
      <c r="U34" s="354">
        <v>2009</v>
      </c>
      <c r="V34" s="354">
        <f>+U34+1</f>
        <v>2010</v>
      </c>
      <c r="W34" s="354">
        <f t="shared" ref="W34:X34" si="5">+V34+1</f>
        <v>2011</v>
      </c>
      <c r="X34" s="354">
        <f t="shared" si="5"/>
        <v>2012</v>
      </c>
      <c r="Y34" s="354" t="str">
        <f>+Z34</f>
        <v>Average</v>
      </c>
      <c r="Z34" s="334" t="s">
        <v>38</v>
      </c>
      <c r="AA34" s="334" t="s">
        <v>261</v>
      </c>
      <c r="AB34" s="334"/>
      <c r="AC34" s="318" t="s">
        <v>38</v>
      </c>
      <c r="AD34" s="355" t="s">
        <v>293</v>
      </c>
    </row>
    <row r="35" spans="2:30" ht="15">
      <c r="B35" s="326"/>
      <c r="C35" s="610"/>
      <c r="D35" s="610"/>
      <c r="E35" s="610"/>
      <c r="F35" s="610"/>
      <c r="G35" s="610"/>
      <c r="H35" s="610"/>
    </row>
    <row r="36" spans="2:30" ht="15">
      <c r="B36" s="611" t="s">
        <v>5</v>
      </c>
      <c r="C36" s="612">
        <f>+V36</f>
        <v>0.52037887485648682</v>
      </c>
      <c r="D36" s="612">
        <f t="shared" ref="D36:E36" si="6">+W36</f>
        <v>0.4823375490623637</v>
      </c>
      <c r="E36" s="612">
        <f t="shared" si="6"/>
        <v>0.50637982195845699</v>
      </c>
      <c r="F36" s="612">
        <f>+Y36</f>
        <v>0.4981292118819079</v>
      </c>
      <c r="G36" s="612">
        <f>+Z36</f>
        <v>0.49246460594095398</v>
      </c>
      <c r="H36" s="612">
        <f>+AA36</f>
        <v>2.0796035918353496E-3</v>
      </c>
      <c r="J36" s="100" t="s">
        <v>5</v>
      </c>
      <c r="K36" s="121">
        <v>0.49199999999999999</v>
      </c>
      <c r="L36" s="121">
        <v>0.48299999999999998</v>
      </c>
      <c r="M36" s="121">
        <v>0.38700000000000001</v>
      </c>
      <c r="N36" s="121">
        <v>0.41699999999999998</v>
      </c>
      <c r="O36" s="121">
        <v>0.497</v>
      </c>
      <c r="P36" s="121">
        <v>0.46</v>
      </c>
      <c r="Q36" s="121">
        <v>0.48099999999999998</v>
      </c>
      <c r="R36" s="121">
        <v>0.498</v>
      </c>
      <c r="S36" s="121">
        <v>0.498</v>
      </c>
      <c r="T36" s="121">
        <v>0.497</v>
      </c>
      <c r="U36" s="121">
        <f>+'Comp Detail'!AZ13</f>
        <v>0.48454981353223231</v>
      </c>
      <c r="V36" s="194">
        <f>+'Comp Detail'!BA13</f>
        <v>0.52037887485648682</v>
      </c>
      <c r="W36" s="194">
        <f>+'Comp Detail'!BB13</f>
        <v>0.4823375490623637</v>
      </c>
      <c r="X36" s="194">
        <f>+'Comp Detail'!BC13</f>
        <v>0.50637982195845699</v>
      </c>
      <c r="Y36" s="194">
        <f>AVERAGE(T36:X36)</f>
        <v>0.4981292118819079</v>
      </c>
      <c r="Z36" s="121">
        <f>AVERAGE(O36:X36)</f>
        <v>0.49246460594095398</v>
      </c>
      <c r="AA36" s="116">
        <f>RATE(9,,-O36,X36)</f>
        <v>2.0796035918353496E-3</v>
      </c>
      <c r="AB36" s="124"/>
      <c r="AC36" s="121">
        <f>AVERAGE(L36:U36)</f>
        <v>0.47025498135322319</v>
      </c>
      <c r="AD36" s="116">
        <f>RATE(9,,-L36,U36)</f>
        <v>3.5601743708495707E-4</v>
      </c>
    </row>
    <row r="37" spans="2:30" ht="15">
      <c r="B37" s="613" t="s">
        <v>7</v>
      </c>
      <c r="C37" s="612">
        <f t="shared" ref="C37:C42" si="7">+V37</f>
        <v>0.54623951108089752</v>
      </c>
      <c r="D37" s="612">
        <f t="shared" ref="D37:D42" si="8">+W37</f>
        <v>0.5055254488474602</v>
      </c>
      <c r="E37" s="612">
        <f t="shared" ref="E37:E42" si="9">+X37</f>
        <v>0.54668445351552108</v>
      </c>
      <c r="F37" s="612">
        <f t="shared" ref="F37:G43" si="10">+Y37</f>
        <v>0.51828988268877574</v>
      </c>
      <c r="G37" s="612">
        <f t="shared" si="10"/>
        <v>0.49904494134438793</v>
      </c>
      <c r="H37" s="612">
        <f t="shared" ref="H37:H42" si="11">+AA37</f>
        <v>1.04174085630763E-2</v>
      </c>
      <c r="J37" s="94" t="s">
        <v>7</v>
      </c>
      <c r="K37" s="121">
        <v>0.5</v>
      </c>
      <c r="L37" s="121">
        <v>0.51900000000000002</v>
      </c>
      <c r="M37" s="121">
        <v>0.45700000000000002</v>
      </c>
      <c r="N37" s="121">
        <v>0.46100000000000002</v>
      </c>
      <c r="O37" s="121">
        <v>0.498</v>
      </c>
      <c r="P37" s="121">
        <v>0.56799999999999995</v>
      </c>
      <c r="Q37" s="121">
        <v>0.42299999999999999</v>
      </c>
      <c r="R37" s="121">
        <v>0.43</v>
      </c>
      <c r="S37" s="121">
        <v>0.48</v>
      </c>
      <c r="T37" s="121">
        <v>0.49199999999999999</v>
      </c>
      <c r="U37" s="121">
        <v>0.501</v>
      </c>
      <c r="V37" s="194">
        <f>+'Comp Detail'!BA14</f>
        <v>0.54623951108089752</v>
      </c>
      <c r="W37" s="194">
        <f>+'Comp Detail'!BB14</f>
        <v>0.5055254488474602</v>
      </c>
      <c r="X37" s="194">
        <f>+'Comp Detail'!BC14</f>
        <v>0.54668445351552108</v>
      </c>
      <c r="Y37" s="194">
        <f t="shared" ref="Y37:Y42" si="12">AVERAGE(T37:X37)</f>
        <v>0.51828988268877574</v>
      </c>
      <c r="Z37" s="121">
        <f t="shared" ref="Z37:Z42" si="13">AVERAGE(O37:X37)</f>
        <v>0.49904494134438793</v>
      </c>
      <c r="AA37" s="116">
        <f t="shared" ref="AA37:AA42" si="14">RATE(9,,-O37,X37)</f>
        <v>1.04174085630763E-2</v>
      </c>
      <c r="AB37" s="124"/>
      <c r="AC37" s="121">
        <f t="shared" ref="AC37:AC44" si="15">AVERAGE(L37:U37)</f>
        <v>0.48290000000000005</v>
      </c>
      <c r="AD37" s="116">
        <f t="shared" ref="AD37:AD44" si="16">RATE(9,,-L37,U37)</f>
        <v>-3.9142948844629833E-3</v>
      </c>
    </row>
    <row r="38" spans="2:30" ht="15">
      <c r="B38" s="613" t="s">
        <v>10</v>
      </c>
      <c r="C38" s="612">
        <f t="shared" si="7"/>
        <v>0.59516821780802887</v>
      </c>
      <c r="D38" s="612">
        <f t="shared" si="8"/>
        <v>0.61143045447952837</v>
      </c>
      <c r="E38" s="612">
        <f t="shared" si="9"/>
        <v>0.63931321843050193</v>
      </c>
      <c r="F38" s="612">
        <f t="shared" si="10"/>
        <v>0.59438237814361172</v>
      </c>
      <c r="G38" s="612">
        <f t="shared" si="10"/>
        <v>0.55169118907180592</v>
      </c>
      <c r="H38" s="612">
        <f t="shared" si="11"/>
        <v>2.9065386465698857E-2</v>
      </c>
      <c r="J38" s="94" t="s">
        <v>10</v>
      </c>
      <c r="K38" s="121">
        <v>0.57799999999999996</v>
      </c>
      <c r="L38" s="121">
        <v>0.54500000000000004</v>
      </c>
      <c r="M38" s="121">
        <v>0.502</v>
      </c>
      <c r="N38" s="121">
        <v>0.52300000000000002</v>
      </c>
      <c r="O38" s="121">
        <v>0.49399999999999999</v>
      </c>
      <c r="P38" s="121">
        <v>0.48299999999999998</v>
      </c>
      <c r="Q38" s="121">
        <v>0.51800000000000002</v>
      </c>
      <c r="R38" s="121">
        <v>0.504</v>
      </c>
      <c r="S38" s="121">
        <v>0.54600000000000004</v>
      </c>
      <c r="T38" s="121">
        <v>0.55500000000000005</v>
      </c>
      <c r="U38" s="121">
        <v>0.57099999999999995</v>
      </c>
      <c r="V38" s="194">
        <f>+'Comp Detail'!BA15</f>
        <v>0.59516821780802887</v>
      </c>
      <c r="W38" s="194">
        <f>+'Comp Detail'!BB15</f>
        <v>0.61143045447952837</v>
      </c>
      <c r="X38" s="194">
        <f>+'Comp Detail'!BC15</f>
        <v>0.63931321843050193</v>
      </c>
      <c r="Y38" s="194">
        <f t="shared" si="12"/>
        <v>0.59438237814361172</v>
      </c>
      <c r="Z38" s="121">
        <f t="shared" si="13"/>
        <v>0.55169118907180592</v>
      </c>
      <c r="AA38" s="116">
        <f t="shared" si="14"/>
        <v>2.9065386465698857E-2</v>
      </c>
      <c r="AB38" s="124"/>
      <c r="AC38" s="121">
        <f t="shared" si="15"/>
        <v>0.52410000000000001</v>
      </c>
      <c r="AD38" s="116">
        <f t="shared" si="16"/>
        <v>5.1915870594704885E-3</v>
      </c>
    </row>
    <row r="39" spans="2:30" ht="15">
      <c r="B39" s="763" t="s">
        <v>154</v>
      </c>
      <c r="C39" s="764">
        <f t="shared" si="7"/>
        <v>0.53946175322092682</v>
      </c>
      <c r="D39" s="764">
        <f t="shared" si="8"/>
        <v>0.52683551248057059</v>
      </c>
      <c r="E39" s="764">
        <f t="shared" si="9"/>
        <v>0.50759325793584975</v>
      </c>
      <c r="F39" s="764">
        <f t="shared" si="10"/>
        <v>0.52960679141043554</v>
      </c>
      <c r="G39" s="764">
        <f t="shared" si="10"/>
        <v>0.52950339570521776</v>
      </c>
      <c r="H39" s="764">
        <f t="shared" si="11"/>
        <v>1.0105417440272125E-3</v>
      </c>
      <c r="J39" s="94" t="s">
        <v>154</v>
      </c>
      <c r="K39" s="121">
        <v>0.499</v>
      </c>
      <c r="L39" s="121">
        <v>0.50900000000000001</v>
      </c>
      <c r="M39" s="121">
        <v>0.53200000000000003</v>
      </c>
      <c r="N39" s="121">
        <v>0.51500000000000001</v>
      </c>
      <c r="O39" s="121">
        <v>0.503</v>
      </c>
      <c r="P39" s="121">
        <v>0.54</v>
      </c>
      <c r="Q39" s="121">
        <v>0.53</v>
      </c>
      <c r="R39" s="121">
        <v>0.53700000000000003</v>
      </c>
      <c r="S39" s="121">
        <v>0.53700000000000003</v>
      </c>
      <c r="T39" s="121">
        <v>0.55100000000000005</v>
      </c>
      <c r="U39" s="121">
        <f>+'Comp Detail'!AZ16</f>
        <v>0.52314343341483038</v>
      </c>
      <c r="V39" s="194">
        <f>+'Comp Detail'!BA16</f>
        <v>0.53946175322092682</v>
      </c>
      <c r="W39" s="194">
        <f>+'Comp Detail'!BB16</f>
        <v>0.52683551248057059</v>
      </c>
      <c r="X39" s="194">
        <f>+'Comp Detail'!BC16</f>
        <v>0.50759325793584975</v>
      </c>
      <c r="Y39" s="194">
        <f t="shared" si="12"/>
        <v>0.52960679141043554</v>
      </c>
      <c r="Z39" s="121">
        <f t="shared" si="13"/>
        <v>0.52950339570521776</v>
      </c>
      <c r="AA39" s="116">
        <f t="shared" si="14"/>
        <v>1.0105417440272125E-3</v>
      </c>
      <c r="AB39" s="124"/>
      <c r="AC39" s="121">
        <f t="shared" si="15"/>
        <v>0.52771434334148304</v>
      </c>
      <c r="AD39" s="116">
        <f t="shared" si="16"/>
        <v>3.0499373107076805E-3</v>
      </c>
    </row>
    <row r="40" spans="2:30" ht="15">
      <c r="B40" s="763" t="s">
        <v>16</v>
      </c>
      <c r="C40" s="764">
        <f t="shared" si="7"/>
        <v>0.58950626900357572</v>
      </c>
      <c r="D40" s="764">
        <f t="shared" si="8"/>
        <v>0.59627327335050717</v>
      </c>
      <c r="E40" s="764">
        <f t="shared" si="9"/>
        <v>0.51298798603799001</v>
      </c>
      <c r="F40" s="764">
        <f t="shared" si="10"/>
        <v>0.56135350567841458</v>
      </c>
      <c r="G40" s="764">
        <f t="shared" si="10"/>
        <v>0.55677675283920736</v>
      </c>
      <c r="H40" s="764">
        <f t="shared" si="11"/>
        <v>-1.3170438742083805E-2</v>
      </c>
      <c r="J40" s="94" t="s">
        <v>16</v>
      </c>
      <c r="K40" s="121">
        <v>0.53800000000000003</v>
      </c>
      <c r="L40" s="121">
        <v>0.53900000000000003</v>
      </c>
      <c r="M40" s="121">
        <v>0.52400000000000002</v>
      </c>
      <c r="N40" s="121">
        <v>0.56100000000000005</v>
      </c>
      <c r="O40" s="121">
        <v>0.57799999999999996</v>
      </c>
      <c r="P40" s="121">
        <v>0.56399999999999995</v>
      </c>
      <c r="Q40" s="121">
        <v>0.58599999999999997</v>
      </c>
      <c r="R40" s="121">
        <v>0.51700000000000002</v>
      </c>
      <c r="S40" s="121">
        <v>0.51600000000000001</v>
      </c>
      <c r="T40" s="121">
        <v>0.52800000000000002</v>
      </c>
      <c r="U40" s="121">
        <v>0.57999999999999996</v>
      </c>
      <c r="V40" s="194">
        <f>+'Comp Detail'!BA17</f>
        <v>0.58950626900357572</v>
      </c>
      <c r="W40" s="194">
        <f>+'Comp Detail'!BB17</f>
        <v>0.59627327335050717</v>
      </c>
      <c r="X40" s="194">
        <f>+'Comp Detail'!BC17</f>
        <v>0.51298798603799001</v>
      </c>
      <c r="Y40" s="194">
        <f t="shared" si="12"/>
        <v>0.56135350567841458</v>
      </c>
      <c r="Z40" s="121">
        <f t="shared" si="13"/>
        <v>0.55677675283920736</v>
      </c>
      <c r="AA40" s="116">
        <f t="shared" si="14"/>
        <v>-1.3170438742083805E-2</v>
      </c>
      <c r="AB40" s="124"/>
      <c r="AC40" s="121">
        <f t="shared" si="15"/>
        <v>0.54930000000000001</v>
      </c>
      <c r="AD40" s="116">
        <f t="shared" si="16"/>
        <v>8.1791045646033289E-3</v>
      </c>
    </row>
    <row r="41" spans="2:30" ht="15">
      <c r="B41" s="611" t="s">
        <v>234</v>
      </c>
      <c r="C41" s="612">
        <f t="shared" si="7"/>
        <v>0.62641344823683631</v>
      </c>
      <c r="D41" s="612">
        <f t="shared" si="8"/>
        <v>0.59534286534640435</v>
      </c>
      <c r="E41" s="612">
        <f t="shared" si="9"/>
        <v>0.5503934617909203</v>
      </c>
      <c r="F41" s="612">
        <f t="shared" si="10"/>
        <v>0.60306315128131327</v>
      </c>
      <c r="G41" s="612">
        <f t="shared" si="10"/>
        <v>0.56923157564065663</v>
      </c>
      <c r="H41" s="612">
        <f t="shared" si="11"/>
        <v>1.2997972769680647E-2</v>
      </c>
      <c r="J41" s="100" t="s">
        <v>234</v>
      </c>
      <c r="K41" s="121">
        <v>0.37</v>
      </c>
      <c r="L41" s="121">
        <v>0.376</v>
      </c>
      <c r="M41" s="121">
        <v>0.35899999999999999</v>
      </c>
      <c r="N41" s="121">
        <v>0.46100000000000002</v>
      </c>
      <c r="O41" s="121">
        <v>0.49</v>
      </c>
      <c r="P41" s="121">
        <v>0.51</v>
      </c>
      <c r="Q41" s="121">
        <v>0.55100000000000005</v>
      </c>
      <c r="R41" s="121">
        <v>0.55299999999999994</v>
      </c>
      <c r="S41" s="121">
        <v>0.57299999999999995</v>
      </c>
      <c r="T41" s="121">
        <v>0.60799999999999998</v>
      </c>
      <c r="U41" s="121">
        <f>+'Comp Detail'!AZ18</f>
        <v>0.6351659810324054</v>
      </c>
      <c r="V41" s="194">
        <f>+'Comp Detail'!BA18</f>
        <v>0.62641344823683631</v>
      </c>
      <c r="W41" s="194">
        <f>+'Comp Detail'!BB18</f>
        <v>0.59534286534640435</v>
      </c>
      <c r="X41" s="194">
        <f>+'Comp Detail'!BC18</f>
        <v>0.5503934617909203</v>
      </c>
      <c r="Y41" s="194">
        <f t="shared" si="12"/>
        <v>0.60306315128131327</v>
      </c>
      <c r="Z41" s="121">
        <f t="shared" si="13"/>
        <v>0.56923157564065663</v>
      </c>
      <c r="AA41" s="116">
        <f t="shared" si="14"/>
        <v>1.2997972769680647E-2</v>
      </c>
      <c r="AB41" s="124"/>
      <c r="AC41" s="121">
        <f t="shared" si="15"/>
        <v>0.51161659810324056</v>
      </c>
      <c r="AD41" s="116">
        <f t="shared" si="16"/>
        <v>5.9985517637958355E-2</v>
      </c>
    </row>
    <row r="42" spans="2:30" ht="15">
      <c r="B42" s="611" t="s">
        <v>138</v>
      </c>
      <c r="C42" s="612">
        <f t="shared" si="7"/>
        <v>0.50923232200698443</v>
      </c>
      <c r="D42" s="612">
        <f t="shared" si="8"/>
        <v>0.56822545131034108</v>
      </c>
      <c r="E42" s="612">
        <f t="shared" si="9"/>
        <v>0.50778560510013881</v>
      </c>
      <c r="F42" s="612">
        <f t="shared" si="10"/>
        <v>0.50783226365081902</v>
      </c>
      <c r="G42" s="612">
        <f t="shared" si="10"/>
        <v>0.44121613182540964</v>
      </c>
      <c r="H42" s="612">
        <f t="shared" si="11"/>
        <v>4.5576271391503151E-2</v>
      </c>
      <c r="J42" s="100" t="s">
        <v>138</v>
      </c>
      <c r="K42" s="121">
        <v>0.35499999999999998</v>
      </c>
      <c r="L42" s="121">
        <v>0.35799999999999998</v>
      </c>
      <c r="M42" s="121">
        <v>0.39600000000000002</v>
      </c>
      <c r="N42" s="121">
        <v>0.34100000000000003</v>
      </c>
      <c r="O42" s="121">
        <v>0.34</v>
      </c>
      <c r="P42" s="121">
        <v>0.35799999999999998</v>
      </c>
      <c r="Q42" s="121">
        <v>0.36199999999999999</v>
      </c>
      <c r="R42" s="121">
        <v>0.39400000000000002</v>
      </c>
      <c r="S42" s="121">
        <v>0.41899999999999998</v>
      </c>
      <c r="T42" s="121">
        <v>0.44700000000000001</v>
      </c>
      <c r="U42" s="121">
        <f>+'Comp Detail'!AZ19</f>
        <v>0.50691793983663103</v>
      </c>
      <c r="V42" s="194">
        <f>+'Comp Detail'!BA19</f>
        <v>0.50923232200698443</v>
      </c>
      <c r="W42" s="194">
        <f>+'Comp Detail'!BB19</f>
        <v>0.56822545131034108</v>
      </c>
      <c r="X42" s="194">
        <f>+'Comp Detail'!BC19</f>
        <v>0.50778560510013881</v>
      </c>
      <c r="Y42" s="194">
        <f t="shared" si="12"/>
        <v>0.50783226365081902</v>
      </c>
      <c r="Z42" s="121">
        <f t="shared" si="13"/>
        <v>0.44121613182540964</v>
      </c>
      <c r="AA42" s="116">
        <f t="shared" si="14"/>
        <v>4.5576271391503151E-2</v>
      </c>
      <c r="AB42" s="124"/>
      <c r="AC42" s="121">
        <f t="shared" si="15"/>
        <v>0.39219179398366311</v>
      </c>
      <c r="AD42" s="116">
        <f t="shared" si="16"/>
        <v>3.9402718311174603E-2</v>
      </c>
    </row>
    <row r="43" spans="2:30">
      <c r="C43" s="221"/>
      <c r="D43" s="221"/>
      <c r="E43" s="221"/>
      <c r="F43" s="221">
        <f t="shared" si="10"/>
        <v>0</v>
      </c>
      <c r="G43" s="221">
        <f t="shared" si="10"/>
        <v>0</v>
      </c>
      <c r="H43" s="2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16"/>
      <c r="AB43" s="124"/>
    </row>
    <row r="44" spans="2:30" ht="14.25">
      <c r="B44" s="323" t="s">
        <v>80</v>
      </c>
      <c r="C44" s="324">
        <f>AVERAGE(C36:C42)</f>
        <v>0.56091434231624804</v>
      </c>
      <c r="D44" s="324">
        <f>AVERAGE(D36:D42)</f>
        <v>0.5551386506967394</v>
      </c>
      <c r="E44" s="324">
        <f>AVERAGE(E36:E42)</f>
        <v>0.53873397210991125</v>
      </c>
      <c r="F44" s="324">
        <f>+Y44</f>
        <v>0.54466531210503955</v>
      </c>
      <c r="G44" s="324">
        <f>+Z44</f>
        <v>0.51998979890966268</v>
      </c>
      <c r="H44" s="324">
        <f>+AA44</f>
        <v>1.1577768309564609E-2</v>
      </c>
      <c r="J44" s="323" t="s">
        <v>80</v>
      </c>
      <c r="K44" s="6">
        <f t="shared" ref="K44:X44" si="17">AVERAGE(K36:K42)</f>
        <v>0.47600000000000003</v>
      </c>
      <c r="L44" s="272">
        <f t="shared" si="17"/>
        <v>0.47557142857142859</v>
      </c>
      <c r="M44" s="272">
        <f t="shared" si="17"/>
        <v>0.45100000000000001</v>
      </c>
      <c r="N44" s="272">
        <f t="shared" si="17"/>
        <v>0.46842857142857142</v>
      </c>
      <c r="O44" s="272">
        <f t="shared" si="17"/>
        <v>0.48571428571428565</v>
      </c>
      <c r="P44" s="272">
        <f t="shared" si="17"/>
        <v>0.49757142857142861</v>
      </c>
      <c r="Q44" s="272">
        <f t="shared" si="17"/>
        <v>0.49299999999999999</v>
      </c>
      <c r="R44" s="272">
        <f t="shared" si="17"/>
        <v>0.49042857142857138</v>
      </c>
      <c r="S44" s="272">
        <f t="shared" si="17"/>
        <v>0.5098571428571429</v>
      </c>
      <c r="T44" s="272">
        <f t="shared" si="17"/>
        <v>0.52542857142857147</v>
      </c>
      <c r="U44" s="272">
        <f t="shared" si="17"/>
        <v>0.54311102397372846</v>
      </c>
      <c r="V44" s="272">
        <f t="shared" si="17"/>
        <v>0.56091434231624804</v>
      </c>
      <c r="W44" s="272">
        <f t="shared" si="17"/>
        <v>0.5551386506967394</v>
      </c>
      <c r="X44" s="272">
        <f t="shared" si="17"/>
        <v>0.53873397210991125</v>
      </c>
      <c r="Y44" s="272">
        <f>AVERAGE(T36:X42)</f>
        <v>0.54466531210503955</v>
      </c>
      <c r="Z44" s="272">
        <f>AVERAGE(O36:X42)</f>
        <v>0.51998979890966268</v>
      </c>
      <c r="AA44" s="131">
        <f>RATE(9,,-O44,X44)</f>
        <v>1.1577768309564609E-2</v>
      </c>
      <c r="AB44" s="272"/>
      <c r="AC44" s="131">
        <f t="shared" si="15"/>
        <v>0.49401110239737289</v>
      </c>
      <c r="AD44" s="259">
        <f t="shared" si="16"/>
        <v>1.4864581207255485E-2</v>
      </c>
    </row>
    <row r="45" spans="2:30" ht="15">
      <c r="B45" s="614" t="s">
        <v>43</v>
      </c>
      <c r="C45" s="612">
        <f>STDEV(C36:C42)</f>
        <v>4.3341048153767395E-2</v>
      </c>
      <c r="D45" s="612">
        <f>STDEV(D36:D42)</f>
        <v>5.0350447547967365E-2</v>
      </c>
      <c r="E45" s="612">
        <f>STDEV(E36:E42)</f>
        <v>4.8222627771793487E-2</v>
      </c>
      <c r="F45" s="612">
        <f>STDEV(F36:F42)</f>
        <v>4.2042229732921779E-2</v>
      </c>
      <c r="G45" s="612">
        <f>STDEV(G36:G42)</f>
        <v>4.5231134464245377E-2</v>
      </c>
      <c r="H45" s="612"/>
      <c r="J45" s="254" t="s">
        <v>43</v>
      </c>
      <c r="K45" s="121"/>
      <c r="L45" s="121">
        <f t="shared" ref="L45:AA45" si="18">STDEV(L36:L42)</f>
        <v>7.707108654321923E-2</v>
      </c>
      <c r="M45" s="121">
        <f t="shared" si="18"/>
        <v>7.0842548420188056E-2</v>
      </c>
      <c r="N45" s="121">
        <f t="shared" si="18"/>
        <v>7.3835080061032718E-2</v>
      </c>
      <c r="O45" s="121">
        <f t="shared" si="18"/>
        <v>7.1196241206294045E-2</v>
      </c>
      <c r="P45" s="121">
        <f t="shared" si="18"/>
        <v>7.3520648217257095E-2</v>
      </c>
      <c r="Q45" s="121">
        <f t="shared" si="18"/>
        <v>7.7687407817054355E-2</v>
      </c>
      <c r="R45" s="121">
        <f t="shared" si="18"/>
        <v>5.7708627728319188E-2</v>
      </c>
      <c r="S45" s="121">
        <f t="shared" si="18"/>
        <v>5.0587971466969375E-2</v>
      </c>
      <c r="T45" s="121">
        <f t="shared" si="18"/>
        <v>5.2328631878596411E-2</v>
      </c>
      <c r="U45" s="121">
        <f t="shared" si="18"/>
        <v>5.4043353547109228E-2</v>
      </c>
      <c r="V45" s="121">
        <f t="shared" si="18"/>
        <v>4.3341048153767395E-2</v>
      </c>
      <c r="W45" s="121">
        <f t="shared" si="18"/>
        <v>5.0350447547967365E-2</v>
      </c>
      <c r="X45" s="121">
        <f t="shared" si="18"/>
        <v>4.8222627771793487E-2</v>
      </c>
      <c r="Y45" s="124">
        <f t="shared" ref="Y45" si="19">STDEV(Y36:Y42)</f>
        <v>4.2042229732921779E-2</v>
      </c>
      <c r="Z45" s="124">
        <f t="shared" si="18"/>
        <v>4.5231134464245377E-2</v>
      </c>
      <c r="AA45" s="124">
        <f t="shared" si="18"/>
        <v>1.94617924402271E-2</v>
      </c>
      <c r="AB45" s="124"/>
      <c r="AC45" s="121">
        <f>STDEV(AC36:AC42)</f>
        <v>5.2381687855643143E-2</v>
      </c>
      <c r="AD45" s="121"/>
    </row>
    <row r="46" spans="2:30" ht="15">
      <c r="B46" s="326" t="s">
        <v>21</v>
      </c>
      <c r="C46" s="612">
        <f>MEDIAN(C36:C42)</f>
        <v>0.54623951108089752</v>
      </c>
      <c r="D46" s="612">
        <f>MEDIAN(D36:D42)</f>
        <v>0.56822545131034108</v>
      </c>
      <c r="E46" s="612">
        <f>MEDIAN(E36:E42)</f>
        <v>0.51298798603799001</v>
      </c>
      <c r="F46" s="612">
        <f>MEDIAN(F36:F42)</f>
        <v>0.52960679141043554</v>
      </c>
      <c r="G46" s="612">
        <f>MEDIAN(G36:G42)</f>
        <v>0.52950339570521776</v>
      </c>
      <c r="H46" s="612"/>
      <c r="J46" t="s">
        <v>21</v>
      </c>
      <c r="K46" s="121"/>
      <c r="L46" s="121">
        <f t="shared" ref="L46:AA46" si="20">MEDIAN(L36:L42)</f>
        <v>0.50900000000000001</v>
      </c>
      <c r="M46" s="121">
        <f t="shared" si="20"/>
        <v>0.45700000000000002</v>
      </c>
      <c r="N46" s="121">
        <f t="shared" si="20"/>
        <v>0.46100000000000002</v>
      </c>
      <c r="O46" s="121">
        <f t="shared" si="20"/>
        <v>0.497</v>
      </c>
      <c r="P46" s="121">
        <f t="shared" si="20"/>
        <v>0.51</v>
      </c>
      <c r="Q46" s="121">
        <f t="shared" si="20"/>
        <v>0.51800000000000002</v>
      </c>
      <c r="R46" s="121">
        <f t="shared" si="20"/>
        <v>0.504</v>
      </c>
      <c r="S46" s="121">
        <f t="shared" si="20"/>
        <v>0.51600000000000001</v>
      </c>
      <c r="T46" s="121">
        <f t="shared" si="20"/>
        <v>0.52800000000000002</v>
      </c>
      <c r="U46" s="121">
        <f t="shared" si="20"/>
        <v>0.52314343341483038</v>
      </c>
      <c r="V46" s="121">
        <f t="shared" si="20"/>
        <v>0.54623951108089752</v>
      </c>
      <c r="W46" s="121">
        <f t="shared" si="20"/>
        <v>0.56822545131034108</v>
      </c>
      <c r="X46" s="121">
        <f t="shared" si="20"/>
        <v>0.51298798603799001</v>
      </c>
      <c r="Y46" s="124">
        <f t="shared" ref="Y46" si="21">MEDIAN(Y36:Y42)</f>
        <v>0.52960679141043554</v>
      </c>
      <c r="Z46" s="124">
        <f t="shared" si="20"/>
        <v>0.52950339570521776</v>
      </c>
      <c r="AA46" s="124">
        <f t="shared" si="20"/>
        <v>1.04174085630763E-2</v>
      </c>
      <c r="AB46" s="124"/>
      <c r="AC46" s="121">
        <f>MEDIAN(AC36:AC42)</f>
        <v>0.51161659810324056</v>
      </c>
      <c r="AD46" s="116">
        <f>RATE(9,,-L46,U46)</f>
        <v>3.0499373107076805E-3</v>
      </c>
    </row>
    <row r="47" spans="2:30">
      <c r="C47" s="221"/>
      <c r="D47" s="221"/>
      <c r="E47" s="63"/>
      <c r="F47" s="221"/>
      <c r="G47" s="221"/>
      <c r="H47" s="2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16"/>
      <c r="AB47" s="124"/>
    </row>
    <row r="48" spans="2:30" ht="14.25">
      <c r="B48" s="761" t="s">
        <v>79</v>
      </c>
      <c r="C48" s="762">
        <f t="shared" ref="C48:H48" si="22">+V48</f>
        <v>0.52900000000000003</v>
      </c>
      <c r="D48" s="762">
        <f t="shared" si="22"/>
        <v>0.5514</v>
      </c>
      <c r="E48" s="762">
        <f t="shared" si="22"/>
        <v>0.52300000000000002</v>
      </c>
      <c r="F48" s="762">
        <f t="shared" si="22"/>
        <v>0.5263000000000001</v>
      </c>
      <c r="G48" s="762">
        <f t="shared" si="22"/>
        <v>0.52057592347566772</v>
      </c>
      <c r="H48" s="762">
        <f t="shared" si="22"/>
        <v>1.5268131403543611E-3</v>
      </c>
      <c r="J48" s="306" t="s">
        <v>79</v>
      </c>
      <c r="K48" s="121">
        <v>0.5393</v>
      </c>
      <c r="L48" s="131">
        <v>0.53992998756788591</v>
      </c>
      <c r="M48" s="131">
        <v>0.51770855720399578</v>
      </c>
      <c r="N48" s="131">
        <v>0.52407035075180186</v>
      </c>
      <c r="O48" s="131">
        <v>0.51586784861688451</v>
      </c>
      <c r="P48" s="131">
        <v>0.53569138613979261</v>
      </c>
      <c r="Q48" s="131">
        <v>0.49640000000000001</v>
      </c>
      <c r="R48" s="131">
        <v>0.50509999999999999</v>
      </c>
      <c r="S48" s="131">
        <v>0.5212</v>
      </c>
      <c r="T48" s="131">
        <v>0.50970000000000004</v>
      </c>
      <c r="U48" s="131">
        <v>0.51839999999999997</v>
      </c>
      <c r="V48" s="131">
        <f t="shared" ref="V48:W48" si="23">1-V68</f>
        <v>0.52900000000000003</v>
      </c>
      <c r="W48" s="131">
        <f t="shared" si="23"/>
        <v>0.5514</v>
      </c>
      <c r="X48" s="131">
        <f>1-X68</f>
        <v>0.52300000000000002</v>
      </c>
      <c r="Y48" s="525">
        <f t="shared" ref="Y48" si="24">AVERAGE(T48:X48)</f>
        <v>0.5263000000000001</v>
      </c>
      <c r="Z48" s="131">
        <f>AVERAGE(O48:X48)</f>
        <v>0.52057592347566772</v>
      </c>
      <c r="AA48" s="455">
        <f>RATE(9,,-O48,X48)</f>
        <v>1.5268131403543611E-3</v>
      </c>
      <c r="AB48" s="272"/>
      <c r="AC48" s="131">
        <f t="shared" ref="AC48" si="25">AVERAGE(L48:U48)</f>
        <v>0.51840681302803604</v>
      </c>
      <c r="AD48" s="259">
        <f t="shared" ref="AD48" si="26">RATE(8,,-L48,T48)</f>
        <v>-7.1762718486607299E-3</v>
      </c>
    </row>
    <row r="49" spans="1:30"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4"/>
    </row>
    <row r="50" spans="1:30" ht="13.5" thickBot="1"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1"/>
      <c r="AA50" s="124"/>
      <c r="AB50" s="124"/>
    </row>
    <row r="51" spans="1:30" ht="19.5" thickBot="1">
      <c r="B51" s="837" t="s">
        <v>264</v>
      </c>
      <c r="C51" s="837"/>
      <c r="D51" s="837"/>
      <c r="E51" s="837"/>
      <c r="F51" s="837"/>
      <c r="G51" s="837"/>
      <c r="H51" s="837"/>
      <c r="K51" s="124"/>
      <c r="L51" s="838" t="str">
        <f>+B51</f>
        <v>Long Term Debt</v>
      </c>
      <c r="M51" s="839"/>
      <c r="N51" s="839"/>
      <c r="O51" s="839"/>
      <c r="P51" s="839"/>
      <c r="Q51" s="839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840"/>
    </row>
    <row r="52" spans="1:30" ht="15">
      <c r="B52" s="326"/>
      <c r="C52" s="607"/>
      <c r="D52" s="607"/>
      <c r="E52" s="607"/>
      <c r="F52" s="607" t="str">
        <f>+F32</f>
        <v xml:space="preserve">5 Year </v>
      </c>
      <c r="G52" s="607" t="str">
        <f>+G32</f>
        <v xml:space="preserve">10 Year </v>
      </c>
      <c r="H52" s="607" t="str">
        <f>+AA52</f>
        <v>Average</v>
      </c>
      <c r="AA52" t="s">
        <v>38</v>
      </c>
    </row>
    <row r="53" spans="1:30" ht="15">
      <c r="B53" s="326"/>
      <c r="C53" s="607"/>
      <c r="D53" s="607"/>
      <c r="E53" s="607"/>
      <c r="F53" s="607" t="str">
        <f>+F33</f>
        <v>Average</v>
      </c>
      <c r="G53" s="608" t="s">
        <v>38</v>
      </c>
      <c r="H53" s="607" t="str">
        <f>+AA53</f>
        <v xml:space="preserve">Annual </v>
      </c>
      <c r="Y53" t="str">
        <f>+Y33</f>
        <v>5 Yr</v>
      </c>
      <c r="Z53" t="str">
        <f>+Z33</f>
        <v xml:space="preserve">10 Yr </v>
      </c>
      <c r="AA53" t="s">
        <v>260</v>
      </c>
      <c r="AC53" s="53" t="str">
        <f>+AC33</f>
        <v>'00 - '09</v>
      </c>
      <c r="AD53" s="321" t="s">
        <v>292</v>
      </c>
    </row>
    <row r="54" spans="1:30" ht="15">
      <c r="B54" s="326"/>
      <c r="C54" s="609">
        <f>+V54</f>
        <v>2010</v>
      </c>
      <c r="D54" s="609">
        <f>+W54</f>
        <v>2011</v>
      </c>
      <c r="E54" s="609">
        <f>+X54</f>
        <v>2012</v>
      </c>
      <c r="F54" s="609" t="str">
        <f>+F34</f>
        <v>2008 - 2012</v>
      </c>
      <c r="G54" s="607" t="str">
        <f>+G34</f>
        <v>2003 - 2012</v>
      </c>
      <c r="H54" s="607" t="str">
        <f>+AA54</f>
        <v>% Change</v>
      </c>
      <c r="I54" s="52"/>
      <c r="K54" s="250">
        <v>1999</v>
      </c>
      <c r="L54" s="354">
        <v>2000</v>
      </c>
      <c r="M54" s="354">
        <v>2001</v>
      </c>
      <c r="N54" s="354">
        <v>2002</v>
      </c>
      <c r="O54" s="354">
        <v>2003</v>
      </c>
      <c r="P54" s="354">
        <v>2004</v>
      </c>
      <c r="Q54" s="354">
        <v>2005</v>
      </c>
      <c r="R54" s="354">
        <v>2006</v>
      </c>
      <c r="S54" s="354">
        <v>2007</v>
      </c>
      <c r="T54" s="354">
        <v>2008</v>
      </c>
      <c r="U54" s="354">
        <v>2009</v>
      </c>
      <c r="V54" s="354">
        <f>+U54+1</f>
        <v>2010</v>
      </c>
      <c r="W54" s="354">
        <f t="shared" ref="W54:X54" si="27">+V54+1</f>
        <v>2011</v>
      </c>
      <c r="X54" s="354">
        <f t="shared" si="27"/>
        <v>2012</v>
      </c>
      <c r="Y54" s="354" t="str">
        <f>+Y34</f>
        <v>Average</v>
      </c>
      <c r="Z54" s="334" t="s">
        <v>38</v>
      </c>
      <c r="AA54" s="334" t="s">
        <v>261</v>
      </c>
      <c r="AB54" s="334"/>
      <c r="AC54" s="318" t="s">
        <v>38</v>
      </c>
      <c r="AD54" s="355" t="s">
        <v>293</v>
      </c>
    </row>
    <row r="55" spans="1:30" ht="15">
      <c r="B55" s="326"/>
      <c r="C55" s="610"/>
      <c r="D55" s="610"/>
      <c r="E55" s="610"/>
      <c r="F55" s="610"/>
      <c r="G55" s="610"/>
      <c r="H55" s="610"/>
    </row>
    <row r="56" spans="1:30" ht="15">
      <c r="A56" s="94"/>
      <c r="B56" s="611" t="s">
        <v>5</v>
      </c>
      <c r="C56" s="612">
        <f t="shared" ref="C56" si="28">+V56</f>
        <v>0.47962112514351318</v>
      </c>
      <c r="D56" s="612">
        <f t="shared" ref="D56" si="29">+W56</f>
        <v>0.5176624509376363</v>
      </c>
      <c r="E56" s="612">
        <f t="shared" ref="E56" si="30">+X56</f>
        <v>0.49362017804154301</v>
      </c>
      <c r="F56" s="612">
        <f>Y56</f>
        <v>0.50394857181548147</v>
      </c>
      <c r="G56" s="612">
        <f>Z56</f>
        <v>0.50857428590774079</v>
      </c>
      <c r="H56" s="612">
        <f>AA56</f>
        <v>-2.0893497089078945E-3</v>
      </c>
      <c r="J56" s="100" t="s">
        <v>5</v>
      </c>
      <c r="K56" s="121">
        <v>0.45300000000000001</v>
      </c>
      <c r="L56" s="121">
        <v>0.45900000000000002</v>
      </c>
      <c r="M56" s="121">
        <v>0.61299999999999999</v>
      </c>
      <c r="N56" s="121">
        <v>0.58299999999999996</v>
      </c>
      <c r="O56" s="121">
        <v>0.503</v>
      </c>
      <c r="P56" s="121">
        <v>0.54</v>
      </c>
      <c r="Q56" s="121">
        <v>0.51900000000000002</v>
      </c>
      <c r="R56" s="121">
        <v>0.502</v>
      </c>
      <c r="S56" s="121">
        <v>0.502</v>
      </c>
      <c r="T56" s="223">
        <v>0.503</v>
      </c>
      <c r="U56" s="189">
        <f>+'Comp Detail'!AU13</f>
        <v>0.52583910495471498</v>
      </c>
      <c r="V56" s="189">
        <f>+'Comp Detail'!AV13</f>
        <v>0.47962112514351318</v>
      </c>
      <c r="W56" s="189">
        <f>+'Comp Detail'!AW13</f>
        <v>0.5176624509376363</v>
      </c>
      <c r="X56" s="189">
        <f>+'Comp Detail'!AX13</f>
        <v>0.49362017804154301</v>
      </c>
      <c r="Y56" s="194">
        <f t="shared" ref="Y56:Y62" si="31">AVERAGE(T56:X56)</f>
        <v>0.50394857181548147</v>
      </c>
      <c r="Z56" s="189">
        <f>AVERAGE(O56:X56)</f>
        <v>0.50857428590774079</v>
      </c>
      <c r="AA56" s="407">
        <f>RATE(9,,-O56,X56)</f>
        <v>-2.0893497089078945E-3</v>
      </c>
      <c r="AB56" s="36"/>
      <c r="AC56" s="223">
        <f>AVERAGE(L56:U56)</f>
        <v>0.52498391049547144</v>
      </c>
      <c r="AD56" s="116">
        <f>RATE(9,,-L56,U56)</f>
        <v>1.5219665180521475E-2</v>
      </c>
    </row>
    <row r="57" spans="1:30" ht="15">
      <c r="A57" s="94"/>
      <c r="B57" s="613" t="s">
        <v>7</v>
      </c>
      <c r="C57" s="612">
        <f t="shared" ref="C57:C62" si="32">+V57</f>
        <v>0.45376048891910253</v>
      </c>
      <c r="D57" s="612">
        <f t="shared" ref="D57:D62" si="33">+W57</f>
        <v>0.4944745511525398</v>
      </c>
      <c r="E57" s="612">
        <f t="shared" ref="E57:E62" si="34">+X57</f>
        <v>0.45331554648447892</v>
      </c>
      <c r="F57" s="612">
        <f t="shared" ref="F57:G62" si="35">Y57</f>
        <v>0.48174074944841383</v>
      </c>
      <c r="G57" s="612">
        <f t="shared" si="35"/>
        <v>0.50097037472420702</v>
      </c>
      <c r="H57" s="612">
        <f t="shared" ref="H57:H62" si="36">AA57</f>
        <v>-1.127063466682955E-2</v>
      </c>
      <c r="J57" s="94" t="s">
        <v>7</v>
      </c>
      <c r="K57" s="121">
        <v>0.5</v>
      </c>
      <c r="L57" s="121">
        <v>0.48099999999999998</v>
      </c>
      <c r="M57" s="121">
        <v>0.54299999999999993</v>
      </c>
      <c r="N57" s="121">
        <v>0.53899999999999992</v>
      </c>
      <c r="O57" s="121">
        <v>0.502</v>
      </c>
      <c r="P57" s="121">
        <v>0.43200000000000005</v>
      </c>
      <c r="Q57" s="121">
        <v>0.57699999999999996</v>
      </c>
      <c r="R57" s="121">
        <v>0.57000000000000006</v>
      </c>
      <c r="S57" s="121">
        <v>0.52</v>
      </c>
      <c r="T57" s="223">
        <v>0.50800000000000001</v>
      </c>
      <c r="U57" s="189">
        <f>2169.4/4346.161</f>
        <v>0.49915316068594789</v>
      </c>
      <c r="V57" s="189">
        <f>+'Comp Detail'!AV14</f>
        <v>0.45376048891910253</v>
      </c>
      <c r="W57" s="189">
        <f>+'Comp Detail'!AW14</f>
        <v>0.4944745511525398</v>
      </c>
      <c r="X57" s="189">
        <f>+'Comp Detail'!AX14</f>
        <v>0.45331554648447892</v>
      </c>
      <c r="Y57" s="194">
        <f t="shared" si="31"/>
        <v>0.48174074944841383</v>
      </c>
      <c r="Z57" s="189">
        <f t="shared" ref="Z57:Z62" si="37">AVERAGE(O57:X57)</f>
        <v>0.50097037472420702</v>
      </c>
      <c r="AA57" s="407">
        <f t="shared" ref="AA57:AA62" si="38">RATE(9,,-O57,X57)</f>
        <v>-1.127063466682955E-2</v>
      </c>
      <c r="AB57" s="36"/>
      <c r="AC57" s="223">
        <f t="shared" ref="AC57:AC62" si="39">AVERAGE(L57:U57)</f>
        <v>0.51711531606859473</v>
      </c>
      <c r="AD57" s="116">
        <f t="shared" ref="AD57:AD62" si="40">RATE(9,,-L57,U57)</f>
        <v>4.124673568677158E-3</v>
      </c>
    </row>
    <row r="58" spans="1:30" ht="15">
      <c r="A58" s="94"/>
      <c r="B58" s="613" t="s">
        <v>10</v>
      </c>
      <c r="C58" s="612">
        <f t="shared" si="32"/>
        <v>0.40483178219197113</v>
      </c>
      <c r="D58" s="612">
        <f t="shared" si="33"/>
        <v>0.38856954552047163</v>
      </c>
      <c r="E58" s="612">
        <f t="shared" si="34"/>
        <v>0.36068678156949802</v>
      </c>
      <c r="F58" s="612">
        <f t="shared" si="35"/>
        <v>0.40551696752600097</v>
      </c>
      <c r="G58" s="612">
        <f t="shared" si="35"/>
        <v>0.44765848376300055</v>
      </c>
      <c r="H58" s="612">
        <f t="shared" si="36"/>
        <v>-3.649156476541749E-2</v>
      </c>
      <c r="J58" s="94" t="s">
        <v>10</v>
      </c>
      <c r="K58" s="121">
        <v>0.41799999999999998</v>
      </c>
      <c r="L58" s="121">
        <v>0.45200000000000001</v>
      </c>
      <c r="M58" s="121">
        <v>0.495</v>
      </c>
      <c r="N58" s="121">
        <v>0.47499999999999998</v>
      </c>
      <c r="O58" s="121">
        <v>0.504</v>
      </c>
      <c r="P58" s="121">
        <v>0.51600000000000001</v>
      </c>
      <c r="Q58" s="121">
        <v>0.48099999999999998</v>
      </c>
      <c r="R58" s="121">
        <v>0.495</v>
      </c>
      <c r="S58" s="121">
        <v>0.45300000000000001</v>
      </c>
      <c r="T58" s="223">
        <v>0.44400000000000001</v>
      </c>
      <c r="U58" s="189">
        <f>389.24/906.27</f>
        <v>0.42949672834806407</v>
      </c>
      <c r="V58" s="189">
        <f>+'Comp Detail'!AV15</f>
        <v>0.40483178219197113</v>
      </c>
      <c r="W58" s="189">
        <f>+'Comp Detail'!AW15</f>
        <v>0.38856954552047163</v>
      </c>
      <c r="X58" s="189">
        <f>+'Comp Detail'!AX15</f>
        <v>0.36068678156949802</v>
      </c>
      <c r="Y58" s="194">
        <f t="shared" si="31"/>
        <v>0.40551696752600097</v>
      </c>
      <c r="Z58" s="189">
        <f t="shared" si="37"/>
        <v>0.44765848376300055</v>
      </c>
      <c r="AA58" s="407">
        <f t="shared" si="38"/>
        <v>-3.649156476541749E-2</v>
      </c>
      <c r="AB58" s="36"/>
      <c r="AC58" s="223">
        <f t="shared" si="39"/>
        <v>0.47444967283480644</v>
      </c>
      <c r="AD58" s="116">
        <f t="shared" si="40"/>
        <v>-5.658160392299735E-3</v>
      </c>
    </row>
    <row r="59" spans="1:30" ht="15">
      <c r="A59" s="94"/>
      <c r="B59" s="763" t="s">
        <v>154</v>
      </c>
      <c r="C59" s="764">
        <f t="shared" si="32"/>
        <v>0.46053824677907318</v>
      </c>
      <c r="D59" s="764">
        <f t="shared" si="33"/>
        <v>0.47316448751942947</v>
      </c>
      <c r="E59" s="764">
        <f t="shared" si="34"/>
        <v>0.49240674206415025</v>
      </c>
      <c r="F59" s="764">
        <f t="shared" si="35"/>
        <v>0.47039320858956446</v>
      </c>
      <c r="G59" s="764">
        <f t="shared" si="35"/>
        <v>0.47049660429478229</v>
      </c>
      <c r="H59" s="764">
        <f t="shared" si="36"/>
        <v>-1.0311279806605896E-3</v>
      </c>
      <c r="J59" s="94" t="s">
        <v>154</v>
      </c>
      <c r="K59" s="121">
        <v>0.46</v>
      </c>
      <c r="L59" s="121">
        <v>0.45100000000000001</v>
      </c>
      <c r="M59" s="121">
        <v>0.43</v>
      </c>
      <c r="N59" s="121">
        <v>0.47599999999999998</v>
      </c>
      <c r="O59" s="121">
        <v>0.497</v>
      </c>
      <c r="P59" s="121">
        <v>0.46</v>
      </c>
      <c r="Q59" s="121">
        <v>0.47</v>
      </c>
      <c r="R59" s="121">
        <v>0.46300000000000002</v>
      </c>
      <c r="S59" s="121">
        <v>0.46300000000000002</v>
      </c>
      <c r="T59" s="223">
        <v>0.44900000000000001</v>
      </c>
      <c r="U59" s="189">
        <f>+'Comp Detail'!AU16</f>
        <v>0.47685656658516967</v>
      </c>
      <c r="V59" s="189">
        <f>+'Comp Detail'!AV16</f>
        <v>0.46053824677907318</v>
      </c>
      <c r="W59" s="189">
        <f>+'Comp Detail'!AW16</f>
        <v>0.47316448751942947</v>
      </c>
      <c r="X59" s="189">
        <f>+'Comp Detail'!AX16</f>
        <v>0.49240674206415025</v>
      </c>
      <c r="Y59" s="194">
        <f t="shared" si="31"/>
        <v>0.47039320858956446</v>
      </c>
      <c r="Z59" s="189">
        <f t="shared" si="37"/>
        <v>0.47049660429478229</v>
      </c>
      <c r="AA59" s="407">
        <f t="shared" si="38"/>
        <v>-1.0311279806605896E-3</v>
      </c>
      <c r="AB59" s="36"/>
      <c r="AC59" s="223">
        <f t="shared" si="39"/>
        <v>0.46358565665851692</v>
      </c>
      <c r="AD59" s="116">
        <f t="shared" si="40"/>
        <v>6.2134916215167285E-3</v>
      </c>
    </row>
    <row r="60" spans="1:30" ht="15">
      <c r="A60" s="94"/>
      <c r="B60" s="763" t="s">
        <v>16</v>
      </c>
      <c r="C60" s="764">
        <f t="shared" si="32"/>
        <v>0.41049373099642428</v>
      </c>
      <c r="D60" s="764">
        <f t="shared" si="33"/>
        <v>0.40372672664949283</v>
      </c>
      <c r="E60" s="764">
        <f t="shared" si="34"/>
        <v>0.48701201396201005</v>
      </c>
      <c r="F60" s="764">
        <f t="shared" si="35"/>
        <v>0.44287650287343255</v>
      </c>
      <c r="G60" s="764">
        <f t="shared" si="35"/>
        <v>0.44533825143671624</v>
      </c>
      <c r="H60" s="764">
        <f t="shared" si="36"/>
        <v>1.6047791017630892E-2</v>
      </c>
      <c r="J60" s="94" t="s">
        <v>16</v>
      </c>
      <c r="K60" s="121">
        <f t="shared" ref="K60:T60" si="41">1-K40</f>
        <v>0.46199999999999997</v>
      </c>
      <c r="L60" s="121">
        <f t="shared" si="41"/>
        <v>0.46099999999999997</v>
      </c>
      <c r="M60" s="121">
        <f t="shared" si="41"/>
        <v>0.47599999999999998</v>
      </c>
      <c r="N60" s="121">
        <f t="shared" si="41"/>
        <v>0.43899999999999995</v>
      </c>
      <c r="O60" s="121">
        <f t="shared" si="41"/>
        <v>0.42200000000000004</v>
      </c>
      <c r="P60" s="121">
        <f t="shared" si="41"/>
        <v>0.43600000000000005</v>
      </c>
      <c r="Q60" s="121">
        <f t="shared" si="41"/>
        <v>0.41400000000000003</v>
      </c>
      <c r="R60" s="121">
        <f t="shared" si="41"/>
        <v>0.48299999999999998</v>
      </c>
      <c r="S60" s="121">
        <f t="shared" si="41"/>
        <v>0.48399999999999999</v>
      </c>
      <c r="T60" s="223">
        <f t="shared" si="41"/>
        <v>0.47199999999999998</v>
      </c>
      <c r="U60" s="189">
        <f>732.512/1660.46</f>
        <v>0.44115004275923536</v>
      </c>
      <c r="V60" s="189">
        <f>+'Comp Detail'!AV17</f>
        <v>0.41049373099642428</v>
      </c>
      <c r="W60" s="189">
        <f>+'Comp Detail'!AW17</f>
        <v>0.40372672664949283</v>
      </c>
      <c r="X60" s="189">
        <f>+'Comp Detail'!AX17</f>
        <v>0.48701201396201005</v>
      </c>
      <c r="Y60" s="194">
        <f t="shared" si="31"/>
        <v>0.44287650287343255</v>
      </c>
      <c r="Z60" s="189">
        <f t="shared" si="37"/>
        <v>0.44533825143671624</v>
      </c>
      <c r="AA60" s="407">
        <f t="shared" si="38"/>
        <v>1.6047791017630892E-2</v>
      </c>
      <c r="AB60" s="36"/>
      <c r="AC60" s="223">
        <f t="shared" si="39"/>
        <v>0.45281500427592353</v>
      </c>
      <c r="AD60" s="116">
        <f t="shared" si="40"/>
        <v>-4.8783942816900674E-3</v>
      </c>
    </row>
    <row r="61" spans="1:30" ht="15">
      <c r="A61" s="94"/>
      <c r="B61" s="611" t="s">
        <v>234</v>
      </c>
      <c r="C61" s="612">
        <f t="shared" si="32"/>
        <v>0.37358655176316369</v>
      </c>
      <c r="D61" s="612">
        <f t="shared" si="33"/>
        <v>0.40465713465359571</v>
      </c>
      <c r="E61" s="612">
        <f t="shared" si="34"/>
        <v>0.44960653820907975</v>
      </c>
      <c r="F61" s="612">
        <f t="shared" si="35"/>
        <v>0.39693684871868673</v>
      </c>
      <c r="G61" s="612">
        <f t="shared" si="35"/>
        <v>0.43026842435934337</v>
      </c>
      <c r="H61" s="612">
        <f t="shared" si="36"/>
        <v>-1.3475997631342111E-2</v>
      </c>
      <c r="J61" s="100" t="s">
        <v>234</v>
      </c>
      <c r="K61" s="121">
        <v>0.53800000000000003</v>
      </c>
      <c r="L61" s="121">
        <v>0.54100000000000004</v>
      </c>
      <c r="M61" s="121">
        <v>0.56999999999999995</v>
      </c>
      <c r="N61" s="121">
        <v>0.53600000000000003</v>
      </c>
      <c r="O61" s="121">
        <v>0.50800000000000001</v>
      </c>
      <c r="P61" s="121">
        <v>0.48699999999999999</v>
      </c>
      <c r="Q61" s="121">
        <v>0.44900000000000001</v>
      </c>
      <c r="R61" s="121">
        <v>0.44700000000000001</v>
      </c>
      <c r="S61" s="121">
        <v>0.42699999999999999</v>
      </c>
      <c r="T61" s="223">
        <v>0.39200000000000002</v>
      </c>
      <c r="U61" s="189">
        <f>+'Comp Detail'!AU18</f>
        <v>0.3648340189675946</v>
      </c>
      <c r="V61" s="189">
        <f>+'Comp Detail'!AV18</f>
        <v>0.37358655176316369</v>
      </c>
      <c r="W61" s="189">
        <f>+'Comp Detail'!AW18</f>
        <v>0.40465713465359571</v>
      </c>
      <c r="X61" s="189">
        <f>+'Comp Detail'!AX18</f>
        <v>0.44960653820907975</v>
      </c>
      <c r="Y61" s="194">
        <f t="shared" si="31"/>
        <v>0.39693684871868673</v>
      </c>
      <c r="Z61" s="189">
        <f t="shared" si="37"/>
        <v>0.43026842435934337</v>
      </c>
      <c r="AA61" s="407">
        <f t="shared" si="38"/>
        <v>-1.3475997631342111E-2</v>
      </c>
      <c r="AB61" s="36"/>
      <c r="AC61" s="223">
        <f t="shared" si="39"/>
        <v>0.4721834018967595</v>
      </c>
      <c r="AD61" s="116">
        <f t="shared" si="40"/>
        <v>-4.2830892036703469E-2</v>
      </c>
    </row>
    <row r="62" spans="1:30" ht="15">
      <c r="A62" s="94"/>
      <c r="B62" s="611" t="s">
        <v>138</v>
      </c>
      <c r="C62" s="612">
        <f t="shared" si="32"/>
        <v>0.49076767799301557</v>
      </c>
      <c r="D62" s="612">
        <f t="shared" si="33"/>
        <v>0.43177454868965887</v>
      </c>
      <c r="E62" s="612">
        <f t="shared" si="34"/>
        <v>0.49221439489986113</v>
      </c>
      <c r="F62" s="612">
        <f t="shared" si="35"/>
        <v>0.4921711941594677</v>
      </c>
      <c r="G62" s="612">
        <f t="shared" si="35"/>
        <v>0.55878559707973374</v>
      </c>
      <c r="H62" s="612">
        <f t="shared" si="36"/>
        <v>-3.2066330045906838E-2</v>
      </c>
      <c r="J62" s="100" t="s">
        <v>138</v>
      </c>
      <c r="K62" s="121">
        <v>0.60299999999999998</v>
      </c>
      <c r="L62" s="121">
        <v>0.60199999999999998</v>
      </c>
      <c r="M62" s="121">
        <v>0.56200000000000006</v>
      </c>
      <c r="N62" s="121">
        <v>0.625</v>
      </c>
      <c r="O62" s="121">
        <v>0.66</v>
      </c>
      <c r="P62" s="121">
        <v>0.64200000000000002</v>
      </c>
      <c r="Q62" s="121">
        <v>0.63800000000000001</v>
      </c>
      <c r="R62" s="121">
        <v>0.60599999999999998</v>
      </c>
      <c r="S62" s="121">
        <v>0.58099999999999996</v>
      </c>
      <c r="T62" s="223">
        <v>0.55300000000000005</v>
      </c>
      <c r="U62" s="189">
        <f>+'Comp Detail'!AU19</f>
        <v>0.49309934921480297</v>
      </c>
      <c r="V62" s="189">
        <f>+'Comp Detail'!AV19</f>
        <v>0.49076767799301557</v>
      </c>
      <c r="W62" s="189">
        <f>+'Comp Detail'!AW19</f>
        <v>0.43177454868965887</v>
      </c>
      <c r="X62" s="189">
        <f>+'Comp Detail'!AX19</f>
        <v>0.49221439489986113</v>
      </c>
      <c r="Y62" s="194">
        <f t="shared" si="31"/>
        <v>0.4921711941594677</v>
      </c>
      <c r="Z62" s="189">
        <f t="shared" si="37"/>
        <v>0.55878559707973374</v>
      </c>
      <c r="AA62" s="407">
        <f t="shared" si="38"/>
        <v>-3.2066330045906838E-2</v>
      </c>
      <c r="AB62" s="36"/>
      <c r="AC62" s="223">
        <f t="shared" si="39"/>
        <v>0.59620993492148033</v>
      </c>
      <c r="AD62" s="116">
        <f t="shared" si="40"/>
        <v>-2.1927874332524886E-2</v>
      </c>
    </row>
    <row r="63" spans="1:30" ht="15">
      <c r="B63" s="326"/>
      <c r="C63" s="612"/>
      <c r="D63" s="612"/>
      <c r="E63" s="612"/>
      <c r="F63" s="612"/>
      <c r="G63" s="612"/>
      <c r="H63" s="612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92"/>
      <c r="W63" s="192"/>
      <c r="X63" s="192"/>
      <c r="Y63" s="192"/>
      <c r="Z63" s="192"/>
      <c r="AA63" s="152"/>
      <c r="AC63" s="121"/>
      <c r="AD63" s="116"/>
    </row>
    <row r="64" spans="1:30" ht="14.25">
      <c r="B64" s="323" t="s">
        <v>80</v>
      </c>
      <c r="C64" s="324">
        <f>AVERAGE(C56:C62)</f>
        <v>0.43908565768375191</v>
      </c>
      <c r="D64" s="324">
        <f>AVERAGE(D56:D62)</f>
        <v>0.44486134930326066</v>
      </c>
      <c r="E64" s="324">
        <f>AVERAGE(E56:E62)</f>
        <v>0.46126602789008869</v>
      </c>
      <c r="F64" s="324">
        <f>AVERAGE(F56:F62)</f>
        <v>0.45622629187586394</v>
      </c>
      <c r="G64" s="324">
        <f>AVERAGE(G56:G62)</f>
        <v>0.48029886022364632</v>
      </c>
      <c r="H64" s="324">
        <f>+AA64</f>
        <v>-1.1894505812881083E-2</v>
      </c>
      <c r="J64" s="323" t="s">
        <v>80</v>
      </c>
      <c r="K64" s="6">
        <f t="shared" ref="K64:X64" si="42">AVERAGE(K56:K62)</f>
        <v>0.4905714285714286</v>
      </c>
      <c r="L64" s="272">
        <f t="shared" si="42"/>
        <v>0.49242857142857138</v>
      </c>
      <c r="M64" s="7">
        <f t="shared" si="42"/>
        <v>0.52700000000000002</v>
      </c>
      <c r="N64" s="7">
        <f t="shared" si="42"/>
        <v>0.52471428571428569</v>
      </c>
      <c r="O64" s="272">
        <f t="shared" si="42"/>
        <v>0.51371428571428568</v>
      </c>
      <c r="P64" s="272">
        <f t="shared" si="42"/>
        <v>0.50185714285714289</v>
      </c>
      <c r="Q64" s="272">
        <f t="shared" si="42"/>
        <v>0.50685714285714278</v>
      </c>
      <c r="R64" s="272">
        <f t="shared" si="42"/>
        <v>0.50942857142857145</v>
      </c>
      <c r="S64" s="272">
        <f t="shared" si="42"/>
        <v>0.49000000000000005</v>
      </c>
      <c r="T64" s="272">
        <f t="shared" si="42"/>
        <v>0.47442857142857148</v>
      </c>
      <c r="U64" s="272">
        <f t="shared" si="42"/>
        <v>0.46148985307364704</v>
      </c>
      <c r="V64" s="526">
        <f t="shared" si="42"/>
        <v>0.43908565768375191</v>
      </c>
      <c r="W64" s="526">
        <f t="shared" si="42"/>
        <v>0.44486134930326066</v>
      </c>
      <c r="X64" s="526">
        <f t="shared" si="42"/>
        <v>0.46126602789008869</v>
      </c>
      <c r="Y64" s="526">
        <f>AVERAGE(T56:X62)</f>
        <v>0.45622629187586394</v>
      </c>
      <c r="Z64" s="526">
        <f>AVERAGE(O56:X62)</f>
        <v>0.48029886022364637</v>
      </c>
      <c r="AA64" s="197">
        <f>RATE(9,,-O64,X64)</f>
        <v>-1.1894505812881083E-2</v>
      </c>
      <c r="AB64" s="2"/>
      <c r="AC64" s="373">
        <f t="shared" ref="AC64" si="43">AVERAGE(L64:U64)</f>
        <v>0.50019184245022186</v>
      </c>
      <c r="AD64" s="259">
        <f t="shared" ref="AD64" si="44">RATE(9,,-L64,U64)</f>
        <v>-7.1839986679030684E-3</v>
      </c>
    </row>
    <row r="65" spans="2:30" ht="15">
      <c r="B65" s="614" t="s">
        <v>43</v>
      </c>
      <c r="C65" s="612">
        <f>STDEV(C56:C62)</f>
        <v>4.3341048153768248E-2</v>
      </c>
      <c r="D65" s="612">
        <f>STDEV(D56:D62)</f>
        <v>5.0350447547967733E-2</v>
      </c>
      <c r="E65" s="612">
        <f>STDEV(E56:E62)</f>
        <v>4.8222627771793106E-2</v>
      </c>
      <c r="F65" s="612">
        <f>STDEV(F56:F62)</f>
        <v>4.2201958069748711E-2</v>
      </c>
      <c r="G65" s="612">
        <f>STDEV(G56:G62)</f>
        <v>4.5228578996015574E-2</v>
      </c>
      <c r="H65" s="612"/>
      <c r="J65" s="254" t="s">
        <v>43</v>
      </c>
      <c r="K65" s="6"/>
      <c r="L65" s="124">
        <f t="shared" ref="L65:AC65" si="45">STDEV(L56:L62)</f>
        <v>5.7665290377191127E-2</v>
      </c>
      <c r="M65" s="124">
        <f t="shared" si="45"/>
        <v>6.2928530890208806E-2</v>
      </c>
      <c r="N65" s="124">
        <f t="shared" si="45"/>
        <v>6.5799478938448869E-2</v>
      </c>
      <c r="O65" s="124">
        <f t="shared" si="45"/>
        <v>7.1261757592962216E-2</v>
      </c>
      <c r="P65" s="124">
        <f t="shared" si="45"/>
        <v>7.3580859312343483E-2</v>
      </c>
      <c r="Q65" s="124">
        <f t="shared" si="45"/>
        <v>7.774194185772311E-2</v>
      </c>
      <c r="R65" s="124">
        <f t="shared" si="45"/>
        <v>5.7749046580461795E-2</v>
      </c>
      <c r="S65" s="124">
        <f t="shared" si="45"/>
        <v>5.0708316214732797E-2</v>
      </c>
      <c r="T65" s="124">
        <f t="shared" si="45"/>
        <v>5.2424094787470787E-2</v>
      </c>
      <c r="U65" s="124">
        <f t="shared" si="45"/>
        <v>5.4120644964845206E-2</v>
      </c>
      <c r="V65" s="193">
        <f t="shared" si="45"/>
        <v>4.3341048153768248E-2</v>
      </c>
      <c r="W65" s="193">
        <f t="shared" si="45"/>
        <v>5.0350447547967733E-2</v>
      </c>
      <c r="X65" s="193">
        <f t="shared" si="45"/>
        <v>4.8222627771793106E-2</v>
      </c>
      <c r="Y65" s="193">
        <f t="shared" ref="Y65" si="46">STDEV(Y56:Y62)</f>
        <v>4.2201958069748711E-2</v>
      </c>
      <c r="Z65" s="193">
        <f t="shared" si="45"/>
        <v>4.5228578996015574E-2</v>
      </c>
      <c r="AA65" s="193">
        <f t="shared" si="45"/>
        <v>1.829638248628496E-2</v>
      </c>
      <c r="AB65" s="124" t="e">
        <f t="shared" si="45"/>
        <v>#DIV/0!</v>
      </c>
      <c r="AC65" s="124">
        <f t="shared" si="45"/>
        <v>5.0253083406970184E-2</v>
      </c>
      <c r="AD65" s="116"/>
    </row>
    <row r="66" spans="2:30" ht="15">
      <c r="B66" s="614" t="s">
        <v>21</v>
      </c>
      <c r="C66" s="612">
        <f>MEDIAN(C56:C62)</f>
        <v>0.45376048891910253</v>
      </c>
      <c r="D66" s="612">
        <f>MEDIAN(D56:D62)</f>
        <v>0.43177454868965887</v>
      </c>
      <c r="E66" s="612">
        <f>MEDIAN(E56:E62)</f>
        <v>0.48701201396201005</v>
      </c>
      <c r="F66" s="612">
        <f>MEDIAN(F56:F62)</f>
        <v>0.47039320858956446</v>
      </c>
      <c r="G66" s="612">
        <f>MEDIAN(G56:G62)</f>
        <v>0.47049660429478229</v>
      </c>
      <c r="H66" s="612"/>
      <c r="J66" s="254" t="s">
        <v>21</v>
      </c>
      <c r="K66" s="6"/>
      <c r="L66" s="124">
        <f t="shared" ref="L66:AC66" si="47">MEDIAN(L56:L62)</f>
        <v>0.46099999999999997</v>
      </c>
      <c r="M66" s="124">
        <f t="shared" si="47"/>
        <v>0.54299999999999993</v>
      </c>
      <c r="N66" s="124">
        <f t="shared" si="47"/>
        <v>0.53600000000000003</v>
      </c>
      <c r="O66" s="124">
        <f t="shared" si="47"/>
        <v>0.503</v>
      </c>
      <c r="P66" s="124">
        <f t="shared" si="47"/>
        <v>0.48699999999999999</v>
      </c>
      <c r="Q66" s="124">
        <f t="shared" si="47"/>
        <v>0.48099999999999998</v>
      </c>
      <c r="R66" s="124">
        <f t="shared" si="47"/>
        <v>0.495</v>
      </c>
      <c r="S66" s="124">
        <f t="shared" si="47"/>
        <v>0.48399999999999999</v>
      </c>
      <c r="T66" s="124">
        <f t="shared" si="47"/>
        <v>0.47199999999999998</v>
      </c>
      <c r="U66" s="124">
        <f t="shared" si="47"/>
        <v>0.47685656658516967</v>
      </c>
      <c r="V66" s="193">
        <f t="shared" si="47"/>
        <v>0.45376048891910253</v>
      </c>
      <c r="W66" s="193">
        <f t="shared" si="47"/>
        <v>0.43177454868965887</v>
      </c>
      <c r="X66" s="193">
        <f t="shared" si="47"/>
        <v>0.48701201396201005</v>
      </c>
      <c r="Y66" s="193">
        <f t="shared" ref="Y66" si="48">MEDIAN(Y56:Y62)</f>
        <v>0.47039320858956446</v>
      </c>
      <c r="Z66" s="193">
        <f t="shared" si="47"/>
        <v>0.47049660429478229</v>
      </c>
      <c r="AA66" s="193">
        <f t="shared" si="47"/>
        <v>-1.127063466682955E-2</v>
      </c>
      <c r="AB66" s="124" t="e">
        <f t="shared" si="47"/>
        <v>#NUM!</v>
      </c>
      <c r="AC66" s="124">
        <f t="shared" si="47"/>
        <v>0.47444967283480644</v>
      </c>
      <c r="AD66" s="116">
        <f t="shared" ref="AD66" si="49">RATE(9,,-L66,U66)</f>
        <v>3.7645909707419182E-3</v>
      </c>
    </row>
    <row r="67" spans="2:30" ht="15">
      <c r="B67" s="326"/>
      <c r="C67" s="612"/>
      <c r="D67" s="612"/>
      <c r="E67" s="607"/>
      <c r="F67" s="612"/>
      <c r="G67" s="612"/>
      <c r="H67" s="612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92"/>
      <c r="W67" s="192"/>
      <c r="X67" s="192"/>
      <c r="Y67" s="192"/>
      <c r="Z67" s="192"/>
      <c r="AA67" s="152"/>
    </row>
    <row r="68" spans="2:30" ht="14.25">
      <c r="B68" s="761" t="s">
        <v>79</v>
      </c>
      <c r="C68" s="762">
        <f t="shared" ref="C68:H68" si="50">+V68</f>
        <v>0.47099999999999997</v>
      </c>
      <c r="D68" s="762">
        <f t="shared" si="50"/>
        <v>0.4486</v>
      </c>
      <c r="E68" s="762">
        <f t="shared" si="50"/>
        <v>0.47699999999999998</v>
      </c>
      <c r="F68" s="762">
        <f t="shared" si="50"/>
        <v>0.47370520010601636</v>
      </c>
      <c r="G68" s="762">
        <f t="shared" si="50"/>
        <v>0.47943669931644334</v>
      </c>
      <c r="H68" s="762">
        <f t="shared" si="50"/>
        <v>-1.6476875818162893E-3</v>
      </c>
      <c r="J68" s="306" t="s">
        <v>79</v>
      </c>
      <c r="K68" s="251">
        <v>0.46069456359939637</v>
      </c>
      <c r="L68" s="352">
        <v>0.46007001243211409</v>
      </c>
      <c r="M68" s="352">
        <v>0.48229144279600428</v>
      </c>
      <c r="N68" s="352">
        <v>0.47592964924819814</v>
      </c>
      <c r="O68" s="352">
        <v>0.48413215138311549</v>
      </c>
      <c r="P68" s="352">
        <v>0.46430861386020739</v>
      </c>
      <c r="Q68" s="352">
        <v>0.50364401256147417</v>
      </c>
      <c r="R68" s="352">
        <v>0.49494330370824396</v>
      </c>
      <c r="S68" s="352">
        <v>0.47881291112130947</v>
      </c>
      <c r="T68" s="352">
        <v>0.49032600053008218</v>
      </c>
      <c r="U68" s="131">
        <v>0.48159999999999997</v>
      </c>
      <c r="V68" s="197">
        <v>0.47099999999999997</v>
      </c>
      <c r="W68" s="197">
        <v>0.4486</v>
      </c>
      <c r="X68" s="197">
        <v>0.47699999999999998</v>
      </c>
      <c r="Y68" s="525">
        <f t="shared" ref="Y68" si="51">AVERAGE(T68:X68)</f>
        <v>0.47370520010601636</v>
      </c>
      <c r="Z68" s="197">
        <f>AVERAGE(O68:X68)</f>
        <v>0.47943669931644334</v>
      </c>
      <c r="AA68" s="455">
        <f>RATE(9,,-O68,X68)</f>
        <v>-1.6476875818162893E-3</v>
      </c>
      <c r="AB68" s="2"/>
      <c r="AC68" s="131">
        <f t="shared" ref="AC68" si="52">AVERAGE(L68:T68)</f>
        <v>0.48160645529341661</v>
      </c>
      <c r="AD68" s="259">
        <f t="shared" ref="AD68" si="53">RATE(8,,-L68,T68)</f>
        <v>7.9932515962426957E-3</v>
      </c>
    </row>
    <row r="69" spans="2:30"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92"/>
      <c r="W69" s="192"/>
      <c r="X69" s="192"/>
      <c r="Y69" s="192"/>
      <c r="Z69" s="192"/>
      <c r="AA69" s="192"/>
    </row>
    <row r="70" spans="2:30"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</row>
    <row r="71" spans="2:30"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1"/>
      <c r="AA71" s="124"/>
    </row>
    <row r="72" spans="2:30" ht="18.75">
      <c r="B72" s="837" t="s">
        <v>395</v>
      </c>
      <c r="C72" s="837"/>
      <c r="D72" s="837"/>
      <c r="E72" s="837"/>
      <c r="F72" s="837"/>
      <c r="G72" s="837"/>
      <c r="H72" s="837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1"/>
      <c r="AA72" s="124"/>
    </row>
    <row r="74" spans="2:30" ht="15.75">
      <c r="C74" s="9" t="str">
        <f>+B31</f>
        <v>Equity</v>
      </c>
      <c r="D74" s="9"/>
      <c r="E74" s="9"/>
      <c r="F74" s="573">
        <f>+WACC!D13</f>
        <v>0.52069999999999994</v>
      </c>
    </row>
    <row r="75" spans="2:30" ht="15.75">
      <c r="C75" s="9" t="str">
        <f>+B51</f>
        <v>Long Term Debt</v>
      </c>
      <c r="D75" s="9"/>
      <c r="E75" s="9"/>
      <c r="F75" s="573">
        <f>+WACC!D15</f>
        <v>0.4793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</row>
    <row r="76" spans="2:30">
      <c r="K76" s="141"/>
      <c r="L76" s="141"/>
      <c r="M76" s="141"/>
      <c r="N76" s="141"/>
      <c r="O76" s="141"/>
      <c r="P76" s="141"/>
      <c r="Q76" s="141"/>
      <c r="R76" s="141"/>
      <c r="S76" s="141"/>
      <c r="T76" s="141"/>
    </row>
    <row r="77" spans="2:30">
      <c r="K77" s="141"/>
      <c r="L77" s="141"/>
      <c r="M77" s="141"/>
      <c r="N77" s="141"/>
      <c r="O77" s="141"/>
      <c r="P77" s="141"/>
      <c r="Q77" s="141"/>
      <c r="R77" s="141"/>
      <c r="S77" s="141"/>
      <c r="T77" s="141"/>
    </row>
    <row r="78" spans="2:30">
      <c r="K78" s="141"/>
      <c r="L78" s="141"/>
      <c r="M78" s="141"/>
      <c r="N78" s="141"/>
      <c r="O78" s="141"/>
      <c r="P78" s="141"/>
      <c r="Q78" s="141"/>
      <c r="R78" s="141"/>
      <c r="S78" s="141"/>
      <c r="T78" s="141"/>
    </row>
    <row r="79" spans="2:30">
      <c r="K79" s="141"/>
      <c r="L79" s="141"/>
      <c r="M79" s="141"/>
      <c r="N79" s="141"/>
      <c r="O79" s="141"/>
      <c r="P79" s="141"/>
      <c r="Q79" s="141"/>
      <c r="R79" s="141"/>
      <c r="S79" s="141"/>
      <c r="T79" s="141"/>
    </row>
    <row r="80" spans="2:30">
      <c r="K80" s="141"/>
      <c r="L80" s="141"/>
      <c r="M80" s="141"/>
      <c r="N80" s="141"/>
      <c r="O80" s="141"/>
      <c r="P80" s="141"/>
      <c r="Q80" s="141"/>
      <c r="R80" s="141"/>
      <c r="S80" s="141"/>
      <c r="T80" s="141"/>
    </row>
    <row r="81" spans="11:20">
      <c r="K81" s="141"/>
      <c r="L81" s="141"/>
      <c r="M81" s="141"/>
      <c r="N81" s="141"/>
      <c r="O81" s="141"/>
      <c r="P81" s="141"/>
      <c r="Q81" s="141"/>
      <c r="R81" s="141"/>
      <c r="S81" s="141"/>
      <c r="T81" s="141"/>
    </row>
    <row r="82" spans="11:20">
      <c r="K82" s="141"/>
      <c r="L82" s="141"/>
      <c r="M82" s="141"/>
      <c r="N82" s="141"/>
      <c r="O82" s="141"/>
      <c r="P82" s="141"/>
      <c r="Q82" s="141"/>
      <c r="R82" s="141"/>
      <c r="S82" s="141"/>
      <c r="T82" s="141"/>
    </row>
    <row r="83" spans="11:20">
      <c r="K83" s="141"/>
      <c r="L83" s="141"/>
      <c r="M83" s="141"/>
      <c r="N83" s="141"/>
      <c r="O83" s="141"/>
      <c r="P83" s="141"/>
      <c r="Q83" s="141"/>
      <c r="R83" s="141"/>
      <c r="S83" s="141"/>
      <c r="T83" s="141"/>
    </row>
    <row r="84" spans="11:20">
      <c r="K84" s="141"/>
      <c r="L84" s="141"/>
      <c r="M84" s="141"/>
      <c r="N84" s="141"/>
      <c r="O84" s="141"/>
      <c r="P84" s="141"/>
      <c r="Q84" s="141"/>
      <c r="R84" s="141"/>
      <c r="S84" s="141"/>
      <c r="T84" s="141"/>
    </row>
    <row r="85" spans="11:20">
      <c r="K85" s="141"/>
      <c r="L85" s="141"/>
      <c r="M85" s="141"/>
      <c r="N85" s="141"/>
      <c r="O85" s="141"/>
      <c r="P85" s="141"/>
      <c r="Q85" s="141"/>
      <c r="R85" s="141"/>
      <c r="S85" s="141"/>
      <c r="T85" s="141"/>
    </row>
  </sheetData>
  <mergeCells count="8">
    <mergeCell ref="L3:AD3"/>
    <mergeCell ref="L4:AD4"/>
    <mergeCell ref="L5:AD5"/>
    <mergeCell ref="B72:H72"/>
    <mergeCell ref="B31:H31"/>
    <mergeCell ref="B51:H51"/>
    <mergeCell ref="L31:AD31"/>
    <mergeCell ref="L51:AD51"/>
  </mergeCells>
  <phoneticPr fontId="3" type="noConversion"/>
  <printOptions horizontalCentered="1" verticalCentered="1"/>
  <pageMargins left="0.75" right="0.75" top="1" bottom="1" header="0.5" footer="0.5"/>
  <pageSetup scale="73" orientation="portrait" r:id="rId1"/>
  <headerFooter alignWithMargins="0"/>
  <colBreaks count="1" manualBreakCount="1">
    <brk id="9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="110" zoomScaleNormal="11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B1" sqref="B1"/>
    </sheetView>
  </sheetViews>
  <sheetFormatPr defaultRowHeight="12.75"/>
  <cols>
    <col min="1" max="1" width="2.83203125" hidden="1" customWidth="1"/>
    <col min="2" max="2" width="22.6640625" customWidth="1"/>
    <col min="4" max="8" width="13.83203125" hidden="1" customWidth="1"/>
    <col min="9" max="9" width="12.5" hidden="1" customWidth="1"/>
    <col min="10" max="10" width="9.1640625" customWidth="1"/>
    <col min="14" max="14" width="9.83203125" bestFit="1" customWidth="1"/>
    <col min="15" max="15" width="9.5" bestFit="1" customWidth="1"/>
    <col min="16" max="16" width="9.83203125" style="61" hidden="1" customWidth="1"/>
    <col min="17" max="17" width="9.5" style="61" hidden="1" customWidth="1"/>
    <col min="18" max="18" width="11.83203125" style="23" bestFit="1" customWidth="1"/>
    <col min="19" max="19" width="11.5" style="23" bestFit="1" customWidth="1"/>
    <col min="22" max="22" width="10.5" hidden="1" customWidth="1"/>
    <col min="23" max="36" width="0" hidden="1" customWidth="1"/>
    <col min="37" max="37" width="9.5" hidden="1" customWidth="1"/>
    <col min="38" max="38" width="15.1640625" hidden="1" customWidth="1"/>
  </cols>
  <sheetData>
    <row r="1" spans="1:45" ht="15.75">
      <c r="S1" s="8" t="s">
        <v>346</v>
      </c>
    </row>
    <row r="2" spans="1:45" ht="15.75">
      <c r="S2" s="666" t="s">
        <v>415</v>
      </c>
    </row>
    <row r="3" spans="1:45" ht="18.75">
      <c r="B3" s="28" t="s">
        <v>90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6"/>
      <c r="Q3" s="56"/>
      <c r="R3" s="44"/>
      <c r="S3" s="44"/>
    </row>
    <row r="4" spans="1:45" ht="15.75">
      <c r="B4" s="31" t="s">
        <v>93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7"/>
      <c r="Q4" s="57"/>
      <c r="R4" s="44"/>
      <c r="S4" s="44"/>
      <c r="W4" s="2"/>
    </row>
    <row r="5" spans="1:45" ht="15.75">
      <c r="B5" s="49">
        <v>41547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57"/>
      <c r="Q5" s="57"/>
      <c r="R5" s="44"/>
      <c r="S5" s="44"/>
      <c r="W5" s="2"/>
    </row>
    <row r="6" spans="1:45">
      <c r="W6" s="2"/>
    </row>
    <row r="8" spans="1:45">
      <c r="D8" s="2"/>
      <c r="E8" s="2"/>
      <c r="F8" s="2"/>
      <c r="G8" s="2"/>
      <c r="H8" s="2"/>
      <c r="I8" s="2"/>
      <c r="J8" s="15" t="s">
        <v>54</v>
      </c>
      <c r="K8" s="15" t="s">
        <v>55</v>
      </c>
      <c r="L8" s="157" t="s">
        <v>84</v>
      </c>
      <c r="M8" s="157" t="s">
        <v>332</v>
      </c>
      <c r="N8" s="15"/>
      <c r="O8" s="15"/>
      <c r="P8" s="58"/>
      <c r="Q8" s="58"/>
      <c r="R8" s="39" t="s">
        <v>25</v>
      </c>
      <c r="S8" s="39" t="s">
        <v>87</v>
      </c>
      <c r="V8" s="17" t="s">
        <v>197</v>
      </c>
      <c r="W8" s="17" t="s">
        <v>197</v>
      </c>
      <c r="X8" s="109">
        <v>2012</v>
      </c>
      <c r="Y8" s="17"/>
      <c r="Z8" s="109">
        <v>2012</v>
      </c>
      <c r="AA8" s="17"/>
      <c r="AB8" s="17" t="s">
        <v>55</v>
      </c>
      <c r="AC8" s="17" t="s">
        <v>194</v>
      </c>
      <c r="AD8" s="17" t="s">
        <v>205</v>
      </c>
      <c r="AE8" s="17" t="s">
        <v>202</v>
      </c>
      <c r="AF8" s="17" t="s">
        <v>204</v>
      </c>
      <c r="AG8" s="17"/>
      <c r="AH8" s="17"/>
      <c r="AI8" s="17" t="s">
        <v>200</v>
      </c>
      <c r="AJ8" s="17" t="s">
        <v>200</v>
      </c>
      <c r="AK8" s="109">
        <v>2012</v>
      </c>
      <c r="AL8" s="17"/>
      <c r="AM8" s="17"/>
      <c r="AN8" s="17"/>
      <c r="AO8" s="17"/>
      <c r="AP8" s="17"/>
      <c r="AQ8" s="17"/>
      <c r="AR8" s="17"/>
      <c r="AS8" s="17"/>
    </row>
    <row r="9" spans="1:45">
      <c r="C9" s="2" t="s">
        <v>20</v>
      </c>
      <c r="D9" s="2"/>
      <c r="E9" s="2"/>
      <c r="F9" s="2"/>
      <c r="G9" s="2"/>
      <c r="H9" s="2"/>
      <c r="I9" s="2"/>
      <c r="J9" s="15" t="s">
        <v>35</v>
      </c>
      <c r="K9" s="15" t="s">
        <v>56</v>
      </c>
      <c r="L9" s="157" t="s">
        <v>56</v>
      </c>
      <c r="M9" s="157" t="s">
        <v>56</v>
      </c>
      <c r="N9" s="83" t="s">
        <v>348</v>
      </c>
      <c r="O9" s="83"/>
      <c r="P9" s="83" t="s">
        <v>161</v>
      </c>
      <c r="Q9" s="83"/>
      <c r="R9" s="39" t="s">
        <v>81</v>
      </c>
      <c r="S9" s="39" t="s">
        <v>88</v>
      </c>
      <c r="V9" s="17" t="s">
        <v>188</v>
      </c>
      <c r="W9" s="109">
        <v>2012</v>
      </c>
      <c r="X9" s="17" t="s">
        <v>191</v>
      </c>
      <c r="Y9" s="17" t="s">
        <v>23</v>
      </c>
      <c r="Z9" s="17" t="s">
        <v>198</v>
      </c>
      <c r="AA9" s="17"/>
      <c r="AB9" s="17" t="s">
        <v>207</v>
      </c>
      <c r="AC9" s="17" t="s">
        <v>195</v>
      </c>
      <c r="AD9" s="17" t="s">
        <v>203</v>
      </c>
      <c r="AE9" s="17" t="s">
        <v>203</v>
      </c>
      <c r="AF9" s="17" t="s">
        <v>203</v>
      </c>
      <c r="AG9" s="17"/>
      <c r="AH9" s="17"/>
      <c r="AI9" s="17" t="s">
        <v>191</v>
      </c>
      <c r="AJ9" s="17" t="s">
        <v>23</v>
      </c>
      <c r="AK9" s="17" t="s">
        <v>87</v>
      </c>
      <c r="AL9" s="17"/>
      <c r="AM9" s="17"/>
      <c r="AN9" s="17"/>
      <c r="AO9" s="17"/>
      <c r="AP9" s="17"/>
      <c r="AQ9" s="17"/>
      <c r="AR9" s="17"/>
      <c r="AS9" s="17"/>
    </row>
    <row r="10" spans="1:45">
      <c r="B10" s="2" t="s">
        <v>3</v>
      </c>
      <c r="C10" s="2" t="s">
        <v>73</v>
      </c>
      <c r="D10" s="2" t="s">
        <v>74</v>
      </c>
      <c r="E10" s="2"/>
      <c r="F10" s="2"/>
      <c r="G10" s="2"/>
      <c r="H10" s="2"/>
      <c r="I10" s="2"/>
      <c r="J10" s="15" t="s">
        <v>36</v>
      </c>
      <c r="K10" s="15" t="s">
        <v>57</v>
      </c>
      <c r="L10" s="157" t="s">
        <v>57</v>
      </c>
      <c r="M10" s="157" t="s">
        <v>57</v>
      </c>
      <c r="N10" s="58" t="s">
        <v>81</v>
      </c>
      <c r="O10" s="58" t="s">
        <v>162</v>
      </c>
      <c r="P10" s="58" t="s">
        <v>81</v>
      </c>
      <c r="Q10" s="58" t="s">
        <v>162</v>
      </c>
      <c r="R10" s="40" t="s">
        <v>94</v>
      </c>
      <c r="S10" s="40"/>
      <c r="V10" s="17" t="s">
        <v>189</v>
      </c>
      <c r="W10" s="17" t="s">
        <v>190</v>
      </c>
      <c r="X10" s="17" t="s">
        <v>192</v>
      </c>
      <c r="Y10" s="17" t="s">
        <v>193</v>
      </c>
      <c r="Z10" s="17" t="s">
        <v>1</v>
      </c>
      <c r="AA10" s="17" t="s">
        <v>117</v>
      </c>
      <c r="AB10" s="17" t="s">
        <v>36</v>
      </c>
      <c r="AC10" s="17" t="s">
        <v>57</v>
      </c>
      <c r="AD10" s="17" t="s">
        <v>141</v>
      </c>
      <c r="AE10" s="17" t="s">
        <v>141</v>
      </c>
      <c r="AF10" s="17" t="s">
        <v>141</v>
      </c>
      <c r="AG10" s="17" t="s">
        <v>196</v>
      </c>
      <c r="AH10" s="17" t="s">
        <v>199</v>
      </c>
      <c r="AI10" s="17" t="s">
        <v>26</v>
      </c>
      <c r="AJ10" s="17" t="s">
        <v>26</v>
      </c>
      <c r="AK10" s="17" t="s">
        <v>201</v>
      </c>
      <c r="AL10" s="144" t="s">
        <v>218</v>
      </c>
      <c r="AM10" s="17"/>
      <c r="AN10" s="17"/>
      <c r="AO10" s="17"/>
      <c r="AP10" s="17"/>
      <c r="AQ10" s="17"/>
      <c r="AR10" s="17"/>
      <c r="AS10" s="17"/>
    </row>
    <row r="11" spans="1:45" ht="12.75" customHeight="1">
      <c r="B11" s="3"/>
      <c r="C11" s="3"/>
      <c r="D11" s="3"/>
      <c r="E11" s="3"/>
      <c r="F11" s="3"/>
      <c r="G11" s="3"/>
      <c r="H11" s="3"/>
      <c r="I11" s="3"/>
      <c r="J11" s="19"/>
      <c r="K11" s="19"/>
      <c r="L11" s="408"/>
      <c r="M11" s="408"/>
      <c r="N11" s="59"/>
      <c r="O11" s="59"/>
      <c r="P11" s="59"/>
      <c r="Q11" s="59"/>
      <c r="R11" s="41"/>
      <c r="S11" s="41"/>
      <c r="Z11" s="120"/>
    </row>
    <row r="12" spans="1:45">
      <c r="A12" s="488"/>
      <c r="B12" s="94" t="s">
        <v>5</v>
      </c>
      <c r="C12" t="s">
        <v>118</v>
      </c>
      <c r="D12" s="37" t="s">
        <v>164</v>
      </c>
      <c r="J12" s="156" t="str">
        <f>+'Value Line'!E20</f>
        <v>A</v>
      </c>
      <c r="K12" s="158" t="s">
        <v>222</v>
      </c>
      <c r="L12" s="158" t="s">
        <v>86</v>
      </c>
      <c r="M12" s="158" t="s">
        <v>222</v>
      </c>
      <c r="N12" s="574">
        <f>+'Comp Detail'!P13</f>
        <v>0.69097399286078531</v>
      </c>
      <c r="O12" s="574">
        <f>+'Comp Detail'!Q13</f>
        <v>0.83911671924290221</v>
      </c>
      <c r="P12" s="574">
        <v>0</v>
      </c>
      <c r="Q12" s="574">
        <v>0</v>
      </c>
      <c r="R12" s="575">
        <f>+'Comp Detail'!X13</f>
        <v>3922</v>
      </c>
      <c r="S12" s="575">
        <f>+'Comp Detail'!AD13</f>
        <v>8347</v>
      </c>
      <c r="V12" s="191">
        <f>+'Comp Detail'!AI13</f>
        <v>5038.3</v>
      </c>
      <c r="W12" s="576">
        <f>+'Comp Detail'!X13</f>
        <v>3922</v>
      </c>
      <c r="X12" s="94">
        <f>+'Comp Detail'!AN13</f>
        <v>2.3199999999999998</v>
      </c>
      <c r="Y12" s="412">
        <f>+'1.8 DCF SS'!D16*100</f>
        <v>4.0430154247230066</v>
      </c>
      <c r="Z12" s="192">
        <f>+'Comp Detail'!AS13</f>
        <v>0.75043103448275861</v>
      </c>
      <c r="AA12" s="94">
        <f>+'Beta Report'!B12</f>
        <v>0.75</v>
      </c>
      <c r="AB12" s="517">
        <v>68</v>
      </c>
      <c r="AC12" s="158" t="s">
        <v>59</v>
      </c>
      <c r="AD12" s="192">
        <f>+'Comp Detail'!AX13</f>
        <v>0.49362017804154301</v>
      </c>
      <c r="AE12" s="192"/>
      <c r="AF12" s="192">
        <f>+'Comp Detail'!BC13</f>
        <v>0.50637982195845699</v>
      </c>
      <c r="AG12" s="192">
        <f>+'Comp Detail'!BH13</f>
        <v>7.889374090247453E-2</v>
      </c>
      <c r="AH12" s="577">
        <v>8</v>
      </c>
      <c r="AI12" s="94"/>
      <c r="AJ12" s="94"/>
      <c r="AK12" s="420">
        <f>+'Comp Detail'!AD13</f>
        <v>8347</v>
      </c>
      <c r="AL12" s="94"/>
    </row>
    <row r="13" spans="1:45">
      <c r="A13" s="488"/>
      <c r="B13" s="94" t="s">
        <v>7</v>
      </c>
      <c r="C13" t="s">
        <v>8</v>
      </c>
      <c r="D13" s="37" t="s">
        <v>165</v>
      </c>
      <c r="J13" s="156" t="str">
        <f>+'Value Line'!E21</f>
        <v>B++</v>
      </c>
      <c r="K13" s="158" t="s">
        <v>59</v>
      </c>
      <c r="L13" s="158" t="s">
        <v>86</v>
      </c>
      <c r="M13" s="158" t="s">
        <v>222</v>
      </c>
      <c r="N13" s="574">
        <f>+'Comp Detail'!P14</f>
        <v>0.62364013432667842</v>
      </c>
      <c r="O13" s="574">
        <f>+'Comp Detail'!Q14</f>
        <v>0.68462095728530759</v>
      </c>
      <c r="P13" s="574">
        <v>0.03</v>
      </c>
      <c r="Q13" s="574">
        <v>0.18</v>
      </c>
      <c r="R13" s="575">
        <f>+'Comp Detail'!X14</f>
        <v>3438.4830000000002</v>
      </c>
      <c r="S13" s="575">
        <f>+'Comp Detail'!AD14</f>
        <v>5475.6040000000003</v>
      </c>
      <c r="V13" s="191">
        <f>+'Comp Detail'!AI14</f>
        <v>3888.6</v>
      </c>
      <c r="W13" s="576">
        <f>+'Comp Detail'!X14</f>
        <v>3438.4830000000002</v>
      </c>
      <c r="X13" s="94">
        <f>+'Comp Detail'!AN14</f>
        <v>2.37</v>
      </c>
      <c r="Y13" s="412">
        <f>+'1.8 DCF SS'!D17*100</f>
        <v>3.2988964545667994</v>
      </c>
      <c r="Z13" s="192">
        <f>+'Comp Detail'!AS14</f>
        <v>0.5843881856540083</v>
      </c>
      <c r="AA13" s="94">
        <f>+'Beta Report'!B13</f>
        <v>0.7</v>
      </c>
      <c r="AB13" s="517">
        <v>67</v>
      </c>
      <c r="AC13" s="158"/>
      <c r="AD13" s="192">
        <f>+'Comp Detail'!AX14</f>
        <v>0.45331554648447892</v>
      </c>
      <c r="AE13" s="192"/>
      <c r="AF13" s="192">
        <f>+'Comp Detail'!BC14</f>
        <v>0.54668445351552108</v>
      </c>
      <c r="AG13" s="192">
        <f>+'Comp Detail'!BH14</f>
        <v>9.1858702134540615E-2</v>
      </c>
      <c r="AH13" s="577">
        <v>10</v>
      </c>
      <c r="AI13" s="94"/>
      <c r="AJ13" s="94"/>
      <c r="AK13" s="420">
        <f>+'Comp Detail'!AD14</f>
        <v>5475.6040000000003</v>
      </c>
      <c r="AL13" s="94"/>
    </row>
    <row r="14" spans="1:45">
      <c r="B14" s="94" t="s">
        <v>10</v>
      </c>
      <c r="C14" t="s">
        <v>11</v>
      </c>
      <c r="D14" s="37" t="s">
        <v>166</v>
      </c>
      <c r="J14" s="156" t="str">
        <f>+'Value Line'!E22</f>
        <v>B++</v>
      </c>
      <c r="K14" s="158" t="s">
        <v>59</v>
      </c>
      <c r="L14" s="158" t="s">
        <v>219</v>
      </c>
      <c r="M14" s="158" t="s">
        <v>222</v>
      </c>
      <c r="N14" s="574">
        <f>+'Comp Detail'!P15</f>
        <v>0.67833314822630442</v>
      </c>
      <c r="O14" s="574">
        <f>+'Comp Detail'!Q15</f>
        <v>0.76804765859579638</v>
      </c>
      <c r="P14" s="574">
        <v>0</v>
      </c>
      <c r="Q14" s="574">
        <v>0</v>
      </c>
      <c r="R14" s="575">
        <f>+'Comp Detail'!X15</f>
        <v>1125.4749999999999</v>
      </c>
      <c r="S14" s="575">
        <f>+'Comp Detail'!AD15</f>
        <v>1019.299</v>
      </c>
      <c r="V14" s="191">
        <f>+'Comp Detail'!AI15</f>
        <v>998.2</v>
      </c>
      <c r="W14" s="576">
        <f>+'Comp Detail'!X15</f>
        <v>1125.4749999999999</v>
      </c>
      <c r="X14" s="94">
        <f>+'Comp Detail'!AN15</f>
        <v>2.8</v>
      </c>
      <c r="Y14" s="412">
        <f>+'1.8 DCF SS'!D18*100</f>
        <v>3.8</v>
      </c>
      <c r="Z14" s="192">
        <f>+'Comp Detail'!AS15</f>
        <v>0.59642857142857142</v>
      </c>
      <c r="AA14" s="94">
        <f>+'Beta Report'!B14</f>
        <v>0.6</v>
      </c>
      <c r="AB14" s="517">
        <v>73</v>
      </c>
      <c r="AC14" s="158"/>
      <c r="AD14" s="192">
        <f>+'Comp Detail'!AX15</f>
        <v>0.36068678156949802</v>
      </c>
      <c r="AE14" s="192">
        <v>1E-3</v>
      </c>
      <c r="AF14" s="192">
        <f>+'Comp Detail'!BC15</f>
        <v>0.63931321843050193</v>
      </c>
      <c r="AG14" s="192">
        <f>+'Comp Detail'!BH15</f>
        <v>0.10412043662765474</v>
      </c>
      <c r="AH14" s="577">
        <v>3</v>
      </c>
      <c r="AI14" s="94"/>
      <c r="AJ14" s="94"/>
      <c r="AK14" s="420">
        <f>+'Comp Detail'!AD15</f>
        <v>1019.299</v>
      </c>
      <c r="AL14" s="94"/>
    </row>
    <row r="15" spans="1:45">
      <c r="A15" s="488"/>
      <c r="B15" s="645" t="s">
        <v>14</v>
      </c>
      <c r="C15" s="645" t="s">
        <v>15</v>
      </c>
      <c r="D15" s="646" t="s">
        <v>167</v>
      </c>
      <c r="E15" s="645"/>
      <c r="F15" s="645"/>
      <c r="G15" s="645"/>
      <c r="H15" s="645"/>
      <c r="I15" s="645"/>
      <c r="J15" s="647" t="str">
        <f>+'Value Line'!E23</f>
        <v>A</v>
      </c>
      <c r="K15" s="648" t="s">
        <v>331</v>
      </c>
      <c r="L15" s="648" t="s">
        <v>85</v>
      </c>
      <c r="M15" s="648" t="s">
        <v>129</v>
      </c>
      <c r="N15" s="649">
        <f>+'Comp Detail'!P16</f>
        <v>0.95791855265553161</v>
      </c>
      <c r="O15" s="649">
        <f>+'Comp Detail'!Q16</f>
        <v>0.92097569125386358</v>
      </c>
      <c r="P15" s="649">
        <v>0</v>
      </c>
      <c r="Q15" s="649">
        <v>0</v>
      </c>
      <c r="R15" s="650">
        <f>+'Comp Detail'!X16</f>
        <v>730.60699999999997</v>
      </c>
      <c r="S15" s="650">
        <f>+'Comp Detail'!AD16</f>
        <v>1973.6120000000001</v>
      </c>
      <c r="V15" s="191">
        <f>+'Comp Detail'!AI16</f>
        <v>1188.8</v>
      </c>
      <c r="W15" s="576">
        <f>+'Comp Detail'!X16</f>
        <v>730.60699999999997</v>
      </c>
      <c r="X15" s="94">
        <f>+'Comp Detail'!AN16</f>
        <v>2.2200000000000002</v>
      </c>
      <c r="Y15" s="412">
        <f>+'1.8 DCF SS'!D19*100</f>
        <v>4.3830395426393522</v>
      </c>
      <c r="Z15" s="192">
        <f>+'Comp Detail'!AS16</f>
        <v>0.80630630630630629</v>
      </c>
      <c r="AA15" s="94">
        <f>+'Beta Report'!B15</f>
        <v>0.6</v>
      </c>
      <c r="AB15" s="517">
        <v>65</v>
      </c>
      <c r="AC15" s="158"/>
      <c r="AD15" s="192">
        <f>+'Comp Detail'!AX16</f>
        <v>0.49240674206415025</v>
      </c>
      <c r="AE15" s="192"/>
      <c r="AF15" s="192">
        <f>+'Comp Detail'!BC16</f>
        <v>0.50759325793584975</v>
      </c>
      <c r="AG15" s="192">
        <f>+'Comp Detail'!BH16</f>
        <v>8.1653895527213638E-2</v>
      </c>
      <c r="AH15" s="577">
        <v>5</v>
      </c>
      <c r="AI15" s="94"/>
      <c r="AJ15" s="94"/>
      <c r="AK15" s="420">
        <f>+'Comp Detail'!AD16</f>
        <v>1973.6120000000001</v>
      </c>
      <c r="AL15" s="94"/>
    </row>
    <row r="16" spans="1:45">
      <c r="A16" s="488"/>
      <c r="B16" s="645" t="s">
        <v>16</v>
      </c>
      <c r="C16" s="645" t="s">
        <v>17</v>
      </c>
      <c r="D16" s="646" t="s">
        <v>167</v>
      </c>
      <c r="E16" s="645"/>
      <c r="F16" s="645"/>
      <c r="G16" s="645"/>
      <c r="H16" s="645"/>
      <c r="I16" s="645"/>
      <c r="J16" s="647" t="str">
        <f>+'Value Line'!E24</f>
        <v>B++</v>
      </c>
      <c r="K16" s="648" t="s">
        <v>13</v>
      </c>
      <c r="L16" s="647" t="s">
        <v>85</v>
      </c>
      <c r="M16" s="648" t="s">
        <v>129</v>
      </c>
      <c r="N16" s="649">
        <f>+'Comp Detail'!P17</f>
        <v>1</v>
      </c>
      <c r="O16" s="649">
        <f>+'Comp Detail'!Q17</f>
        <v>1</v>
      </c>
      <c r="P16" s="649">
        <v>0</v>
      </c>
      <c r="Q16" s="649">
        <v>0</v>
      </c>
      <c r="R16" s="650">
        <f>+'Comp Detail'!X17</f>
        <v>1122.78</v>
      </c>
      <c r="S16" s="650">
        <f>+'Comp Detail'!AD17</f>
        <v>3105.0859999999998</v>
      </c>
      <c r="V16" s="191">
        <f>+'Comp Detail'!AI17</f>
        <v>2465.4</v>
      </c>
      <c r="W16" s="576">
        <f>+'Comp Detail'!X17</f>
        <v>1122.78</v>
      </c>
      <c r="X16" s="94">
        <f>+'Comp Detail'!AN17</f>
        <v>1.66</v>
      </c>
      <c r="Y16" s="412">
        <f>+'1.8 DCF SS'!D20*100</f>
        <v>3.771289537712895</v>
      </c>
      <c r="Z16" s="192">
        <f>+'Comp Detail'!AS17</f>
        <v>0.72289156626506024</v>
      </c>
      <c r="AA16" s="94">
        <f>+'Beta Report'!B16</f>
        <v>0.7</v>
      </c>
      <c r="AB16" s="517">
        <v>83</v>
      </c>
      <c r="AC16" s="158"/>
      <c r="AD16" s="192">
        <f>+'Comp Detail'!AX17</f>
        <v>0.48701201396201005</v>
      </c>
      <c r="AE16" s="192"/>
      <c r="AF16" s="192">
        <f>+'Comp Detail'!BC17</f>
        <v>0.51298798603799001</v>
      </c>
      <c r="AG16" s="192">
        <f>+'Comp Detail'!BH17</f>
        <v>0.11669574802045563</v>
      </c>
      <c r="AH16" s="577">
        <v>6</v>
      </c>
      <c r="AI16" s="192">
        <v>0.05</v>
      </c>
      <c r="AJ16" s="192">
        <v>0.05</v>
      </c>
      <c r="AK16" s="420">
        <f>+'Comp Detail'!AD17</f>
        <v>3105.0859999999998</v>
      </c>
      <c r="AL16" s="94"/>
    </row>
    <row r="17" spans="1:40">
      <c r="A17" s="488"/>
      <c r="B17" s="94" t="s">
        <v>18</v>
      </c>
      <c r="C17" t="s">
        <v>19</v>
      </c>
      <c r="D17" s="37" t="s">
        <v>168</v>
      </c>
      <c r="J17" s="156" t="str">
        <f>+'Value Line'!E25</f>
        <v>B++</v>
      </c>
      <c r="K17" s="158" t="s">
        <v>222</v>
      </c>
      <c r="L17" s="158" t="s">
        <v>129</v>
      </c>
      <c r="M17" s="158" t="s">
        <v>129</v>
      </c>
      <c r="N17" s="574">
        <f>+'Comp Detail'!P18</f>
        <v>0.59731834399954697</v>
      </c>
      <c r="O17" s="574">
        <f>+'Comp Detail'!Q18</f>
        <v>0.92596771551802581</v>
      </c>
      <c r="P17" s="574">
        <v>0</v>
      </c>
      <c r="Q17" s="574">
        <v>0</v>
      </c>
      <c r="R17" s="575">
        <f>+'Comp Detail'!X18</f>
        <v>706.28</v>
      </c>
      <c r="S17" s="575">
        <f>+'Comp Detail'!AD18</f>
        <v>1578.021</v>
      </c>
      <c r="V17" s="191">
        <f>+'Comp Detail'!AI18</f>
        <v>1820.4</v>
      </c>
      <c r="W17" s="576">
        <f>+'Comp Detail'!X18</f>
        <v>706.28</v>
      </c>
      <c r="X17" s="94">
        <f>+'Comp Detail'!AN18</f>
        <v>3.01</v>
      </c>
      <c r="Y17" s="412">
        <f>+'1.8 DCF SS'!D21*100</f>
        <v>3.0774456521739131</v>
      </c>
      <c r="Z17" s="192">
        <f>+'Comp Detail'!AS18</f>
        <v>0.54883720930232571</v>
      </c>
      <c r="AA17" s="94">
        <f>+'Beta Report'!B17</f>
        <v>0.65</v>
      </c>
      <c r="AB17" s="517">
        <v>74</v>
      </c>
      <c r="AC17" s="158"/>
      <c r="AD17" s="192">
        <f>+'Comp Detail'!AX18</f>
        <v>0.44960653820907975</v>
      </c>
      <c r="AE17" s="192"/>
      <c r="AF17" s="192">
        <f>+'Comp Detail'!BC18</f>
        <v>0.5503934617909203</v>
      </c>
      <c r="AG17" s="192">
        <f>+'Comp Detail'!BH18</f>
        <v>0.12443121157706862</v>
      </c>
      <c r="AH17" s="577">
        <v>6</v>
      </c>
      <c r="AI17" s="94"/>
      <c r="AJ17" s="94"/>
      <c r="AK17" s="420">
        <f>+'Comp Detail'!AD18</f>
        <v>1578.021</v>
      </c>
      <c r="AL17" s="94"/>
    </row>
    <row r="18" spans="1:40">
      <c r="A18" s="488"/>
      <c r="B18" s="94" t="s">
        <v>138</v>
      </c>
      <c r="C18" t="s">
        <v>139</v>
      </c>
      <c r="D18" s="37" t="s">
        <v>169</v>
      </c>
      <c r="J18" s="156" t="str">
        <f>+'Value Line'!E26</f>
        <v>B+</v>
      </c>
      <c r="K18" s="158" t="s">
        <v>59</v>
      </c>
      <c r="L18" s="158" t="s">
        <v>86</v>
      </c>
      <c r="M18" s="158" t="s">
        <v>59</v>
      </c>
      <c r="N18" s="574">
        <f>+'Comp Detail'!P19</f>
        <v>0.68562251462564672</v>
      </c>
      <c r="O18" s="574">
        <f>+'Comp Detail'!Q19</f>
        <v>0.87465780651161396</v>
      </c>
      <c r="P18" s="574">
        <v>0.21</v>
      </c>
      <c r="Q18" s="574">
        <v>0.15</v>
      </c>
      <c r="R18" s="575">
        <f>+'Comp Detail'!X19</f>
        <v>1927.778</v>
      </c>
      <c r="S18" s="575">
        <f>+'Comp Detail'!AD19</f>
        <v>3343.7939999999999</v>
      </c>
      <c r="V18" s="191">
        <f>+'Comp Detail'!AI19</f>
        <v>2244.6999999999998</v>
      </c>
      <c r="W18" s="576">
        <f>+'Comp Detail'!X19</f>
        <v>1927.778</v>
      </c>
      <c r="X18" s="94">
        <f>+'Comp Detail'!AN19</f>
        <v>2.86</v>
      </c>
      <c r="Y18" s="412">
        <f>+'1.8 DCF SS'!D22*100</f>
        <v>2.54</v>
      </c>
      <c r="Z18" s="192">
        <f>+'Comp Detail'!AS19</f>
        <v>0.40209790209790208</v>
      </c>
      <c r="AA18" s="94">
        <f>+'Beta Report'!B18</f>
        <v>0.75</v>
      </c>
      <c r="AB18" s="517">
        <v>84</v>
      </c>
      <c r="AC18" s="158"/>
      <c r="AD18" s="192">
        <f>+'Comp Detail'!AX19</f>
        <v>0.49221439489986113</v>
      </c>
      <c r="AE18" s="192"/>
      <c r="AF18" s="192">
        <f>+'Comp Detail'!BC19</f>
        <v>0.50778560510013881</v>
      </c>
      <c r="AG18" s="192">
        <f>+'Comp Detail'!BH19</f>
        <v>0.10136736930434743</v>
      </c>
      <c r="AH18" s="577">
        <v>6</v>
      </c>
      <c r="AI18" s="94"/>
      <c r="AJ18" s="94"/>
      <c r="AK18" s="420">
        <f>+'Comp Detail'!AD19</f>
        <v>3343.7939999999999</v>
      </c>
      <c r="AL18" s="94"/>
    </row>
    <row r="19" spans="1:40" ht="12.75" customHeight="1">
      <c r="J19" s="11"/>
      <c r="K19" s="11"/>
      <c r="L19" s="99"/>
      <c r="M19" s="99"/>
      <c r="N19" s="84"/>
      <c r="O19" s="84"/>
      <c r="P19" s="84"/>
      <c r="Q19" s="84"/>
      <c r="R19" s="22"/>
      <c r="S19" s="22"/>
      <c r="V19" s="191"/>
      <c r="W19" s="576"/>
      <c r="X19" s="94"/>
      <c r="Y19" s="94"/>
      <c r="Z19" s="151"/>
      <c r="AA19" s="94"/>
      <c r="AB19" s="517"/>
      <c r="AC19" s="158"/>
      <c r="AD19" s="192"/>
      <c r="AE19" s="192"/>
      <c r="AF19" s="192"/>
      <c r="AG19" s="193"/>
      <c r="AH19" s="577"/>
      <c r="AI19" s="94"/>
      <c r="AJ19" s="94"/>
      <c r="AK19" s="420"/>
      <c r="AL19" s="94"/>
    </row>
    <row r="20" spans="1:40" ht="12.75" customHeight="1">
      <c r="B20" s="15" t="s">
        <v>38</v>
      </c>
      <c r="C20" s="2"/>
      <c r="D20" s="2"/>
      <c r="E20" s="2"/>
      <c r="F20" s="2"/>
      <c r="G20" s="2"/>
      <c r="H20" s="2" t="s">
        <v>163</v>
      </c>
      <c r="I20" s="2"/>
      <c r="J20" s="78"/>
      <c r="K20" s="78"/>
      <c r="L20" s="155"/>
      <c r="M20" s="155"/>
      <c r="N20" s="58">
        <f t="shared" ref="N20:S20" si="0">AVERAGE(N12:N13,N14,N15:N16,N17:N18)</f>
        <v>0.74768666952778473</v>
      </c>
      <c r="O20" s="58">
        <f t="shared" si="0"/>
        <v>0.85905522120107292</v>
      </c>
      <c r="P20" s="58">
        <f t="shared" si="0"/>
        <v>3.4285714285714287E-2</v>
      </c>
      <c r="Q20" s="58">
        <f t="shared" si="0"/>
        <v>4.7142857142857139E-2</v>
      </c>
      <c r="R20" s="129">
        <f t="shared" si="0"/>
        <v>1853.3432857142859</v>
      </c>
      <c r="S20" s="129">
        <f t="shared" si="0"/>
        <v>3548.9165714285709</v>
      </c>
      <c r="T20" s="2"/>
      <c r="U20" s="2"/>
      <c r="V20" s="126">
        <f t="shared" ref="V20:AB20" si="1">AVERAGE(V12:V18)</f>
        <v>2520.6285714285709</v>
      </c>
      <c r="W20" s="126">
        <f t="shared" si="1"/>
        <v>1853.3432857142859</v>
      </c>
      <c r="X20" s="130">
        <f t="shared" si="1"/>
        <v>2.4628571428571426</v>
      </c>
      <c r="Y20" s="130">
        <f t="shared" si="1"/>
        <v>3.5590980874022806</v>
      </c>
      <c r="Z20" s="131">
        <f t="shared" si="1"/>
        <v>0.63019725364813339</v>
      </c>
      <c r="AA20" s="2">
        <f t="shared" si="1"/>
        <v>0.6785714285714286</v>
      </c>
      <c r="AB20" s="132">
        <f t="shared" si="1"/>
        <v>73.428571428571431</v>
      </c>
      <c r="AC20" s="15"/>
      <c r="AD20" s="131">
        <f>AVERAGE(AD12:AD18)</f>
        <v>0.46126602789008869</v>
      </c>
      <c r="AE20" s="131"/>
      <c r="AF20" s="131">
        <f>AVERAGE(AF12:AF18)</f>
        <v>0.53873397210991125</v>
      </c>
      <c r="AG20" s="131">
        <f>AVERAGE(AG12:AG18)</f>
        <v>9.9860157727679311E-2</v>
      </c>
      <c r="AH20" s="133"/>
      <c r="AI20" s="131">
        <f>AVERAGE(AI12:AI18)</f>
        <v>0.05</v>
      </c>
      <c r="AJ20" s="131">
        <f>AVERAGE(AJ12:AJ18)</f>
        <v>0.05</v>
      </c>
      <c r="AK20" s="126">
        <f>AVERAGE(AK12:AK18)</f>
        <v>3548.9165714285709</v>
      </c>
    </row>
    <row r="21" spans="1:40">
      <c r="B21" s="17"/>
      <c r="H21" t="s">
        <v>100</v>
      </c>
      <c r="J21" s="20"/>
      <c r="K21" s="35"/>
      <c r="L21" s="156"/>
      <c r="M21" s="156"/>
      <c r="N21" s="62"/>
      <c r="O21" s="62"/>
      <c r="P21" s="62">
        <f>AVERAGE(P11:P19)</f>
        <v>3.4285714285714287E-2</v>
      </c>
      <c r="Q21" s="62">
        <f>AVERAGE(Q11:Q19)</f>
        <v>4.7142857142857139E-2</v>
      </c>
      <c r="R21" s="85"/>
      <c r="S21" s="85"/>
      <c r="V21" s="118"/>
      <c r="W21" s="117"/>
      <c r="Z21" s="120"/>
      <c r="AB21" s="123"/>
      <c r="AC21" s="17"/>
      <c r="AD21" s="121"/>
      <c r="AE21" s="121"/>
      <c r="AF21" s="121"/>
      <c r="AH21" s="86"/>
      <c r="AK21" s="119"/>
    </row>
    <row r="22" spans="1:40">
      <c r="B22" s="794" t="s">
        <v>79</v>
      </c>
      <c r="C22" s="795"/>
      <c r="D22" s="795"/>
      <c r="E22" s="796"/>
      <c r="F22" s="794" t="s">
        <v>82</v>
      </c>
      <c r="G22" s="797">
        <v>8.2900000000000001E-2</v>
      </c>
      <c r="H22" s="798">
        <v>2.0400000000000001E-2</v>
      </c>
      <c r="I22" s="794" t="s">
        <v>82</v>
      </c>
      <c r="J22" s="794" t="s">
        <v>82</v>
      </c>
      <c r="K22" s="794" t="s">
        <v>59</v>
      </c>
      <c r="L22" s="794" t="s">
        <v>85</v>
      </c>
      <c r="M22" s="794"/>
      <c r="N22" s="799">
        <v>1</v>
      </c>
      <c r="O22" s="799">
        <v>1</v>
      </c>
      <c r="P22" s="800"/>
      <c r="Q22" s="800"/>
      <c r="R22" s="801">
        <v>962.5</v>
      </c>
      <c r="S22" s="801">
        <v>771.2</v>
      </c>
      <c r="T22" s="2"/>
      <c r="U22" s="2"/>
      <c r="V22" s="126"/>
      <c r="W22" s="12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28"/>
      <c r="AL22" s="2"/>
      <c r="AM22" s="2"/>
      <c r="AN22" s="2"/>
    </row>
    <row r="23" spans="1:40">
      <c r="B23" s="17"/>
      <c r="J23" s="20"/>
      <c r="K23" s="20"/>
      <c r="L23" s="156"/>
      <c r="M23" s="156"/>
      <c r="N23" s="62"/>
      <c r="O23" s="62"/>
      <c r="P23" s="62"/>
      <c r="Q23" s="62"/>
      <c r="R23" s="85"/>
      <c r="S23" s="85"/>
      <c r="V23" s="118"/>
      <c r="W23" s="117"/>
      <c r="Z23" s="120"/>
      <c r="AB23" s="123"/>
      <c r="AC23" s="17"/>
      <c r="AD23" s="121"/>
      <c r="AE23" s="121"/>
      <c r="AF23" s="121"/>
      <c r="AH23" s="86"/>
      <c r="AK23" s="119"/>
    </row>
    <row r="24" spans="1:40">
      <c r="J24" s="20"/>
      <c r="K24" s="20"/>
      <c r="L24" s="156"/>
      <c r="M24" s="156"/>
      <c r="N24" s="20"/>
      <c r="O24" s="20"/>
      <c r="P24" s="60"/>
      <c r="Q24" s="60"/>
      <c r="V24" s="118"/>
      <c r="W24" s="117"/>
      <c r="Z24" s="120"/>
      <c r="AB24" s="123"/>
      <c r="AC24" s="17"/>
      <c r="AD24" s="121"/>
      <c r="AE24" s="121"/>
      <c r="AF24" s="121"/>
      <c r="AH24" s="86"/>
      <c r="AK24" s="119"/>
    </row>
    <row r="25" spans="1:40">
      <c r="B25" t="s">
        <v>183</v>
      </c>
      <c r="C25" t="s">
        <v>184</v>
      </c>
      <c r="D25" s="37"/>
      <c r="K25" s="158" t="s">
        <v>129</v>
      </c>
      <c r="L25" s="158" t="s">
        <v>217</v>
      </c>
      <c r="M25" s="158" t="s">
        <v>129</v>
      </c>
      <c r="N25" s="574">
        <f>143603/392502</f>
        <v>0.36586565163999163</v>
      </c>
      <c r="O25" s="574"/>
      <c r="P25" s="574"/>
      <c r="Q25" s="574"/>
      <c r="R25" s="575">
        <f>+W25</f>
        <v>392.50200000000001</v>
      </c>
      <c r="S25" s="575">
        <v>520.36599999999999</v>
      </c>
      <c r="V25" s="381">
        <v>572.1</v>
      </c>
      <c r="W25" s="382">
        <v>392.50200000000001</v>
      </c>
      <c r="X25" s="122">
        <v>3.01</v>
      </c>
      <c r="Y25" s="122">
        <v>2.62</v>
      </c>
      <c r="Z25" s="120">
        <v>0.61</v>
      </c>
      <c r="AA25">
        <v>0.42</v>
      </c>
      <c r="AB25" s="123">
        <v>48</v>
      </c>
      <c r="AC25" s="17"/>
      <c r="AD25" s="121">
        <v>0.5</v>
      </c>
      <c r="AE25" s="121">
        <v>2E-3</v>
      </c>
      <c r="AF25" s="121">
        <v>0.498</v>
      </c>
      <c r="AG25" s="121">
        <v>0.11199999999999999</v>
      </c>
      <c r="AH25" s="86">
        <v>4</v>
      </c>
      <c r="AK25" s="119">
        <v>281</v>
      </c>
    </row>
    <row r="26" spans="1:40">
      <c r="B26" t="s">
        <v>349</v>
      </c>
      <c r="C26" t="s">
        <v>350</v>
      </c>
      <c r="D26" s="37"/>
      <c r="K26" s="158" t="s">
        <v>129</v>
      </c>
      <c r="L26" s="158" t="s">
        <v>129</v>
      </c>
      <c r="M26" s="158" t="s">
        <v>129</v>
      </c>
      <c r="N26" s="574"/>
      <c r="O26" s="574"/>
      <c r="P26" s="574"/>
      <c r="Q26" s="574"/>
      <c r="R26" s="575"/>
      <c r="S26" s="575"/>
      <c r="V26" s="118"/>
      <c r="W26" s="117"/>
      <c r="Z26" s="120"/>
      <c r="AB26" s="123"/>
      <c r="AC26" s="490"/>
      <c r="AD26" s="121"/>
      <c r="AE26" s="121"/>
      <c r="AF26" s="121"/>
      <c r="AG26" s="121"/>
      <c r="AH26" s="86"/>
      <c r="AK26" s="119"/>
    </row>
    <row r="27" spans="1:40">
      <c r="B27" t="s">
        <v>351</v>
      </c>
      <c r="C27" t="s">
        <v>352</v>
      </c>
      <c r="D27" s="37"/>
      <c r="K27" s="158" t="s">
        <v>129</v>
      </c>
      <c r="L27" s="158" t="s">
        <v>129</v>
      </c>
      <c r="M27" s="158" t="s">
        <v>129</v>
      </c>
      <c r="N27" s="574">
        <f>42655378/74078322</f>
        <v>0.57581458176117972</v>
      </c>
      <c r="O27" s="574">
        <f>7159/5783</f>
        <v>1.2379387860971813</v>
      </c>
      <c r="P27" s="574"/>
      <c r="Q27" s="574"/>
      <c r="R27" s="575">
        <f>+W27</f>
        <v>42.6</v>
      </c>
      <c r="S27" s="575">
        <v>134.33699999999999</v>
      </c>
      <c r="V27" s="381">
        <v>152.5</v>
      </c>
      <c r="W27" s="382">
        <v>42.6</v>
      </c>
      <c r="X27" s="122">
        <v>0.85</v>
      </c>
      <c r="Y27" s="122">
        <v>3.24</v>
      </c>
      <c r="Z27" s="510">
        <f>70/85</f>
        <v>0.82352941176470584</v>
      </c>
      <c r="AB27" s="123"/>
      <c r="AC27" s="490"/>
      <c r="AD27" s="121"/>
      <c r="AE27" s="121"/>
      <c r="AF27" s="121"/>
      <c r="AG27" s="121"/>
      <c r="AH27" s="86"/>
      <c r="AK27" s="119"/>
    </row>
    <row r="28" spans="1:40">
      <c r="B28" t="s">
        <v>354</v>
      </c>
      <c r="C28" t="s">
        <v>353</v>
      </c>
      <c r="D28" s="37"/>
      <c r="K28" s="158" t="s">
        <v>58</v>
      </c>
      <c r="L28" s="158" t="s">
        <v>219</v>
      </c>
      <c r="M28" s="158" t="s">
        <v>58</v>
      </c>
      <c r="N28" s="574">
        <f>313990/1641608</f>
        <v>0.19126977938704001</v>
      </c>
      <c r="O28" s="574">
        <f>68614/470528</f>
        <v>0.14582341539717084</v>
      </c>
      <c r="P28" s="574"/>
      <c r="Q28" s="574"/>
      <c r="R28" s="575">
        <v>1.6419999999999999</v>
      </c>
      <c r="S28" s="575">
        <v>7.7149999999999999</v>
      </c>
      <c r="V28" s="381">
        <v>12.6</v>
      </c>
      <c r="W28" s="382">
        <f>+R28</f>
        <v>1.6419999999999999</v>
      </c>
      <c r="X28" s="122">
        <v>1.49</v>
      </c>
      <c r="Z28" s="120"/>
      <c r="AB28" s="123"/>
      <c r="AC28" s="490"/>
      <c r="AD28" s="121"/>
      <c r="AE28" s="121"/>
      <c r="AF28" s="121"/>
      <c r="AG28" s="121"/>
      <c r="AH28" s="86"/>
      <c r="AK28" s="119"/>
    </row>
    <row r="29" spans="1:40">
      <c r="B29" t="s">
        <v>333</v>
      </c>
      <c r="C29" t="s">
        <v>185</v>
      </c>
      <c r="D29" s="37"/>
      <c r="J29" s="20"/>
      <c r="K29" s="158" t="s">
        <v>129</v>
      </c>
      <c r="L29" s="158" t="s">
        <v>129</v>
      </c>
      <c r="M29" s="158" t="s">
        <v>129</v>
      </c>
      <c r="N29" s="574"/>
      <c r="O29" s="574"/>
      <c r="P29" s="574"/>
      <c r="Q29" s="574"/>
      <c r="R29" s="575"/>
      <c r="S29" s="575"/>
      <c r="V29" s="118">
        <v>41</v>
      </c>
      <c r="W29" s="117">
        <v>76.83</v>
      </c>
      <c r="X29">
        <v>0.77</v>
      </c>
      <c r="Y29">
        <v>5.71</v>
      </c>
      <c r="Z29" s="120">
        <v>0.20779220000000001</v>
      </c>
      <c r="AA29">
        <v>0.2</v>
      </c>
      <c r="AB29" s="123">
        <v>80</v>
      </c>
      <c r="AC29" s="17"/>
      <c r="AD29" s="121">
        <v>0.3</v>
      </c>
      <c r="AE29" s="121"/>
      <c r="AF29" s="121">
        <v>0.7</v>
      </c>
      <c r="AG29" s="121">
        <v>0.125</v>
      </c>
      <c r="AH29" s="86"/>
      <c r="AK29" s="119"/>
    </row>
    <row r="30" spans="1:40">
      <c r="B30" t="s">
        <v>355</v>
      </c>
      <c r="C30" t="s">
        <v>356</v>
      </c>
      <c r="D30" s="37"/>
      <c r="J30" s="20"/>
      <c r="K30" s="158"/>
      <c r="L30" s="158"/>
      <c r="M30" s="158"/>
      <c r="N30" s="574">
        <f>1662.1/4212.4</f>
        <v>0.394573164941601</v>
      </c>
      <c r="O30" s="574">
        <f>94/294</f>
        <v>0.31972789115646261</v>
      </c>
      <c r="P30" s="574"/>
      <c r="Q30" s="574"/>
      <c r="R30" s="575">
        <v>4212.3999999999996</v>
      </c>
      <c r="S30" s="575">
        <v>5501.9</v>
      </c>
      <c r="V30" s="118"/>
      <c r="W30" s="117"/>
      <c r="Z30" s="120"/>
      <c r="AB30" s="123"/>
      <c r="AC30" s="490"/>
      <c r="AD30" s="121"/>
      <c r="AE30" s="121"/>
      <c r="AF30" s="121"/>
      <c r="AG30" s="121"/>
      <c r="AH30" s="86"/>
      <c r="AK30" s="119"/>
    </row>
    <row r="31" spans="1:40">
      <c r="A31" s="94"/>
      <c r="B31" t="s">
        <v>91</v>
      </c>
      <c r="C31" t="s">
        <v>92</v>
      </c>
      <c r="D31" s="26" t="s">
        <v>0</v>
      </c>
      <c r="J31" s="20" t="s">
        <v>6</v>
      </c>
      <c r="K31" s="158" t="s">
        <v>58</v>
      </c>
      <c r="L31" s="156" t="s">
        <v>86</v>
      </c>
      <c r="M31" s="158" t="s">
        <v>222</v>
      </c>
      <c r="N31" s="574">
        <v>0.56000000000000005</v>
      </c>
      <c r="O31" s="574">
        <v>0.26</v>
      </c>
      <c r="P31" s="574">
        <v>0</v>
      </c>
      <c r="Q31" s="574">
        <v>0</v>
      </c>
      <c r="R31" s="575">
        <v>2103.6</v>
      </c>
      <c r="S31" s="575">
        <v>2909.1</v>
      </c>
      <c r="V31" s="118">
        <v>3978</v>
      </c>
      <c r="W31" s="117">
        <v>2400</v>
      </c>
      <c r="X31">
        <v>3.18</v>
      </c>
      <c r="Y31">
        <v>2.71</v>
      </c>
      <c r="Z31" s="120">
        <v>0.4</v>
      </c>
      <c r="AA31">
        <v>0.75</v>
      </c>
      <c r="AB31" s="123">
        <v>75</v>
      </c>
      <c r="AC31" s="17" t="s">
        <v>58</v>
      </c>
      <c r="AD31" s="121">
        <v>0.309</v>
      </c>
      <c r="AE31" s="121"/>
      <c r="AF31" s="121">
        <v>0.69099999999999995</v>
      </c>
      <c r="AG31" s="121">
        <v>0.16600000000000001</v>
      </c>
      <c r="AH31" s="86">
        <v>9</v>
      </c>
      <c r="AK31" s="119"/>
    </row>
    <row r="32" spans="1:40">
      <c r="A32" s="488"/>
      <c r="B32" s="495" t="s">
        <v>12</v>
      </c>
      <c r="C32" t="s">
        <v>232</v>
      </c>
      <c r="K32" s="94"/>
      <c r="L32" s="94"/>
      <c r="M32" s="94"/>
      <c r="N32" s="652">
        <f>627713/2248923</f>
        <v>0.27911715963596795</v>
      </c>
      <c r="O32" s="651">
        <f>73238/110230</f>
        <v>0.66441077746529986</v>
      </c>
      <c r="P32" s="497"/>
      <c r="Q32" s="497"/>
      <c r="R32" s="498">
        <v>2210.5810000000001</v>
      </c>
      <c r="S32" s="498"/>
      <c r="U32" s="94"/>
      <c r="V32" s="191"/>
      <c r="W32" s="576"/>
      <c r="X32" s="94"/>
      <c r="Y32" s="94"/>
      <c r="Z32" s="120"/>
      <c r="AB32" s="123"/>
      <c r="AC32" s="17"/>
      <c r="AD32" s="121"/>
      <c r="AE32" s="121"/>
      <c r="AF32" s="121"/>
      <c r="AH32" s="86"/>
      <c r="AK32" s="119"/>
    </row>
    <row r="33" spans="1:38">
      <c r="B33" t="s">
        <v>186</v>
      </c>
      <c r="C33" t="s">
        <v>187</v>
      </c>
      <c r="D33" s="37"/>
      <c r="J33" s="20"/>
      <c r="K33" s="158" t="s">
        <v>99</v>
      </c>
      <c r="L33" s="158" t="s">
        <v>217</v>
      </c>
      <c r="M33" s="158" t="s">
        <v>99</v>
      </c>
      <c r="N33" s="574"/>
      <c r="O33" s="770"/>
      <c r="P33" s="574"/>
      <c r="Q33" s="574"/>
      <c r="R33" s="575"/>
      <c r="S33" s="575"/>
      <c r="V33" s="118">
        <v>4263</v>
      </c>
      <c r="W33" s="117">
        <v>8874</v>
      </c>
      <c r="X33">
        <v>1.34</v>
      </c>
      <c r="Y33">
        <v>5.95</v>
      </c>
      <c r="Z33" s="120">
        <v>0.69</v>
      </c>
      <c r="AA33" s="5" t="s">
        <v>206</v>
      </c>
      <c r="AB33" s="123">
        <v>87</v>
      </c>
      <c r="AC33" s="17" t="s">
        <v>99</v>
      </c>
      <c r="AD33" s="121">
        <v>0.48599999999999999</v>
      </c>
      <c r="AE33" s="121"/>
      <c r="AF33" s="121">
        <v>0.51400000000000001</v>
      </c>
      <c r="AG33" s="121">
        <v>7.4999999999999997E-2</v>
      </c>
      <c r="AH33" s="86">
        <v>10</v>
      </c>
      <c r="AK33" s="119"/>
    </row>
    <row r="34" spans="1:38">
      <c r="B34" t="s">
        <v>357</v>
      </c>
      <c r="C34" t="s">
        <v>358</v>
      </c>
      <c r="D34" s="37"/>
      <c r="J34" s="20"/>
      <c r="K34" s="158" t="s">
        <v>58</v>
      </c>
      <c r="L34" s="158" t="s">
        <v>219</v>
      </c>
      <c r="M34" s="158" t="s">
        <v>129</v>
      </c>
      <c r="N34" s="574"/>
      <c r="O34" s="770"/>
      <c r="P34" s="574"/>
      <c r="Q34" s="574"/>
      <c r="R34" s="575"/>
      <c r="S34" s="575"/>
      <c r="V34" s="118"/>
      <c r="W34" s="117"/>
      <c r="Z34" s="120"/>
      <c r="AA34" s="5"/>
      <c r="AB34" s="123"/>
      <c r="AC34" s="490"/>
      <c r="AD34" s="121"/>
      <c r="AE34" s="121"/>
      <c r="AF34" s="121"/>
      <c r="AG34" s="121"/>
      <c r="AH34" s="86"/>
      <c r="AK34" s="119"/>
    </row>
    <row r="35" spans="1:38" s="2" customFormat="1" ht="14.25">
      <c r="B35" s="306" t="s">
        <v>359</v>
      </c>
      <c r="C35" s="306" t="s">
        <v>360</v>
      </c>
      <c r="D35" s="45"/>
      <c r="J35" s="491"/>
      <c r="K35" s="157" t="s">
        <v>13</v>
      </c>
      <c r="L35" s="157" t="s">
        <v>85</v>
      </c>
      <c r="M35" s="157" t="s">
        <v>129</v>
      </c>
      <c r="N35" s="770">
        <f>859.7/1098.9</f>
        <v>0.78232778232778233</v>
      </c>
      <c r="O35" s="770">
        <f>47.1/212</f>
        <v>0.22216981132075472</v>
      </c>
      <c r="P35" s="770"/>
      <c r="Q35" s="770"/>
      <c r="R35" s="771">
        <v>1098.9000000000001</v>
      </c>
      <c r="S35" s="771">
        <v>3317</v>
      </c>
      <c r="V35" s="126"/>
      <c r="W35" s="127"/>
      <c r="Z35" s="494"/>
      <c r="AA35" s="149"/>
      <c r="AB35" s="132"/>
      <c r="AC35" s="491"/>
      <c r="AD35" s="131"/>
      <c r="AE35" s="131"/>
      <c r="AF35" s="131"/>
      <c r="AG35" s="131"/>
      <c r="AH35" s="133"/>
      <c r="AK35" s="128"/>
    </row>
    <row r="36" spans="1:38">
      <c r="B36" t="s">
        <v>220</v>
      </c>
      <c r="C36" t="s">
        <v>221</v>
      </c>
      <c r="D36" s="37"/>
      <c r="J36" s="20"/>
      <c r="K36" s="158" t="s">
        <v>129</v>
      </c>
      <c r="L36" s="158" t="s">
        <v>129</v>
      </c>
      <c r="M36" s="158" t="s">
        <v>129</v>
      </c>
      <c r="N36" s="574"/>
      <c r="O36" s="770"/>
      <c r="P36" s="574"/>
      <c r="Q36" s="574"/>
      <c r="R36" s="575">
        <v>82.844729999999998</v>
      </c>
      <c r="S36" s="575">
        <v>78.509</v>
      </c>
      <c r="V36" s="118">
        <v>69.06</v>
      </c>
      <c r="W36" s="117">
        <v>82.184472999999997</v>
      </c>
      <c r="X36">
        <v>4.8689999999999998</v>
      </c>
      <c r="Y36">
        <v>4.4000000000000004</v>
      </c>
      <c r="Z36" s="120">
        <v>0.58029249999999999</v>
      </c>
      <c r="AA36" s="5">
        <v>0.24</v>
      </c>
      <c r="AB36" s="123"/>
      <c r="AC36" s="153"/>
      <c r="AD36" s="121">
        <v>0.38</v>
      </c>
      <c r="AE36" s="121"/>
      <c r="AF36" s="121">
        <f>1-AD36</f>
        <v>0.62</v>
      </c>
      <c r="AG36" s="121">
        <v>0.10868356999999999</v>
      </c>
      <c r="AH36" s="86">
        <v>0</v>
      </c>
      <c r="AK36" s="119">
        <v>78.509</v>
      </c>
      <c r="AL36" s="86">
        <v>56100</v>
      </c>
    </row>
    <row r="37" spans="1:38">
      <c r="B37" t="s">
        <v>361</v>
      </c>
      <c r="C37" t="s">
        <v>362</v>
      </c>
      <c r="D37" s="37"/>
      <c r="J37" s="20"/>
      <c r="K37" s="158" t="s">
        <v>222</v>
      </c>
      <c r="L37" s="158" t="s">
        <v>86</v>
      </c>
      <c r="M37" s="158" t="s">
        <v>222</v>
      </c>
      <c r="N37" s="574"/>
      <c r="O37" s="770"/>
      <c r="P37" s="574"/>
      <c r="Q37" s="574"/>
      <c r="R37" s="575"/>
      <c r="S37" s="575"/>
      <c r="V37" s="118"/>
      <c r="W37" s="117"/>
      <c r="Z37" s="120"/>
      <c r="AA37" s="5"/>
      <c r="AB37" s="123"/>
      <c r="AC37" s="490"/>
      <c r="AD37" s="121"/>
      <c r="AE37" s="121"/>
      <c r="AF37" s="121"/>
      <c r="AG37" s="121"/>
      <c r="AH37" s="86"/>
      <c r="AK37" s="119"/>
      <c r="AL37" s="86"/>
    </row>
    <row r="38" spans="1:38">
      <c r="A38" s="488"/>
      <c r="B38" s="94" t="s">
        <v>123</v>
      </c>
      <c r="C38" s="94" t="s">
        <v>120</v>
      </c>
      <c r="D38" s="100" t="s">
        <v>170</v>
      </c>
      <c r="E38" s="94"/>
      <c r="F38" s="94"/>
      <c r="G38" s="94"/>
      <c r="H38" s="94"/>
      <c r="I38" s="94"/>
      <c r="J38" s="156">
        <f>+'Value Line'!E44</f>
        <v>0</v>
      </c>
      <c r="K38" s="158" t="s">
        <v>331</v>
      </c>
      <c r="L38" s="158" t="s">
        <v>129</v>
      </c>
      <c r="M38" s="158" t="s">
        <v>331</v>
      </c>
      <c r="N38" s="765">
        <f>1109355/2425310</f>
        <v>0.45740750666925051</v>
      </c>
      <c r="O38" s="574">
        <f>109.7/139.8</f>
        <v>0.78469241773962795</v>
      </c>
      <c r="P38" s="574">
        <v>0</v>
      </c>
      <c r="Q38" s="574">
        <v>0</v>
      </c>
      <c r="R38" s="575">
        <v>2435.31</v>
      </c>
      <c r="S38" s="575">
        <v>2667.413</v>
      </c>
      <c r="V38" s="381" t="e">
        <f>+'Comp Detail'!#REF!</f>
        <v>#REF!</v>
      </c>
      <c r="W38" s="382" t="e">
        <f>+'Comp Detail'!#REF!</f>
        <v>#REF!</v>
      </c>
      <c r="X38" s="122" t="e">
        <f>+'Comp Detail'!#REF!</f>
        <v>#REF!</v>
      </c>
      <c r="Y38" s="410">
        <f>+'1.8 DCF SS'!D40*100</f>
        <v>0</v>
      </c>
      <c r="Z38" s="383" t="e">
        <f>+'Comp Detail'!#REF!</f>
        <v>#REF!</v>
      </c>
      <c r="AA38" s="122">
        <f>+'Beta Report'!B36</f>
        <v>0</v>
      </c>
      <c r="AB38" s="123">
        <v>62</v>
      </c>
      <c r="AC38" s="489"/>
      <c r="AD38" s="383" t="e">
        <f>+'Comp Detail'!#REF!</f>
        <v>#REF!</v>
      </c>
      <c r="AE38" s="121"/>
      <c r="AF38" s="383" t="e">
        <f>+'Comp Detail'!#REF!</f>
        <v>#REF!</v>
      </c>
      <c r="AG38" s="383" t="e">
        <f>+'Comp Detail'!#REF!</f>
        <v>#REF!</v>
      </c>
      <c r="AH38" s="86">
        <v>5</v>
      </c>
      <c r="AK38" s="409" t="e">
        <f>+'Comp Detail'!#REF!</f>
        <v>#REF!</v>
      </c>
    </row>
    <row r="39" spans="1:38" ht="15.75">
      <c r="B39" s="4"/>
      <c r="N39" s="94"/>
      <c r="O39" s="94"/>
      <c r="P39" s="497"/>
      <c r="Q39" s="497"/>
      <c r="R39" s="498"/>
      <c r="S39" s="498"/>
      <c r="V39" s="118"/>
      <c r="W39" s="117"/>
      <c r="Z39" s="120"/>
      <c r="AB39" s="123"/>
      <c r="AC39" s="17"/>
      <c r="AD39" s="121"/>
      <c r="AE39" s="121"/>
      <c r="AF39" s="121"/>
      <c r="AH39" s="86"/>
      <c r="AK39" s="119"/>
    </row>
    <row r="42" spans="1:38" ht="15.75">
      <c r="B42" s="4"/>
      <c r="R42" s="42"/>
      <c r="S42" s="42"/>
      <c r="V42" s="118"/>
      <c r="W42" s="117"/>
      <c r="Z42" s="120"/>
      <c r="AB42" s="123"/>
      <c r="AC42" s="17"/>
      <c r="AD42" s="121"/>
      <c r="AE42" s="121"/>
      <c r="AF42" s="121"/>
      <c r="AH42" s="86"/>
      <c r="AK42" s="119"/>
    </row>
    <row r="43" spans="1:38" ht="15.75">
      <c r="B43" s="4"/>
      <c r="R43" s="42"/>
      <c r="S43" s="42"/>
      <c r="V43" s="118"/>
      <c r="W43" s="117"/>
      <c r="Z43" s="120"/>
      <c r="AB43" s="123"/>
      <c r="AC43" s="17"/>
      <c r="AD43" s="121"/>
      <c r="AE43" s="121"/>
      <c r="AF43" s="121"/>
      <c r="AH43" s="86"/>
      <c r="AK43" s="119"/>
    </row>
    <row r="44" spans="1:38" ht="15.75">
      <c r="B44" s="4"/>
      <c r="C44" s="94"/>
      <c r="D44" s="94"/>
      <c r="E44" s="94"/>
      <c r="F44" s="94"/>
      <c r="G44" s="94"/>
      <c r="H44" s="94"/>
      <c r="I44" s="94"/>
      <c r="J44" s="94"/>
      <c r="K44" s="94"/>
      <c r="R44" s="42"/>
      <c r="S44" s="42"/>
      <c r="V44" s="118"/>
      <c r="W44" s="117"/>
      <c r="Z44" s="120"/>
      <c r="AC44" s="17"/>
      <c r="AD44" s="121"/>
      <c r="AE44" s="121"/>
      <c r="AF44" s="121"/>
      <c r="AH44" s="86"/>
      <c r="AK44" s="119"/>
    </row>
    <row r="45" spans="1:38" ht="12.75" customHeight="1">
      <c r="B45" s="4"/>
      <c r="R45" s="42"/>
      <c r="S45" s="42"/>
      <c r="V45" s="118"/>
      <c r="W45" s="117"/>
      <c r="Z45" s="120"/>
      <c r="AC45" s="17"/>
      <c r="AD45" s="121"/>
      <c r="AE45" s="121"/>
      <c r="AF45" s="121"/>
      <c r="AH45" s="86"/>
      <c r="AK45" s="119"/>
    </row>
    <row r="46" spans="1:38" ht="12.75" customHeight="1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60"/>
      <c r="Q46" s="60"/>
      <c r="R46" s="43"/>
      <c r="S46" s="43"/>
      <c r="V46" s="118"/>
      <c r="W46" s="117"/>
      <c r="Z46" s="120"/>
      <c r="AC46" s="17"/>
      <c r="AD46" s="121"/>
      <c r="AE46" s="121"/>
      <c r="AF46" s="121"/>
      <c r="AH46" s="86"/>
      <c r="AK46" s="119"/>
    </row>
    <row r="47" spans="1:38">
      <c r="F47" s="20"/>
      <c r="G47" s="20"/>
      <c r="H47" s="20"/>
      <c r="I47" s="35"/>
      <c r="J47" s="20"/>
      <c r="K47" s="20"/>
      <c r="L47" s="20"/>
      <c r="M47" s="20"/>
      <c r="N47" s="20"/>
      <c r="O47" s="20"/>
      <c r="P47" s="60"/>
      <c r="Q47" s="60"/>
      <c r="R47" s="43"/>
      <c r="S47" s="43"/>
      <c r="V47" s="118"/>
      <c r="W47" s="117"/>
      <c r="Z47" s="120"/>
      <c r="AC47" s="17"/>
      <c r="AD47" s="121"/>
      <c r="AE47" s="121"/>
      <c r="AF47" s="121"/>
      <c r="AH47" s="86"/>
      <c r="AK47" s="119"/>
    </row>
    <row r="49" spans="2:37" ht="12.75" customHeight="1">
      <c r="E49" s="34"/>
      <c r="AK49" s="118"/>
    </row>
    <row r="50" spans="2:37">
      <c r="E50" s="34"/>
      <c r="F50" s="6"/>
      <c r="G50" s="6"/>
      <c r="H50" s="6"/>
      <c r="I50" s="6"/>
      <c r="J50" s="17"/>
      <c r="K50" s="17"/>
      <c r="L50" s="17"/>
      <c r="M50" s="374"/>
      <c r="N50" s="17"/>
      <c r="O50" s="17"/>
      <c r="P50" s="62"/>
      <c r="Q50" s="62"/>
    </row>
    <row r="51" spans="2:37">
      <c r="B51" s="37"/>
      <c r="E51" s="34"/>
      <c r="F51" s="6"/>
      <c r="G51" s="6"/>
      <c r="H51" s="6"/>
      <c r="I51" s="6"/>
      <c r="J51" s="20"/>
      <c r="K51" s="20"/>
      <c r="L51" s="20"/>
      <c r="M51" s="20"/>
      <c r="N51" s="20"/>
      <c r="O51" s="20"/>
      <c r="P51" s="60"/>
      <c r="Q51" s="60"/>
    </row>
    <row r="52" spans="2:37">
      <c r="E52" s="34"/>
    </row>
  </sheetData>
  <phoneticPr fontId="3" type="noConversion"/>
  <printOptions horizontalCentered="1"/>
  <pageMargins left="0.75" right="0.75" top="1" bottom="1" header="0.5" footer="0.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zoomScale="120" zoomScaleNormal="120" zoomScaleSheetLayoutView="100" workbookViewId="0"/>
  </sheetViews>
  <sheetFormatPr defaultRowHeight="12.75"/>
  <cols>
    <col min="1" max="1" width="24.83203125" customWidth="1"/>
    <col min="2" max="2" width="10.83203125" customWidth="1"/>
    <col min="3" max="3" width="3.83203125" customWidth="1"/>
    <col min="4" max="6" width="10.83203125" customWidth="1"/>
    <col min="7" max="7" width="3.83203125" customWidth="1"/>
    <col min="8" max="9" width="10.83203125" customWidth="1"/>
  </cols>
  <sheetData>
    <row r="1" spans="1:20" ht="15.75">
      <c r="I1" s="8" t="s">
        <v>346</v>
      </c>
    </row>
    <row r="2" spans="1:20" ht="15.75">
      <c r="I2" s="8" t="s">
        <v>416</v>
      </c>
    </row>
    <row r="3" spans="1:20">
      <c r="B3" s="6"/>
      <c r="C3" s="6"/>
      <c r="D3" s="6"/>
      <c r="E3" s="6"/>
      <c r="F3" s="6"/>
      <c r="G3" s="6"/>
      <c r="H3" s="6"/>
      <c r="I3" s="87"/>
      <c r="J3" s="143"/>
    </row>
    <row r="4" spans="1:20" ht="20.25">
      <c r="A4" s="111" t="s">
        <v>90</v>
      </c>
      <c r="B4" s="33"/>
      <c r="C4" s="33"/>
      <c r="D4" s="33"/>
      <c r="E4" s="111"/>
      <c r="F4" s="29"/>
      <c r="G4" s="29"/>
      <c r="H4" s="111"/>
      <c r="I4" s="33"/>
    </row>
    <row r="5" spans="1:20" ht="20.25">
      <c r="A5" s="50">
        <v>41547</v>
      </c>
      <c r="B5" s="33"/>
      <c r="C5" s="33"/>
      <c r="D5" s="33"/>
      <c r="E5" s="111"/>
      <c r="F5" s="29"/>
      <c r="G5" s="29"/>
      <c r="H5" s="111"/>
      <c r="I5" s="33"/>
    </row>
    <row r="6" spans="1:20" ht="15.75">
      <c r="B6" s="33"/>
      <c r="C6" s="33"/>
      <c r="D6" s="112"/>
      <c r="E6" s="112"/>
      <c r="F6" s="29"/>
      <c r="G6" s="29"/>
      <c r="H6" s="112"/>
      <c r="I6" s="33"/>
    </row>
    <row r="7" spans="1:20" ht="18.75">
      <c r="A7" s="841" t="s">
        <v>28</v>
      </c>
      <c r="B7" s="842"/>
      <c r="C7" s="842"/>
      <c r="D7" s="842"/>
      <c r="E7" s="842"/>
      <c r="F7" s="842"/>
      <c r="G7" s="842"/>
      <c r="H7" s="842"/>
      <c r="I7" s="843"/>
    </row>
    <row r="8" spans="1:20">
      <c r="B8" s="63"/>
      <c r="C8" s="63"/>
      <c r="D8" s="63"/>
      <c r="E8" s="63"/>
      <c r="F8" s="63"/>
      <c r="G8" s="63"/>
      <c r="H8" s="63" t="s">
        <v>287</v>
      </c>
      <c r="I8" s="63" t="s">
        <v>21</v>
      </c>
      <c r="M8" s="63"/>
      <c r="N8" s="63"/>
      <c r="O8" s="63"/>
      <c r="P8" s="63"/>
      <c r="Q8" s="63"/>
      <c r="R8" s="63"/>
      <c r="S8" s="63"/>
    </row>
    <row r="9" spans="1:20">
      <c r="B9" s="63" t="s">
        <v>52</v>
      </c>
      <c r="C9" s="63"/>
      <c r="D9" s="63"/>
      <c r="E9" s="63"/>
      <c r="F9" s="63" t="s">
        <v>31</v>
      </c>
      <c r="G9" s="63"/>
      <c r="H9" s="63" t="s">
        <v>285</v>
      </c>
      <c r="I9" s="63" t="s">
        <v>285</v>
      </c>
      <c r="M9" s="63"/>
      <c r="N9" s="65"/>
      <c r="O9" s="63"/>
      <c r="P9" s="63"/>
      <c r="Q9" s="63"/>
      <c r="R9" s="63"/>
      <c r="S9" s="63"/>
    </row>
    <row r="10" spans="1:20">
      <c r="A10" t="s">
        <v>3</v>
      </c>
      <c r="B10" s="63" t="s">
        <v>29</v>
      </c>
      <c r="C10" s="63"/>
      <c r="D10" s="63" t="s">
        <v>33</v>
      </c>
      <c r="E10" s="63" t="s">
        <v>30</v>
      </c>
      <c r="F10" s="63" t="s">
        <v>32</v>
      </c>
      <c r="G10" s="63"/>
      <c r="H10" s="63" t="s">
        <v>179</v>
      </c>
      <c r="I10" s="63" t="s">
        <v>179</v>
      </c>
      <c r="L10" s="36"/>
      <c r="M10" s="72"/>
      <c r="N10" s="292"/>
      <c r="O10" s="72"/>
      <c r="P10" s="72"/>
      <c r="Q10" s="72"/>
      <c r="R10" s="72"/>
      <c r="S10" s="72"/>
      <c r="T10" s="36"/>
    </row>
    <row r="11" spans="1:20">
      <c r="A11" s="3"/>
      <c r="B11" s="11"/>
      <c r="C11" s="11"/>
      <c r="D11" s="11"/>
      <c r="E11" s="11"/>
      <c r="F11" s="11"/>
      <c r="G11" s="11"/>
      <c r="H11" s="11"/>
      <c r="I11" s="11"/>
      <c r="L11" s="36"/>
      <c r="M11" s="21"/>
      <c r="N11" s="138"/>
      <c r="O11" s="21"/>
      <c r="P11" s="21"/>
      <c r="Q11" s="21"/>
      <c r="R11" s="21"/>
      <c r="S11" s="21"/>
      <c r="T11" s="36"/>
    </row>
    <row r="12" spans="1:20">
      <c r="A12" s="36" t="s">
        <v>5</v>
      </c>
      <c r="B12" s="138">
        <f>+'Value Line'!H20</f>
        <v>0.09</v>
      </c>
      <c r="C12" s="138"/>
      <c r="D12" s="138">
        <v>0.05</v>
      </c>
      <c r="E12" s="138">
        <v>4.0300000000000002E-2</v>
      </c>
      <c r="F12" s="138">
        <v>0.05</v>
      </c>
      <c r="G12" s="138"/>
      <c r="H12" s="102">
        <f t="shared" ref="H12:H18" si="0">AVERAGE(D12:F12)</f>
        <v>4.6766666666666672E-2</v>
      </c>
      <c r="I12" s="6">
        <f t="shared" ref="I12:I18" si="1">MEDIAN(D12:F12)</f>
        <v>0.05</v>
      </c>
      <c r="L12" s="36"/>
      <c r="M12" s="138"/>
      <c r="N12" s="102"/>
      <c r="O12" s="138"/>
      <c r="P12" s="138"/>
      <c r="Q12" s="138"/>
      <c r="R12" s="6"/>
      <c r="S12" s="6"/>
    </row>
    <row r="13" spans="1:20">
      <c r="A13" s="36" t="s">
        <v>7</v>
      </c>
      <c r="B13" s="138">
        <f>+'Value Line'!H21</f>
        <v>5.5E-2</v>
      </c>
      <c r="C13" s="138"/>
      <c r="D13" s="102">
        <v>6.2E-2</v>
      </c>
      <c r="E13" s="102">
        <v>6.13E-2</v>
      </c>
      <c r="F13" s="102">
        <v>6.2E-2</v>
      </c>
      <c r="G13" s="102"/>
      <c r="H13" s="102">
        <f t="shared" si="0"/>
        <v>6.1766666666666664E-2</v>
      </c>
      <c r="I13" s="6">
        <f t="shared" si="1"/>
        <v>6.2E-2</v>
      </c>
      <c r="L13" s="36"/>
      <c r="M13" s="138"/>
      <c r="N13" s="102"/>
      <c r="O13" s="102"/>
      <c r="P13" s="102"/>
      <c r="Q13" s="102"/>
      <c r="R13" s="6"/>
      <c r="S13" s="6"/>
    </row>
    <row r="14" spans="1:20">
      <c r="A14" s="36" t="s">
        <v>10</v>
      </c>
      <c r="B14" s="138">
        <f>+'Value Line'!H22</f>
        <v>0.06</v>
      </c>
      <c r="C14" s="138"/>
      <c r="D14" s="139">
        <v>4.7E-2</v>
      </c>
      <c r="E14" s="139">
        <v>4.1399999999999999E-2</v>
      </c>
      <c r="F14" s="102">
        <v>4.7E-2</v>
      </c>
      <c r="G14" s="102"/>
      <c r="H14" s="102">
        <f t="shared" si="0"/>
        <v>4.5133333333333338E-2</v>
      </c>
      <c r="I14" s="6">
        <f t="shared" si="1"/>
        <v>4.7E-2</v>
      </c>
      <c r="L14" s="36"/>
      <c r="M14" s="138"/>
      <c r="N14" s="102"/>
      <c r="O14" s="139"/>
      <c r="P14" s="139"/>
      <c r="Q14" s="102"/>
      <c r="R14" s="6"/>
      <c r="S14" s="6"/>
    </row>
    <row r="15" spans="1:20">
      <c r="A15" s="36" t="s">
        <v>14</v>
      </c>
      <c r="B15" s="138">
        <f>+'Value Line'!H23</f>
        <v>4.4999999999999998E-2</v>
      </c>
      <c r="C15" s="138"/>
      <c r="D15" s="102">
        <v>0.04</v>
      </c>
      <c r="E15" s="102">
        <v>0.04</v>
      </c>
      <c r="F15" s="138">
        <v>0.04</v>
      </c>
      <c r="G15" s="138"/>
      <c r="H15" s="102">
        <f t="shared" si="0"/>
        <v>0.04</v>
      </c>
      <c r="I15" s="6">
        <f t="shared" si="1"/>
        <v>0.04</v>
      </c>
      <c r="L15" s="36"/>
      <c r="M15" s="138"/>
      <c r="N15" s="102"/>
      <c r="O15" s="102"/>
      <c r="P15" s="102"/>
      <c r="Q15" s="102"/>
      <c r="R15" s="6"/>
      <c r="S15" s="6"/>
    </row>
    <row r="16" spans="1:20">
      <c r="A16" s="36" t="s">
        <v>16</v>
      </c>
      <c r="B16" s="138">
        <f>+'Value Line'!H24</f>
        <v>4.4999999999999998E-2</v>
      </c>
      <c r="C16" s="138"/>
      <c r="D16" s="102">
        <v>0.05</v>
      </c>
      <c r="E16" s="139">
        <v>0.05</v>
      </c>
      <c r="F16" s="139">
        <v>0.05</v>
      </c>
      <c r="G16" s="139"/>
      <c r="H16" s="102">
        <f t="shared" si="0"/>
        <v>5.000000000000001E-2</v>
      </c>
      <c r="I16" s="6">
        <f t="shared" si="1"/>
        <v>0.05</v>
      </c>
      <c r="L16" s="36"/>
      <c r="M16" s="138"/>
      <c r="N16" s="102"/>
      <c r="O16" s="102"/>
      <c r="P16" s="139"/>
      <c r="Q16" s="139"/>
      <c r="R16" s="6"/>
      <c r="S16" s="6"/>
    </row>
    <row r="17" spans="1:19">
      <c r="A17" s="36" t="s">
        <v>18</v>
      </c>
      <c r="B17" s="138">
        <f>+'Value Line'!H25</f>
        <v>7.4999999999999997E-2</v>
      </c>
      <c r="C17" s="138"/>
      <c r="D17" s="102">
        <v>0.06</v>
      </c>
      <c r="E17" s="102">
        <v>0.06</v>
      </c>
      <c r="F17" s="102">
        <v>0.06</v>
      </c>
      <c r="G17" s="102"/>
      <c r="H17" s="102">
        <f t="shared" si="0"/>
        <v>0.06</v>
      </c>
      <c r="I17" s="6">
        <f t="shared" si="1"/>
        <v>0.06</v>
      </c>
      <c r="L17" s="36"/>
      <c r="M17" s="138"/>
      <c r="N17" s="102"/>
      <c r="O17" s="102"/>
      <c r="P17" s="102"/>
      <c r="Q17" s="102"/>
      <c r="R17" s="6"/>
      <c r="S17" s="6"/>
    </row>
    <row r="18" spans="1:19">
      <c r="A18" s="36" t="s">
        <v>138</v>
      </c>
      <c r="B18" s="138">
        <f>+'Value Line'!H26</f>
        <v>0.08</v>
      </c>
      <c r="C18" s="138"/>
      <c r="D18" s="102">
        <v>3.5299999999999998E-2</v>
      </c>
      <c r="E18" s="139">
        <v>3.5299999999999998E-2</v>
      </c>
      <c r="F18" s="102">
        <v>3.5299999999999998E-2</v>
      </c>
      <c r="G18" s="102"/>
      <c r="H18" s="102">
        <f t="shared" si="0"/>
        <v>3.5299999999999998E-2</v>
      </c>
      <c r="I18" s="6">
        <f t="shared" si="1"/>
        <v>3.5299999999999998E-2</v>
      </c>
      <c r="L18" s="36"/>
      <c r="M18" s="138"/>
      <c r="N18" s="102"/>
      <c r="O18" s="102"/>
      <c r="P18" s="139"/>
      <c r="Q18" s="102"/>
      <c r="R18" s="6"/>
      <c r="S18" s="6"/>
    </row>
    <row r="19" spans="1:19">
      <c r="B19" s="6"/>
      <c r="C19" s="6"/>
      <c r="D19" s="6"/>
      <c r="E19" s="6"/>
      <c r="F19" s="6"/>
      <c r="G19" s="6"/>
      <c r="H19" s="6"/>
      <c r="I19" s="6"/>
      <c r="M19" s="6"/>
      <c r="N19" s="6"/>
      <c r="O19" s="6"/>
      <c r="P19" s="6"/>
      <c r="Q19" s="6"/>
      <c r="R19" s="6"/>
      <c r="S19" s="6"/>
    </row>
    <row r="20" spans="1:19">
      <c r="A20" s="5" t="s">
        <v>38</v>
      </c>
      <c r="B20" s="6">
        <f>AVERAGE(B12:B18)</f>
        <v>6.4285714285714293E-2</v>
      </c>
      <c r="C20" s="6"/>
      <c r="D20" s="6">
        <f>AVERAGE(D12:D18)</f>
        <v>4.9185714285714284E-2</v>
      </c>
      <c r="E20" s="6">
        <f>AVERAGE(E12:E18)</f>
        <v>4.6899999999999997E-2</v>
      </c>
      <c r="F20" s="6">
        <f>AVERAGE(F12:F18)</f>
        <v>4.9185714285714284E-2</v>
      </c>
      <c r="G20" s="6"/>
      <c r="H20" s="6">
        <f>AVERAGE(H12:H18)</f>
        <v>4.8423809523809529E-2</v>
      </c>
      <c r="I20" s="6">
        <f>AVERAGE(I12:I18)</f>
        <v>4.9185714285714284E-2</v>
      </c>
      <c r="M20" s="6"/>
      <c r="N20" s="6"/>
      <c r="O20" s="6"/>
      <c r="P20" s="6"/>
      <c r="Q20" s="6"/>
      <c r="R20" s="6"/>
      <c r="S20" s="6"/>
    </row>
    <row r="21" spans="1:19">
      <c r="A21" s="5" t="s">
        <v>21</v>
      </c>
      <c r="B21" s="6">
        <f>MEDIAN(B12:B18)</f>
        <v>0.06</v>
      </c>
      <c r="C21" s="6"/>
      <c r="D21" s="6">
        <f>MEDIAN(D12:D18)</f>
        <v>0.05</v>
      </c>
      <c r="E21" s="6">
        <f>MEDIAN(E12:E18)</f>
        <v>4.1399999999999999E-2</v>
      </c>
      <c r="F21" s="6">
        <f>MEDIAN(F12:F18)</f>
        <v>0.05</v>
      </c>
      <c r="G21" s="6"/>
      <c r="H21" s="6">
        <f>MEDIAN(H12:H18)</f>
        <v>4.6766666666666672E-2</v>
      </c>
      <c r="I21" s="6">
        <f>MEDIAN(I12:I18)</f>
        <v>0.05</v>
      </c>
      <c r="L21" s="5"/>
      <c r="M21" s="6"/>
      <c r="N21" s="6"/>
      <c r="O21" s="6"/>
      <c r="P21" s="6"/>
      <c r="Q21" s="6"/>
      <c r="R21" s="6"/>
      <c r="S21" s="6"/>
    </row>
    <row r="22" spans="1:19">
      <c r="B22" s="6"/>
      <c r="C22" s="6"/>
      <c r="D22" s="6"/>
      <c r="E22" s="6"/>
      <c r="F22" s="6"/>
      <c r="G22" s="6"/>
      <c r="H22" s="6"/>
      <c r="I22" s="6"/>
      <c r="L22" s="5"/>
      <c r="M22" s="6"/>
      <c r="N22" s="6"/>
      <c r="O22" s="6"/>
      <c r="P22" s="6"/>
      <c r="Q22" s="6"/>
      <c r="R22" s="6"/>
      <c r="S22" s="6"/>
    </row>
    <row r="23" spans="1:19">
      <c r="A23" s="5"/>
      <c r="B23" s="116"/>
      <c r="C23" s="116"/>
      <c r="D23" s="116"/>
      <c r="E23" s="116"/>
      <c r="F23" s="116"/>
      <c r="G23" s="116"/>
      <c r="H23" s="116"/>
      <c r="I23" s="116"/>
    </row>
    <row r="24" spans="1:19" ht="18.75">
      <c r="A24" s="841" t="s">
        <v>171</v>
      </c>
      <c r="B24" s="842"/>
      <c r="C24" s="842"/>
      <c r="D24" s="842"/>
      <c r="E24" s="842"/>
      <c r="F24" s="842"/>
      <c r="G24" s="842"/>
      <c r="H24" s="842"/>
      <c r="I24" s="843"/>
      <c r="K24" s="2"/>
      <c r="L24" s="6"/>
      <c r="M24" s="63"/>
      <c r="N24" s="6"/>
      <c r="O24" s="6"/>
      <c r="P24" s="6"/>
      <c r="Q24" s="6"/>
      <c r="R24" s="6"/>
    </row>
    <row r="25" spans="1:19">
      <c r="B25" s="289"/>
      <c r="C25" s="289"/>
      <c r="D25" s="289"/>
      <c r="E25" s="289"/>
      <c r="F25" s="289"/>
      <c r="H25" s="63" t="s">
        <v>38</v>
      </c>
      <c r="I25" s="63" t="s">
        <v>21</v>
      </c>
      <c r="L25" s="289"/>
      <c r="M25" s="289"/>
      <c r="N25" s="289"/>
      <c r="O25" s="289"/>
      <c r="P25" s="289"/>
      <c r="Q25" s="63"/>
      <c r="R25" s="63"/>
    </row>
    <row r="26" spans="1:19">
      <c r="B26" s="63" t="s">
        <v>52</v>
      </c>
      <c r="C26" s="6"/>
      <c r="D26" s="65"/>
      <c r="E26" s="63"/>
      <c r="F26" s="63" t="s">
        <v>31</v>
      </c>
      <c r="H26" s="63" t="s">
        <v>285</v>
      </c>
      <c r="I26" s="63" t="s">
        <v>285</v>
      </c>
      <c r="L26" s="63"/>
      <c r="M26" s="6"/>
      <c r="N26" s="65"/>
      <c r="O26" s="63"/>
      <c r="P26" s="63"/>
      <c r="Q26" s="63"/>
      <c r="R26" s="63"/>
    </row>
    <row r="27" spans="1:19">
      <c r="A27" t="str">
        <f>+A10</f>
        <v>Company Name</v>
      </c>
      <c r="B27" s="63" t="s">
        <v>29</v>
      </c>
      <c r="C27" s="288"/>
      <c r="D27" s="63" t="s">
        <v>33</v>
      </c>
      <c r="E27" s="63" t="s">
        <v>30</v>
      </c>
      <c r="F27" s="63" t="s">
        <v>32</v>
      </c>
      <c r="H27" s="63" t="s">
        <v>179</v>
      </c>
      <c r="I27" s="63" t="s">
        <v>179</v>
      </c>
      <c r="K27" s="36"/>
      <c r="L27" s="72"/>
      <c r="M27" s="72"/>
      <c r="N27" s="72"/>
      <c r="O27" s="72"/>
      <c r="P27" s="72"/>
      <c r="Q27" s="72"/>
      <c r="R27" s="72"/>
    </row>
    <row r="28" spans="1:19">
      <c r="A28" s="3"/>
      <c r="B28" s="11"/>
      <c r="C28" s="6"/>
      <c r="D28" s="11"/>
      <c r="E28" s="11"/>
      <c r="F28" s="11"/>
      <c r="H28" s="11"/>
      <c r="I28" s="11"/>
      <c r="K28" s="36"/>
      <c r="L28" s="21"/>
      <c r="M28" s="21"/>
      <c r="N28" s="21"/>
      <c r="O28" s="21"/>
      <c r="P28" s="21"/>
      <c r="Q28" s="21"/>
      <c r="R28" s="21"/>
    </row>
    <row r="29" spans="1:19">
      <c r="A29" s="36" t="str">
        <f t="shared" ref="A29:A35" si="2">+A12</f>
        <v>AGL Resources</v>
      </c>
      <c r="B29" s="412">
        <f>+'Value Line'!D20</f>
        <v>0.75</v>
      </c>
      <c r="C29" s="291"/>
      <c r="D29" s="528">
        <v>0.51</v>
      </c>
      <c r="E29" s="527">
        <v>0.42</v>
      </c>
      <c r="F29" s="94">
        <v>0.36</v>
      </c>
      <c r="G29" s="291"/>
      <c r="H29" s="291">
        <f t="shared" ref="H29:H35" si="3">AVERAGE(C29:F29)</f>
        <v>0.43</v>
      </c>
      <c r="I29" s="291">
        <f t="shared" ref="I29:I35" si="4">MEDIAN(C29:F29)</f>
        <v>0.42</v>
      </c>
      <c r="K29" s="36"/>
      <c r="L29" s="136"/>
      <c r="M29" s="36"/>
      <c r="N29" s="136"/>
      <c r="O29" s="136"/>
      <c r="P29" s="136"/>
      <c r="Q29" s="293"/>
      <c r="R29" s="293"/>
    </row>
    <row r="30" spans="1:19">
      <c r="A30" s="36" t="str">
        <f t="shared" si="2"/>
        <v>Atmos Energy</v>
      </c>
      <c r="B30" s="412">
        <f>+'Value Line'!D21</f>
        <v>0.7</v>
      </c>
      <c r="C30" s="291"/>
      <c r="D30" s="528">
        <v>0.53</v>
      </c>
      <c r="E30" s="528">
        <v>0.51</v>
      </c>
      <c r="F30" s="94">
        <v>0.54</v>
      </c>
      <c r="G30" s="291"/>
      <c r="H30" s="291">
        <f t="shared" si="3"/>
        <v>0.52666666666666673</v>
      </c>
      <c r="I30" s="291">
        <f t="shared" si="4"/>
        <v>0.53</v>
      </c>
      <c r="K30" s="36"/>
      <c r="L30" s="135"/>
      <c r="N30" s="135"/>
      <c r="O30" s="135"/>
      <c r="P30" s="135"/>
      <c r="Q30" s="12"/>
      <c r="R30" s="12"/>
    </row>
    <row r="31" spans="1:19">
      <c r="A31" s="36" t="str">
        <f t="shared" si="2"/>
        <v>Laclede Group</v>
      </c>
      <c r="B31" s="412">
        <f>+'Value Line'!D22</f>
        <v>0.6</v>
      </c>
      <c r="C31" s="291"/>
      <c r="D31" s="528">
        <v>0.28000000000000003</v>
      </c>
      <c r="E31" s="528">
        <v>0.15</v>
      </c>
      <c r="F31" s="94">
        <v>0.35</v>
      </c>
      <c r="G31" s="291"/>
      <c r="H31" s="291">
        <f t="shared" si="3"/>
        <v>0.26</v>
      </c>
      <c r="I31" s="291">
        <f t="shared" si="4"/>
        <v>0.28000000000000003</v>
      </c>
      <c r="K31" s="36"/>
      <c r="L31" s="135"/>
      <c r="N31" s="135"/>
      <c r="O31" s="135"/>
      <c r="P31" s="135"/>
      <c r="Q31" s="12"/>
      <c r="R31" s="12"/>
    </row>
    <row r="32" spans="1:19">
      <c r="A32" s="36" t="str">
        <f t="shared" si="2"/>
        <v>Northwest Nat. Gas</v>
      </c>
      <c r="B32" s="412">
        <f>+'Value Line'!D23</f>
        <v>0.6</v>
      </c>
      <c r="C32" s="291"/>
      <c r="D32" s="528">
        <v>0.36</v>
      </c>
      <c r="E32" s="528">
        <v>0.32</v>
      </c>
      <c r="F32" s="94">
        <v>0.27</v>
      </c>
      <c r="G32" s="291"/>
      <c r="H32" s="291">
        <f t="shared" si="3"/>
        <v>0.31666666666666665</v>
      </c>
      <c r="I32" s="291">
        <f t="shared" si="4"/>
        <v>0.32</v>
      </c>
      <c r="K32" s="36"/>
      <c r="L32" s="135"/>
      <c r="N32" s="135"/>
      <c r="O32" s="135"/>
      <c r="P32" s="135"/>
      <c r="Q32" s="12"/>
      <c r="R32" s="12"/>
    </row>
    <row r="33" spans="1:18">
      <c r="A33" s="36" t="str">
        <f t="shared" si="2"/>
        <v>Piedmont Natural Gas</v>
      </c>
      <c r="B33" s="412">
        <f>+'Value Line'!D24</f>
        <v>0.7</v>
      </c>
      <c r="C33" s="291"/>
      <c r="D33" s="528">
        <v>0.51</v>
      </c>
      <c r="E33" s="528">
        <v>0.39</v>
      </c>
      <c r="F33" s="94">
        <v>0.48</v>
      </c>
      <c r="G33" s="291"/>
      <c r="H33" s="291">
        <f t="shared" si="3"/>
        <v>0.45999999999999996</v>
      </c>
      <c r="I33" s="291">
        <f t="shared" si="4"/>
        <v>0.48</v>
      </c>
      <c r="K33" s="36"/>
      <c r="L33" s="135"/>
      <c r="N33" s="135"/>
      <c r="O33" s="135"/>
      <c r="P33" s="135"/>
      <c r="Q33" s="12"/>
      <c r="R33" s="12"/>
    </row>
    <row r="34" spans="1:18">
      <c r="A34" s="36" t="str">
        <f t="shared" si="2"/>
        <v>South Jersey Inds.</v>
      </c>
      <c r="B34" s="412">
        <f>+'Value Line'!D25</f>
        <v>0.65</v>
      </c>
      <c r="C34" s="291"/>
      <c r="D34" s="528">
        <v>0.35</v>
      </c>
      <c r="E34" s="528">
        <v>0.35</v>
      </c>
      <c r="F34" s="94">
        <v>0.7</v>
      </c>
      <c r="G34" s="291"/>
      <c r="H34" s="291">
        <f t="shared" si="3"/>
        <v>0.46666666666666662</v>
      </c>
      <c r="I34" s="291">
        <f t="shared" si="4"/>
        <v>0.35</v>
      </c>
      <c r="K34" s="36"/>
      <c r="L34" s="135"/>
      <c r="N34" s="135"/>
      <c r="O34" s="135"/>
      <c r="P34" s="137"/>
      <c r="Q34" s="12"/>
      <c r="R34" s="12"/>
    </row>
    <row r="35" spans="1:18">
      <c r="A35" s="36" t="str">
        <f t="shared" si="2"/>
        <v>Southwest Gas</v>
      </c>
      <c r="B35" s="412">
        <f>+'Value Line'!D26</f>
        <v>0.75</v>
      </c>
      <c r="C35" s="291"/>
      <c r="D35" s="528">
        <v>0.72</v>
      </c>
      <c r="E35" s="528">
        <v>0.72</v>
      </c>
      <c r="F35" s="94">
        <v>0.64</v>
      </c>
      <c r="G35" s="291"/>
      <c r="H35" s="291">
        <f t="shared" si="3"/>
        <v>0.69333333333333336</v>
      </c>
      <c r="I35" s="291">
        <f t="shared" si="4"/>
        <v>0.72</v>
      </c>
      <c r="K35" s="36"/>
      <c r="L35" s="135"/>
      <c r="N35" s="135"/>
      <c r="O35" s="135"/>
      <c r="P35" s="135"/>
      <c r="Q35" s="12"/>
      <c r="R35" s="12"/>
    </row>
    <row r="36" spans="1:18">
      <c r="A36" s="36"/>
      <c r="B36" s="291"/>
      <c r="C36" s="291"/>
      <c r="D36" s="291"/>
      <c r="E36" s="291"/>
      <c r="F36" s="291"/>
      <c r="G36" s="291"/>
      <c r="H36" s="291"/>
      <c r="I36" s="291"/>
      <c r="K36" s="36"/>
      <c r="L36" s="12"/>
      <c r="M36" s="6"/>
      <c r="N36" s="12"/>
      <c r="O36" s="12"/>
      <c r="P36" s="12"/>
      <c r="Q36" s="12"/>
      <c r="R36" s="12"/>
    </row>
    <row r="37" spans="1:18">
      <c r="A37" s="5" t="s">
        <v>38</v>
      </c>
      <c r="B37" s="291">
        <f>AVERAGE(B28:B36)</f>
        <v>0.6785714285714286</v>
      </c>
      <c r="C37" s="291"/>
      <c r="D37" s="291">
        <f>AVERAGE(D28:D36)</f>
        <v>0.4657142857142858</v>
      </c>
      <c r="E37" s="291">
        <f>AVERAGE(E28:E36)</f>
        <v>0.40857142857142864</v>
      </c>
      <c r="F37" s="291">
        <f>AVERAGE(F28:F36)</f>
        <v>0.4771428571428572</v>
      </c>
      <c r="G37" s="291"/>
      <c r="H37" s="291">
        <f>AVERAGE(H28:H36)</f>
        <v>0.45047619047619047</v>
      </c>
      <c r="I37" s="291">
        <f>AVERAGE(I28:I36)</f>
        <v>0.44285714285714295</v>
      </c>
      <c r="K37" s="5"/>
      <c r="L37" s="12"/>
      <c r="M37" s="12"/>
      <c r="N37" s="12"/>
      <c r="O37" s="12"/>
      <c r="P37" s="12"/>
      <c r="Q37" s="12"/>
      <c r="R37" s="12"/>
    </row>
    <row r="38" spans="1:18">
      <c r="A38" s="5" t="s">
        <v>21</v>
      </c>
      <c r="B38" s="291">
        <f>MEDIAN(B28:B36)</f>
        <v>0.7</v>
      </c>
      <c r="C38" s="291"/>
      <c r="D38" s="291">
        <f>MEDIAN(D28:D36)</f>
        <v>0.51</v>
      </c>
      <c r="E38" s="291">
        <f>MEDIAN(E28:E36)</f>
        <v>0.39</v>
      </c>
      <c r="F38" s="291">
        <f>MEDIAN(F28:F36)</f>
        <v>0.48</v>
      </c>
      <c r="G38" s="291"/>
      <c r="H38" s="291">
        <f>MEDIAN(H28:H36)</f>
        <v>0.45999999999999996</v>
      </c>
      <c r="I38" s="291">
        <f>MEDIAN(I28:I36)</f>
        <v>0.42</v>
      </c>
      <c r="K38" s="5"/>
      <c r="L38" s="12"/>
      <c r="M38" s="12"/>
      <c r="N38" s="12"/>
      <c r="O38" s="12"/>
      <c r="P38" s="12"/>
      <c r="Q38" s="12"/>
      <c r="R38" s="12"/>
    </row>
    <row r="40" spans="1:18">
      <c r="H40" s="6"/>
    </row>
    <row r="43" spans="1:18">
      <c r="B43" s="77"/>
      <c r="D43" s="290"/>
      <c r="E43" s="290"/>
      <c r="F43" s="290"/>
    </row>
    <row r="62" spans="1:8">
      <c r="A62" s="5"/>
      <c r="B62" s="6"/>
      <c r="C62" s="6"/>
      <c r="D62" s="6"/>
      <c r="E62" s="6"/>
      <c r="F62" s="6"/>
      <c r="G62" s="6"/>
      <c r="H62" s="6"/>
    </row>
  </sheetData>
  <mergeCells count="2">
    <mergeCell ref="A7:I7"/>
    <mergeCell ref="A24:I24"/>
  </mergeCells>
  <phoneticPr fontId="3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9"/>
  <sheetViews>
    <sheetView view="pageBreakPreview" topLeftCell="A35" zoomScale="110" zoomScaleNormal="100" zoomScaleSheetLayoutView="110" workbookViewId="0">
      <selection activeCell="A35" sqref="A35"/>
    </sheetView>
  </sheetViews>
  <sheetFormatPr defaultRowHeight="12.75"/>
  <cols>
    <col min="1" max="1" width="23.5" customWidth="1"/>
    <col min="2" max="2" width="12.83203125" customWidth="1"/>
    <col min="3" max="3" width="13.5" customWidth="1"/>
    <col min="4" max="4" width="12.5" customWidth="1"/>
    <col min="5" max="5" width="13.33203125" customWidth="1"/>
    <col min="6" max="6" width="12" customWidth="1"/>
    <col min="7" max="8" width="14.83203125" style="6" customWidth="1"/>
    <col min="9" max="9" width="13" customWidth="1"/>
    <col min="10" max="10" width="14.83203125" customWidth="1"/>
    <col min="11" max="11" width="25.1640625" customWidth="1"/>
    <col min="12" max="13" width="12.83203125" customWidth="1"/>
    <col min="14" max="16" width="12.83203125" style="6" customWidth="1"/>
    <col min="17" max="19" width="13.33203125" style="6" customWidth="1"/>
    <col min="20" max="20" width="13.5" style="6" customWidth="1"/>
    <col min="21" max="23" width="9.33203125" style="6"/>
    <col min="25" max="25" width="9.33203125" style="6"/>
    <col min="28" max="28" width="14.83203125" style="6" customWidth="1"/>
    <col min="29" max="29" width="15.1640625" style="6" customWidth="1"/>
  </cols>
  <sheetData>
    <row r="1" spans="1:29" hidden="1">
      <c r="A1" s="94"/>
      <c r="J1" t="s">
        <v>400</v>
      </c>
      <c r="N1"/>
      <c r="O1"/>
      <c r="P1"/>
      <c r="S1"/>
      <c r="T1" t="s">
        <v>401</v>
      </c>
    </row>
    <row r="2" spans="1:29" hidden="1">
      <c r="A2" s="94"/>
      <c r="N2"/>
      <c r="O2"/>
      <c r="P2"/>
      <c r="S2"/>
      <c r="T2"/>
    </row>
    <row r="3" spans="1:29" hidden="1">
      <c r="A3" s="94"/>
      <c r="N3"/>
      <c r="O3"/>
      <c r="P3"/>
      <c r="S3"/>
      <c r="T3"/>
    </row>
    <row r="4" spans="1:29" ht="18.75" hidden="1">
      <c r="A4" s="28" t="str">
        <f>'1.6 Comps'!B3</f>
        <v>Questar Gas Company</v>
      </c>
      <c r="B4" s="29"/>
      <c r="C4" s="29"/>
      <c r="D4" s="29"/>
      <c r="E4" s="29"/>
      <c r="F4" s="29"/>
      <c r="G4" s="33"/>
      <c r="H4" s="33"/>
      <c r="I4" s="29"/>
      <c r="J4" s="29"/>
      <c r="K4" s="28" t="str">
        <f>+A4</f>
        <v>Questar Gas Company</v>
      </c>
      <c r="L4" s="29"/>
      <c r="M4" s="29"/>
      <c r="N4" s="29"/>
      <c r="O4" s="29"/>
      <c r="P4" s="29"/>
      <c r="Q4" s="33"/>
      <c r="R4" s="33"/>
      <c r="S4" s="29"/>
      <c r="T4" s="29"/>
    </row>
    <row r="5" spans="1:29" ht="15.75" hidden="1">
      <c r="A5" s="31" t="s">
        <v>72</v>
      </c>
      <c r="B5" s="29"/>
      <c r="C5" s="29"/>
      <c r="D5" s="29"/>
      <c r="E5" s="29"/>
      <c r="F5" s="29"/>
      <c r="G5" s="33"/>
      <c r="H5" s="33"/>
      <c r="I5" s="29"/>
      <c r="J5" s="29"/>
      <c r="K5" s="31" t="s">
        <v>72</v>
      </c>
      <c r="L5" s="29"/>
      <c r="M5" s="29"/>
      <c r="N5" s="29"/>
      <c r="O5" s="29"/>
      <c r="P5" s="29"/>
      <c r="Q5" s="33"/>
      <c r="R5" s="33"/>
      <c r="S5" s="29"/>
      <c r="T5" s="29"/>
    </row>
    <row r="6" spans="1:29" ht="15.75" hidden="1">
      <c r="A6" s="50">
        <f>'1.6 Comps'!B5</f>
        <v>41547</v>
      </c>
      <c r="B6" s="29"/>
      <c r="C6" s="29"/>
      <c r="D6" s="29"/>
      <c r="E6" s="29"/>
      <c r="F6" s="29"/>
      <c r="G6" s="33"/>
      <c r="H6" s="33"/>
      <c r="I6" s="29"/>
      <c r="J6" s="29"/>
      <c r="K6" s="50">
        <f>+A6</f>
        <v>41547</v>
      </c>
      <c r="L6" s="29"/>
      <c r="M6" s="29"/>
      <c r="N6" s="29"/>
      <c r="O6" s="29"/>
      <c r="P6" s="29"/>
      <c r="Q6" s="33"/>
      <c r="R6" s="33"/>
      <c r="S6" s="29"/>
      <c r="T6" s="29"/>
    </row>
    <row r="7" spans="1:29" ht="12.75" hidden="1" customHeight="1">
      <c r="A7" s="31"/>
      <c r="B7" s="29"/>
      <c r="C7" s="29"/>
      <c r="D7" s="29"/>
      <c r="E7" s="29"/>
      <c r="F7" s="29"/>
      <c r="G7" s="33"/>
      <c r="H7" s="33"/>
      <c r="I7" s="29"/>
      <c r="J7" s="29"/>
      <c r="K7" s="31"/>
      <c r="L7" s="29"/>
      <c r="M7" s="29"/>
      <c r="N7" s="29"/>
      <c r="O7" s="29"/>
      <c r="P7" s="29"/>
      <c r="Q7" s="33"/>
      <c r="R7" s="33"/>
      <c r="S7" s="29"/>
      <c r="T7" s="29"/>
    </row>
    <row r="8" spans="1:29" hidden="1">
      <c r="A8" s="29"/>
      <c r="B8" s="29"/>
      <c r="C8" s="29"/>
      <c r="D8" s="29"/>
      <c r="E8" s="29"/>
      <c r="F8" s="29"/>
      <c r="G8" s="33"/>
      <c r="H8" s="33"/>
      <c r="I8" s="29"/>
      <c r="J8" s="29"/>
      <c r="K8" s="29"/>
      <c r="L8" s="29"/>
      <c r="M8" s="29"/>
      <c r="N8" s="29"/>
      <c r="O8" s="29"/>
      <c r="P8" s="29"/>
      <c r="Q8" s="33"/>
      <c r="R8" s="33"/>
      <c r="S8" s="29"/>
      <c r="T8" s="29"/>
    </row>
    <row r="9" spans="1:29" hidden="1">
      <c r="A9" s="18"/>
      <c r="G9" s="94"/>
      <c r="I9" s="94"/>
      <c r="K9" s="18"/>
      <c r="N9"/>
      <c r="O9"/>
      <c r="P9"/>
      <c r="Q9" s="94"/>
      <c r="S9" s="94"/>
      <c r="T9" s="94"/>
    </row>
    <row r="10" spans="1:29" ht="15.75" hidden="1">
      <c r="A10" s="10" t="s">
        <v>304</v>
      </c>
      <c r="K10" s="10" t="s">
        <v>263</v>
      </c>
      <c r="N10"/>
      <c r="O10"/>
      <c r="P10"/>
      <c r="S10"/>
      <c r="T10"/>
    </row>
    <row r="11" spans="1:29" hidden="1">
      <c r="N11"/>
      <c r="O11" s="277" t="s">
        <v>179</v>
      </c>
      <c r="P11" s="277" t="s">
        <v>179</v>
      </c>
      <c r="S11"/>
      <c r="T11"/>
    </row>
    <row r="12" spans="1:29" hidden="1">
      <c r="B12" s="17"/>
      <c r="C12" s="17"/>
      <c r="D12" s="15" t="s">
        <v>40</v>
      </c>
      <c r="E12" s="15" t="s">
        <v>27</v>
      </c>
      <c r="F12" s="15" t="s">
        <v>27</v>
      </c>
      <c r="G12" s="32" t="s">
        <v>45</v>
      </c>
      <c r="H12" s="32" t="s">
        <v>45</v>
      </c>
      <c r="I12" s="15"/>
      <c r="J12" s="15" t="s">
        <v>45</v>
      </c>
      <c r="L12" s="204"/>
      <c r="M12" s="204"/>
      <c r="N12" s="205" t="s">
        <v>40</v>
      </c>
      <c r="O12" s="205" t="s">
        <v>27</v>
      </c>
      <c r="P12" s="205" t="s">
        <v>27</v>
      </c>
      <c r="Q12" s="32" t="s">
        <v>45</v>
      </c>
      <c r="R12" s="32" t="s">
        <v>45</v>
      </c>
      <c r="S12" s="205"/>
      <c r="T12" s="205" t="s">
        <v>45</v>
      </c>
    </row>
    <row r="13" spans="1:29" hidden="1">
      <c r="B13" s="523">
        <v>41547</v>
      </c>
      <c r="C13" s="15" t="s">
        <v>22</v>
      </c>
      <c r="D13" s="15" t="s">
        <v>41</v>
      </c>
      <c r="E13" s="15" t="s">
        <v>34</v>
      </c>
      <c r="F13" s="15" t="s">
        <v>34</v>
      </c>
      <c r="G13" s="46" t="s">
        <v>107</v>
      </c>
      <c r="H13" s="46" t="s">
        <v>107</v>
      </c>
      <c r="I13" s="16" t="s">
        <v>39</v>
      </c>
      <c r="J13" s="16" t="s">
        <v>107</v>
      </c>
      <c r="L13" s="523">
        <f>+B13</f>
        <v>41547</v>
      </c>
      <c r="M13" s="205" t="s">
        <v>22</v>
      </c>
      <c r="N13" s="205" t="s">
        <v>41</v>
      </c>
      <c r="O13" s="205" t="s">
        <v>34</v>
      </c>
      <c r="P13" s="205" t="s">
        <v>34</v>
      </c>
      <c r="Q13" s="46" t="s">
        <v>107</v>
      </c>
      <c r="R13" s="46" t="s">
        <v>107</v>
      </c>
      <c r="S13" s="16" t="s">
        <v>39</v>
      </c>
      <c r="T13" s="16" t="s">
        <v>107</v>
      </c>
      <c r="AB13" s="65"/>
    </row>
    <row r="14" spans="1:29" hidden="1">
      <c r="A14" s="2" t="s">
        <v>3</v>
      </c>
      <c r="B14" s="157" t="s">
        <v>4</v>
      </c>
      <c r="C14" s="15" t="s">
        <v>23</v>
      </c>
      <c r="D14" s="15" t="s">
        <v>37</v>
      </c>
      <c r="E14" s="15" t="s">
        <v>60</v>
      </c>
      <c r="F14" s="15" t="s">
        <v>62</v>
      </c>
      <c r="G14" s="32" t="s">
        <v>60</v>
      </c>
      <c r="H14" s="32" t="s">
        <v>61</v>
      </c>
      <c r="I14" s="15" t="s">
        <v>26</v>
      </c>
      <c r="J14" s="15" t="s">
        <v>110</v>
      </c>
      <c r="K14" s="2" t="s">
        <v>3</v>
      </c>
      <c r="L14" s="205" t="s">
        <v>4</v>
      </c>
      <c r="M14" s="205" t="s">
        <v>23</v>
      </c>
      <c r="N14" s="205" t="s">
        <v>37</v>
      </c>
      <c r="O14" s="205" t="s">
        <v>60</v>
      </c>
      <c r="P14" s="205" t="s">
        <v>62</v>
      </c>
      <c r="Q14" s="32" t="s">
        <v>60</v>
      </c>
      <c r="R14" s="32" t="s">
        <v>61</v>
      </c>
      <c r="S14" s="205" t="s">
        <v>26</v>
      </c>
      <c r="T14" s="205" t="s">
        <v>110</v>
      </c>
      <c r="AB14" s="64"/>
      <c r="AC14" s="64"/>
    </row>
    <row r="15" spans="1:29" ht="7.5" hidden="1" customHeight="1">
      <c r="A15" s="3"/>
      <c r="B15" s="97"/>
      <c r="C15" s="3"/>
      <c r="D15" s="3"/>
      <c r="E15" s="11"/>
      <c r="F15" s="11"/>
      <c r="G15" s="11"/>
      <c r="H15" s="11"/>
      <c r="I15" s="11"/>
      <c r="J15" s="11"/>
      <c r="K15" s="3"/>
      <c r="L15" s="3"/>
      <c r="M15" s="3"/>
      <c r="N15" s="3"/>
      <c r="O15" s="11"/>
      <c r="P15" s="11"/>
      <c r="Q15" s="11"/>
      <c r="R15" s="11"/>
      <c r="S15" s="11"/>
      <c r="T15" s="11"/>
    </row>
    <row r="16" spans="1:29" hidden="1">
      <c r="A16" t="str">
        <f>'1.6 Comps'!B12</f>
        <v>AGL Resources</v>
      </c>
      <c r="B16" s="94">
        <v>46.03</v>
      </c>
      <c r="C16" s="94">
        <f>+Dividends!C22</f>
        <v>1.861</v>
      </c>
      <c r="D16" s="6">
        <f>C16/B16</f>
        <v>4.0430154247230066E-2</v>
      </c>
      <c r="E16" s="102">
        <f>+'1.7 Growth &amp; Beta'!H12</f>
        <v>4.6766666666666672E-2</v>
      </c>
      <c r="F16" s="102">
        <f>+Dividends!L22</f>
        <v>4.4999999999999998E-2</v>
      </c>
      <c r="G16" s="6">
        <f>D16*(1+E16)+E16</f>
        <v>8.9087604460858866E-2</v>
      </c>
      <c r="H16" s="6">
        <f>D16*(1+F16)+F16</f>
        <v>8.7249511188355416E-2</v>
      </c>
      <c r="I16" s="6">
        <f>E16*0.75+F16*0.25</f>
        <v>4.6325000000000005E-2</v>
      </c>
      <c r="J16" s="6">
        <f>D16*(1+F16)+I16</f>
        <v>8.8574511188355423E-2</v>
      </c>
      <c r="K16" t="str">
        <f>+A16</f>
        <v>AGL Resources</v>
      </c>
      <c r="L16" s="94">
        <f>+B16</f>
        <v>46.03</v>
      </c>
      <c r="M16" s="94">
        <f>+C16</f>
        <v>1.861</v>
      </c>
      <c r="N16" s="6">
        <f t="shared" ref="N16" si="0">M16/L16</f>
        <v>4.0430154247230066E-2</v>
      </c>
      <c r="O16" s="102">
        <f>+'1.7 Growth &amp; Beta'!B12</f>
        <v>0.09</v>
      </c>
      <c r="P16" s="102">
        <f>+Dividends!L22</f>
        <v>4.4999999999999998E-2</v>
      </c>
      <c r="Q16" s="6">
        <f t="shared" ref="Q16:Q22" si="1">N16*(1+O16)+O16</f>
        <v>0.13406886812948077</v>
      </c>
      <c r="R16" s="6">
        <f t="shared" ref="R16:R22" si="2">N16*(1+P16)+P16</f>
        <v>8.7249511188355416E-2</v>
      </c>
      <c r="S16" s="6">
        <f>O16*0.75+P16*0.25</f>
        <v>7.8750000000000001E-2</v>
      </c>
      <c r="T16" s="6">
        <f>N16*(1+P16)+S16</f>
        <v>0.12099951118835542</v>
      </c>
    </row>
    <row r="17" spans="1:29" hidden="1">
      <c r="A17" t="str">
        <f>'1.6 Comps'!B13</f>
        <v>Atmos Energy</v>
      </c>
      <c r="B17" s="94">
        <v>42.59</v>
      </c>
      <c r="C17" s="94">
        <f>+Dividends!C23</f>
        <v>1.4049999999999998</v>
      </c>
      <c r="D17" s="6">
        <f t="shared" ref="D17:D22" si="3">C17/B17</f>
        <v>3.2988964545667993E-2</v>
      </c>
      <c r="E17" s="102">
        <f>+'1.7 Growth &amp; Beta'!H13</f>
        <v>6.1766666666666664E-2</v>
      </c>
      <c r="F17" s="102">
        <f>+Dividends!L23</f>
        <v>1.4999999999999999E-2</v>
      </c>
      <c r="G17" s="6">
        <f t="shared" ref="G17:G22" si="4">D17*(1+E17)+E17</f>
        <v>9.6793249589105429E-2</v>
      </c>
      <c r="H17" s="6">
        <f t="shared" ref="H17:H22" si="5">D17*(1+F17)+F17</f>
        <v>4.848379901385301E-2</v>
      </c>
      <c r="I17" s="6">
        <f t="shared" ref="I17:I22" si="6">E17*0.75+F17*0.25</f>
        <v>5.0074999999999995E-2</v>
      </c>
      <c r="J17" s="6">
        <f t="shared" ref="J17:J22" si="7">D17*(1+F17)+I17</f>
        <v>8.3558799013853005E-2</v>
      </c>
      <c r="K17" t="str">
        <f t="shared" ref="K17:K22" si="8">+A17</f>
        <v>Atmos Energy</v>
      </c>
      <c r="L17" s="94">
        <f t="shared" ref="L17:L22" si="9">+B17</f>
        <v>42.59</v>
      </c>
      <c r="M17" s="94">
        <f t="shared" ref="M17:M22" si="10">+C17</f>
        <v>1.4049999999999998</v>
      </c>
      <c r="N17" s="6">
        <f t="shared" ref="N17:N22" si="11">M17/L17</f>
        <v>3.2988964545667993E-2</v>
      </c>
      <c r="O17" s="102">
        <f>+'1.7 Growth &amp; Beta'!B13</f>
        <v>5.5E-2</v>
      </c>
      <c r="P17" s="102">
        <f>+Dividends!L23</f>
        <v>1.4999999999999999E-2</v>
      </c>
      <c r="Q17" s="6">
        <f t="shared" si="1"/>
        <v>8.9803357595679728E-2</v>
      </c>
      <c r="R17" s="6">
        <f t="shared" si="2"/>
        <v>4.848379901385301E-2</v>
      </c>
      <c r="S17" s="6">
        <f t="shared" ref="S17:S22" si="12">O17*0.75+P17*0.25</f>
        <v>4.4999999999999998E-2</v>
      </c>
      <c r="T17" s="6">
        <f t="shared" ref="T17:T22" si="13">N17*(1+P17)+S17</f>
        <v>7.8483799013853009E-2</v>
      </c>
    </row>
    <row r="18" spans="1:29" hidden="1">
      <c r="A18" t="str">
        <f>'1.6 Comps'!B14</f>
        <v>Laclede Group</v>
      </c>
      <c r="B18" s="94">
        <v>45</v>
      </c>
      <c r="C18" s="94">
        <f>+Dividends!C24</f>
        <v>1.71</v>
      </c>
      <c r="D18" s="6">
        <f t="shared" si="3"/>
        <v>3.7999999999999999E-2</v>
      </c>
      <c r="E18" s="102">
        <f>+'1.7 Growth &amp; Beta'!H14</f>
        <v>4.5133333333333338E-2</v>
      </c>
      <c r="F18" s="102">
        <f>+Dividends!L24</f>
        <v>3.5000000000000003E-2</v>
      </c>
      <c r="G18" s="6">
        <f t="shared" si="4"/>
        <v>8.484839999999999E-2</v>
      </c>
      <c r="H18" s="6">
        <f t="shared" si="5"/>
        <v>7.4330000000000007E-2</v>
      </c>
      <c r="I18" s="6">
        <f t="shared" si="6"/>
        <v>4.2600000000000006E-2</v>
      </c>
      <c r="J18" s="6">
        <f t="shared" si="7"/>
        <v>8.1930000000000003E-2</v>
      </c>
      <c r="K18" t="str">
        <f t="shared" si="8"/>
        <v>Laclede Group</v>
      </c>
      <c r="L18" s="94">
        <f t="shared" si="9"/>
        <v>45</v>
      </c>
      <c r="M18" s="94">
        <f t="shared" si="10"/>
        <v>1.71</v>
      </c>
      <c r="N18" s="6">
        <f t="shared" si="11"/>
        <v>3.7999999999999999E-2</v>
      </c>
      <c r="O18" s="102">
        <f>+'1.7 Growth &amp; Beta'!B14</f>
        <v>0.06</v>
      </c>
      <c r="P18" s="102">
        <f>+Dividends!L24</f>
        <v>3.5000000000000003E-2</v>
      </c>
      <c r="Q18" s="6">
        <f t="shared" si="1"/>
        <v>0.10028000000000001</v>
      </c>
      <c r="R18" s="6">
        <f t="shared" si="2"/>
        <v>7.4330000000000007E-2</v>
      </c>
      <c r="S18" s="6">
        <f t="shared" si="12"/>
        <v>5.3749999999999999E-2</v>
      </c>
      <c r="T18" s="6">
        <f t="shared" si="13"/>
        <v>9.3079999999999996E-2</v>
      </c>
      <c r="AB18" s="63"/>
      <c r="AC18" s="63"/>
    </row>
    <row r="19" spans="1:29" hidden="1">
      <c r="A19" t="str">
        <f>'1.6 Comps'!B15</f>
        <v>Northwest Nat. Gas</v>
      </c>
      <c r="B19" s="94">
        <v>41.98</v>
      </c>
      <c r="C19" s="94">
        <f>+Dividends!C25</f>
        <v>1.84</v>
      </c>
      <c r="D19" s="6">
        <f t="shared" si="3"/>
        <v>4.3830395426393526E-2</v>
      </c>
      <c r="E19" s="102">
        <f>+'1.7 Growth &amp; Beta'!H15</f>
        <v>0.04</v>
      </c>
      <c r="F19" s="102">
        <f>+Dividends!L25</f>
        <v>2.5000000000000001E-2</v>
      </c>
      <c r="G19" s="6">
        <f t="shared" si="4"/>
        <v>8.5583611243449265E-2</v>
      </c>
      <c r="H19" s="6">
        <f t="shared" si="5"/>
        <v>6.9926155312053359E-2</v>
      </c>
      <c r="I19" s="6">
        <f t="shared" si="6"/>
        <v>3.6249999999999998E-2</v>
      </c>
      <c r="J19" s="6">
        <f t="shared" si="7"/>
        <v>8.1176155312053355E-2</v>
      </c>
      <c r="K19" t="str">
        <f t="shared" si="8"/>
        <v>Northwest Nat. Gas</v>
      </c>
      <c r="L19" s="94">
        <f t="shared" si="9"/>
        <v>41.98</v>
      </c>
      <c r="M19" s="94">
        <f t="shared" si="10"/>
        <v>1.84</v>
      </c>
      <c r="N19" s="6">
        <f t="shared" si="11"/>
        <v>4.3830395426393526E-2</v>
      </c>
      <c r="O19" s="102">
        <f>+'1.7 Growth &amp; Beta'!B15</f>
        <v>4.4999999999999998E-2</v>
      </c>
      <c r="P19" s="102">
        <f>+Dividends!L25</f>
        <v>2.5000000000000001E-2</v>
      </c>
      <c r="Q19" s="6">
        <f t="shared" si="1"/>
        <v>9.0802763220581229E-2</v>
      </c>
      <c r="R19" s="6">
        <f t="shared" si="2"/>
        <v>6.9926155312053359E-2</v>
      </c>
      <c r="S19" s="6">
        <f t="shared" si="12"/>
        <v>0.04</v>
      </c>
      <c r="T19" s="6">
        <f t="shared" si="13"/>
        <v>8.4926155312053359E-2</v>
      </c>
      <c r="AB19" s="63"/>
      <c r="AC19" s="63"/>
    </row>
    <row r="20" spans="1:29" hidden="1">
      <c r="A20" t="str">
        <f>'1.6 Comps'!B16</f>
        <v>Piedmont Natural Gas</v>
      </c>
      <c r="B20" s="94">
        <v>32.880000000000003</v>
      </c>
      <c r="C20" s="94">
        <f>+Dividends!C26</f>
        <v>1.24</v>
      </c>
      <c r="D20" s="6">
        <f t="shared" si="3"/>
        <v>3.7712895377128949E-2</v>
      </c>
      <c r="E20" s="102">
        <f>+'1.7 Growth &amp; Beta'!H16</f>
        <v>5.000000000000001E-2</v>
      </c>
      <c r="F20" s="102">
        <f>+Dividends!L26</f>
        <v>0.03</v>
      </c>
      <c r="G20" s="6">
        <f t="shared" si="4"/>
        <v>8.9598540145985409E-2</v>
      </c>
      <c r="H20" s="6">
        <f t="shared" si="5"/>
        <v>6.8844282238442828E-2</v>
      </c>
      <c r="I20" s="6">
        <f t="shared" si="6"/>
        <v>4.5000000000000005E-2</v>
      </c>
      <c r="J20" s="6">
        <f t="shared" si="7"/>
        <v>8.3844282238442827E-2</v>
      </c>
      <c r="K20" t="str">
        <f t="shared" si="8"/>
        <v>Piedmont Natural Gas</v>
      </c>
      <c r="L20" s="94">
        <f t="shared" si="9"/>
        <v>32.880000000000003</v>
      </c>
      <c r="M20" s="94">
        <f t="shared" si="10"/>
        <v>1.24</v>
      </c>
      <c r="N20" s="6">
        <f t="shared" si="11"/>
        <v>3.7712895377128949E-2</v>
      </c>
      <c r="O20" s="102">
        <f>+'1.7 Growth &amp; Beta'!B16</f>
        <v>4.4999999999999998E-2</v>
      </c>
      <c r="P20" s="102">
        <f>+Dividends!L26</f>
        <v>0.03</v>
      </c>
      <c r="Q20" s="6">
        <f t="shared" si="1"/>
        <v>8.4409975669099746E-2</v>
      </c>
      <c r="R20" s="6">
        <f t="shared" si="2"/>
        <v>6.8844282238442828E-2</v>
      </c>
      <c r="S20" s="6">
        <f t="shared" si="12"/>
        <v>4.1250000000000002E-2</v>
      </c>
      <c r="T20" s="6">
        <f t="shared" si="13"/>
        <v>8.0094282238442824E-2</v>
      </c>
      <c r="AB20" s="63"/>
      <c r="AC20" s="63"/>
    </row>
    <row r="21" spans="1:29" hidden="1">
      <c r="A21" t="str">
        <f>'1.6 Comps'!B17</f>
        <v>South Jersey Inds.</v>
      </c>
      <c r="B21" s="94">
        <v>58.88</v>
      </c>
      <c r="C21" s="94">
        <f>+Dividends!C27</f>
        <v>1.8120000000000001</v>
      </c>
      <c r="D21" s="6">
        <f t="shared" si="3"/>
        <v>3.077445652173913E-2</v>
      </c>
      <c r="E21" s="102">
        <f>+'1.7 Growth &amp; Beta'!H17</f>
        <v>0.06</v>
      </c>
      <c r="F21" s="102">
        <f>+Dividends!L27</f>
        <v>8.5000000000000006E-2</v>
      </c>
      <c r="G21" s="6">
        <f t="shared" si="4"/>
        <v>9.2620923913043468E-2</v>
      </c>
      <c r="H21" s="6">
        <f t="shared" si="5"/>
        <v>0.11839028532608696</v>
      </c>
      <c r="I21" s="6">
        <f t="shared" si="6"/>
        <v>6.6250000000000003E-2</v>
      </c>
      <c r="J21" s="6">
        <f t="shared" si="7"/>
        <v>9.9640285326086958E-2</v>
      </c>
      <c r="K21" t="str">
        <f t="shared" si="8"/>
        <v>South Jersey Inds.</v>
      </c>
      <c r="L21" s="94">
        <f t="shared" si="9"/>
        <v>58.88</v>
      </c>
      <c r="M21" s="94">
        <f t="shared" si="10"/>
        <v>1.8120000000000001</v>
      </c>
      <c r="N21" s="6">
        <f t="shared" si="11"/>
        <v>3.077445652173913E-2</v>
      </c>
      <c r="O21" s="102">
        <f>+'1.7 Growth &amp; Beta'!B17</f>
        <v>7.4999999999999997E-2</v>
      </c>
      <c r="P21" s="102">
        <f>+Dividends!L27</f>
        <v>8.5000000000000006E-2</v>
      </c>
      <c r="Q21" s="6">
        <f t="shared" si="1"/>
        <v>0.10808254076086957</v>
      </c>
      <c r="R21" s="6">
        <f t="shared" si="2"/>
        <v>0.11839028532608696</v>
      </c>
      <c r="S21" s="6">
        <f t="shared" si="12"/>
        <v>7.7499999999999999E-2</v>
      </c>
      <c r="T21" s="6">
        <f t="shared" si="13"/>
        <v>0.11089028532608695</v>
      </c>
      <c r="AB21" s="63"/>
      <c r="AC21" s="63"/>
    </row>
    <row r="22" spans="1:29" hidden="1">
      <c r="A22" t="str">
        <f>'1.6 Comps'!B18</f>
        <v>Southwest Gas</v>
      </c>
      <c r="B22" s="94">
        <v>50</v>
      </c>
      <c r="C22" s="94">
        <f>+Dividends!C28</f>
        <v>1.27</v>
      </c>
      <c r="D22" s="6">
        <f t="shared" si="3"/>
        <v>2.5399999999999999E-2</v>
      </c>
      <c r="E22" s="102">
        <f>+'1.7 Growth &amp; Beta'!H18</f>
        <v>3.5299999999999998E-2</v>
      </c>
      <c r="F22" s="102">
        <f>+Dividends!L28</f>
        <v>7.0000000000000007E-2</v>
      </c>
      <c r="G22" s="6">
        <f t="shared" si="4"/>
        <v>6.1596619999999991E-2</v>
      </c>
      <c r="H22" s="6">
        <f t="shared" si="5"/>
        <v>9.7178000000000014E-2</v>
      </c>
      <c r="I22" s="6">
        <f t="shared" si="6"/>
        <v>4.3975E-2</v>
      </c>
      <c r="J22" s="6">
        <f t="shared" si="7"/>
        <v>7.1152999999999994E-2</v>
      </c>
      <c r="K22" t="str">
        <f t="shared" si="8"/>
        <v>Southwest Gas</v>
      </c>
      <c r="L22" s="94">
        <f t="shared" si="9"/>
        <v>50</v>
      </c>
      <c r="M22" s="94">
        <f t="shared" si="10"/>
        <v>1.27</v>
      </c>
      <c r="N22" s="6">
        <f t="shared" si="11"/>
        <v>2.5399999999999999E-2</v>
      </c>
      <c r="O22" s="102">
        <f>+'1.7 Growth &amp; Beta'!B18</f>
        <v>0.08</v>
      </c>
      <c r="P22" s="102">
        <f>+Dividends!L28</f>
        <v>7.0000000000000007E-2</v>
      </c>
      <c r="Q22" s="6">
        <f t="shared" si="1"/>
        <v>0.107432</v>
      </c>
      <c r="R22" s="6">
        <f t="shared" si="2"/>
        <v>9.7178000000000014E-2</v>
      </c>
      <c r="S22" s="6">
        <f t="shared" si="12"/>
        <v>7.7499999999999999E-2</v>
      </c>
      <c r="T22" s="6">
        <f t="shared" si="13"/>
        <v>0.10467799999999999</v>
      </c>
    </row>
    <row r="23" spans="1:29" ht="7.5" hidden="1" customHeight="1">
      <c r="D23" s="3"/>
      <c r="E23" s="11"/>
      <c r="F23" s="11"/>
      <c r="G23" s="11"/>
      <c r="H23" s="11"/>
      <c r="I23" s="11"/>
      <c r="J23" s="11"/>
      <c r="N23" s="3"/>
      <c r="O23" s="11"/>
      <c r="P23" s="11"/>
      <c r="Q23" s="11"/>
      <c r="R23" s="11"/>
      <c r="S23" s="11"/>
      <c r="T23" s="11"/>
    </row>
    <row r="24" spans="1:29" ht="12.75" hidden="1" customHeight="1">
      <c r="A24" s="5" t="s">
        <v>38</v>
      </c>
      <c r="C24" s="6"/>
      <c r="D24" s="6">
        <f>AVERAGE(D16:D23)</f>
        <v>3.5590980874022807E-2</v>
      </c>
      <c r="E24" s="6">
        <f>AVERAGE(E16:E23)</f>
        <v>4.8423809523809529E-2</v>
      </c>
      <c r="F24" s="6">
        <f>AVERAGE(F16:F22)</f>
        <v>4.3571428571428573E-2</v>
      </c>
      <c r="G24" s="6">
        <f>AVERAGE(G16:G23)</f>
        <v>8.5732707050348925E-2</v>
      </c>
      <c r="H24" s="6">
        <f>AVERAGE(H16:H23)</f>
        <v>8.0628861868398793E-2</v>
      </c>
      <c r="I24" s="6">
        <f>AVERAGE(I16:I23)</f>
        <v>4.7210714285714286E-2</v>
      </c>
      <c r="J24" s="6">
        <f>AVERAGE(J16:J23)</f>
        <v>8.4268147582684513E-2</v>
      </c>
      <c r="K24" s="5" t="s">
        <v>38</v>
      </c>
      <c r="M24" s="6"/>
      <c r="N24" s="6">
        <f>AVERAGE(N16:N23)</f>
        <v>3.5590980874022807E-2</v>
      </c>
      <c r="O24" s="6">
        <f>AVERAGE(O16:O23)</f>
        <v>6.4285714285714293E-2</v>
      </c>
      <c r="P24" s="6">
        <f>AVERAGE(P16:P22)</f>
        <v>4.3571428571428573E-2</v>
      </c>
      <c r="Q24" s="6">
        <f>AVERAGE(Q16:Q23)</f>
        <v>0.10212564362510157</v>
      </c>
      <c r="R24" s="6">
        <f>AVERAGE(R16:R23)</f>
        <v>8.0628861868398793E-2</v>
      </c>
      <c r="S24" s="6">
        <f>AVERAGE(S16:S23)</f>
        <v>5.9107142857142858E-2</v>
      </c>
      <c r="T24" s="6">
        <f>AVERAGE(T16:T22)</f>
        <v>9.6164576154113071E-2</v>
      </c>
    </row>
    <row r="25" spans="1:29" hidden="1">
      <c r="A25" s="5" t="s">
        <v>43</v>
      </c>
      <c r="C25" s="6"/>
      <c r="D25" s="6">
        <f t="shared" ref="D25:J25" si="14">STDEV(D16:D23)</f>
        <v>6.2641430964053878E-3</v>
      </c>
      <c r="E25" s="6">
        <f t="shared" si="14"/>
        <v>9.7578404237540928E-3</v>
      </c>
      <c r="F25" s="6">
        <f t="shared" si="14"/>
        <v>2.528410002918266E-2</v>
      </c>
      <c r="G25" s="6">
        <f t="shared" si="14"/>
        <v>1.1396915237455476E-2</v>
      </c>
      <c r="H25" s="6">
        <f t="shared" si="14"/>
        <v>2.2620186572003157E-2</v>
      </c>
      <c r="I25" s="6">
        <f t="shared" si="14"/>
        <v>9.3829283935291472E-3</v>
      </c>
      <c r="J25" s="6">
        <f t="shared" si="14"/>
        <v>8.5884095342132396E-3</v>
      </c>
      <c r="K25" s="5" t="s">
        <v>43</v>
      </c>
      <c r="M25" s="6"/>
      <c r="N25" s="6">
        <f>STDEV(N16:N22)</f>
        <v>6.2641430964053878E-3</v>
      </c>
      <c r="O25" s="6">
        <f>STDEV(O16:O22)</f>
        <v>1.7660825629193015E-2</v>
      </c>
      <c r="P25" s="6">
        <f>STDEV(P16:P22)</f>
        <v>2.528410002918266E-2</v>
      </c>
      <c r="Q25" s="6">
        <f>STDEV(Q16:Q23)</f>
        <v>1.673971962312424E-2</v>
      </c>
      <c r="R25" s="6">
        <f>STDEV(R16:R23)</f>
        <v>2.2620186572003157E-2</v>
      </c>
      <c r="S25" s="6">
        <f>STDEV(S16:S22)</f>
        <v>1.8138849388614951E-2</v>
      </c>
      <c r="T25" s="6">
        <f>STDEV(T16:T22)</f>
        <v>1.6395018726459029E-2</v>
      </c>
    </row>
    <row r="26" spans="1:29" hidden="1">
      <c r="A26" s="5" t="s">
        <v>21</v>
      </c>
      <c r="C26" s="6"/>
      <c r="D26" s="6">
        <f t="shared" ref="D26:J26" si="15">MEDIAN(D16:D23)</f>
        <v>3.7712895377128949E-2</v>
      </c>
      <c r="E26" s="6">
        <f t="shared" si="15"/>
        <v>4.6766666666666672E-2</v>
      </c>
      <c r="F26" s="6">
        <f t="shared" si="15"/>
        <v>3.5000000000000003E-2</v>
      </c>
      <c r="G26" s="6">
        <f t="shared" si="15"/>
        <v>8.9087604460858866E-2</v>
      </c>
      <c r="H26" s="6">
        <f t="shared" si="15"/>
        <v>7.4330000000000007E-2</v>
      </c>
      <c r="I26" s="6">
        <f t="shared" si="15"/>
        <v>4.5000000000000005E-2</v>
      </c>
      <c r="J26" s="6">
        <f t="shared" si="15"/>
        <v>8.3558799013853005E-2</v>
      </c>
      <c r="K26" s="5" t="s">
        <v>21</v>
      </c>
      <c r="M26" s="6"/>
      <c r="N26" s="6">
        <f>MEDIAN(N16:N22)</f>
        <v>3.7712895377128949E-2</v>
      </c>
      <c r="O26" s="6">
        <f>MEDIAN(O16:O22)</f>
        <v>0.06</v>
      </c>
      <c r="P26" s="6">
        <f>MEDIAN(P16:P22)</f>
        <v>3.5000000000000003E-2</v>
      </c>
      <c r="Q26" s="6">
        <f>MEDIAN(Q16:Q23)</f>
        <v>0.10028000000000001</v>
      </c>
      <c r="R26" s="6">
        <f>MEDIAN(R16:R23)</f>
        <v>7.4330000000000007E-2</v>
      </c>
      <c r="S26" s="6">
        <f>MEDIAN(S16:S22)</f>
        <v>5.3749999999999999E-2</v>
      </c>
      <c r="T26" s="6">
        <f>MEDIAN(T16:T22)</f>
        <v>9.3079999999999996E-2</v>
      </c>
    </row>
    <row r="27" spans="1:29" hidden="1">
      <c r="A27" s="5"/>
      <c r="C27" s="6"/>
      <c r="D27" s="6"/>
      <c r="E27" s="6"/>
      <c r="F27" s="6"/>
      <c r="I27" s="6"/>
      <c r="J27" s="6"/>
      <c r="K27" s="5"/>
      <c r="M27" s="6"/>
    </row>
    <row r="28" spans="1:29" ht="15.75" hidden="1">
      <c r="D28" s="9"/>
      <c r="E28" s="8" t="s">
        <v>42</v>
      </c>
      <c r="F28" s="6"/>
      <c r="G28" s="9">
        <f>G24</f>
        <v>8.5732707050348925E-2</v>
      </c>
      <c r="H28" s="9">
        <f>H24</f>
        <v>8.0628861868398793E-2</v>
      </c>
      <c r="J28" s="9">
        <f>J24</f>
        <v>8.4268147582684513E-2</v>
      </c>
      <c r="N28" s="9"/>
      <c r="O28" s="8" t="s">
        <v>42</v>
      </c>
      <c r="Q28" s="9">
        <f>+Q24</f>
        <v>0.10212564362510157</v>
      </c>
      <c r="R28" s="9">
        <f>+R24</f>
        <v>8.0628861868398793E-2</v>
      </c>
      <c r="T28" s="9">
        <f>T24</f>
        <v>9.6164576154113071E-2</v>
      </c>
    </row>
    <row r="29" spans="1:29" hidden="1">
      <c r="D29" s="6"/>
      <c r="E29" s="6"/>
      <c r="F29" s="6"/>
      <c r="G29" s="116"/>
      <c r="H29" s="116"/>
      <c r="I29" s="6"/>
      <c r="J29" s="116"/>
      <c r="T29" s="116"/>
    </row>
    <row r="30" spans="1:29" hidden="1">
      <c r="D30" s="6"/>
      <c r="E30" s="66" t="s">
        <v>303</v>
      </c>
      <c r="F30" s="6"/>
      <c r="G30" s="6">
        <f>+G28-G25</f>
        <v>7.4335791812893445E-2</v>
      </c>
      <c r="H30" s="6">
        <f>+H28-H25</f>
        <v>5.800867529639564E-2</v>
      </c>
      <c r="I30" s="6"/>
      <c r="J30" s="6">
        <f>+J28-J25</f>
        <v>7.5679738048471279E-2</v>
      </c>
      <c r="O30" s="66" t="s">
        <v>303</v>
      </c>
      <c r="Q30" s="6">
        <f>+Q24-Q25</f>
        <v>8.5385924001977337E-2</v>
      </c>
      <c r="R30" s="6">
        <f>+R24-R25</f>
        <v>5.800867529639564E-2</v>
      </c>
      <c r="T30" s="6">
        <f>+T28-T25</f>
        <v>7.9769557427654042E-2</v>
      </c>
    </row>
    <row r="31" spans="1:29" hidden="1">
      <c r="G31" s="116">
        <f>+G28+G25</f>
        <v>9.7129622287804404E-2</v>
      </c>
      <c r="H31" s="116">
        <f>+H28+H25</f>
        <v>0.10324904844040195</v>
      </c>
      <c r="J31" s="116">
        <f>+J28+J25</f>
        <v>9.2856557116897748E-2</v>
      </c>
      <c r="N31"/>
      <c r="O31"/>
      <c r="P31"/>
      <c r="Q31" s="6">
        <f>+Q24+Q25</f>
        <v>0.1188653632482258</v>
      </c>
      <c r="R31" s="6">
        <f>+R24+R25</f>
        <v>0.10324904844040195</v>
      </c>
      <c r="S31"/>
      <c r="T31" s="116">
        <f>+T28+T25</f>
        <v>0.1125595948805721</v>
      </c>
    </row>
    <row r="32" spans="1:29" hidden="1">
      <c r="C32" s="116"/>
      <c r="D32" s="116"/>
      <c r="M32" s="116"/>
      <c r="N32" s="116"/>
      <c r="O32"/>
      <c r="P32"/>
      <c r="S32"/>
      <c r="T32"/>
      <c r="X32" s="63"/>
    </row>
    <row r="33" spans="1:20" hidden="1">
      <c r="N33"/>
      <c r="O33"/>
      <c r="P33"/>
      <c r="S33"/>
      <c r="T33"/>
    </row>
    <row r="34" spans="1:20" hidden="1">
      <c r="C34" s="116"/>
      <c r="M34" s="116"/>
      <c r="N34"/>
      <c r="O34"/>
      <c r="P34"/>
      <c r="S34"/>
      <c r="T34"/>
    </row>
    <row r="35" spans="1:20" ht="15.75">
      <c r="C35" s="116"/>
      <c r="J35" s="8" t="s">
        <v>346</v>
      </c>
      <c r="M35" s="116"/>
      <c r="N35"/>
      <c r="O35"/>
      <c r="P35"/>
      <c r="S35"/>
      <c r="T35" s="8" t="s">
        <v>346</v>
      </c>
    </row>
    <row r="36" spans="1:20" ht="15.75">
      <c r="C36" s="116"/>
      <c r="J36" s="8" t="s">
        <v>418</v>
      </c>
      <c r="M36" s="116"/>
      <c r="N36"/>
      <c r="O36"/>
      <c r="P36"/>
      <c r="S36"/>
      <c r="T36" s="8" t="s">
        <v>417</v>
      </c>
    </row>
    <row r="37" spans="1:20">
      <c r="A37" s="94"/>
      <c r="N37"/>
      <c r="O37"/>
      <c r="P37"/>
      <c r="S37"/>
      <c r="T37"/>
    </row>
    <row r="38" spans="1:20" ht="18.75">
      <c r="A38" s="821" t="str">
        <f>+A4</f>
        <v>Questar Gas Company</v>
      </c>
      <c r="B38" s="821"/>
      <c r="C38" s="821"/>
      <c r="D38" s="821"/>
      <c r="E38" s="821"/>
      <c r="F38" s="821"/>
      <c r="G38" s="821"/>
      <c r="H38" s="821"/>
      <c r="I38" s="821"/>
      <c r="J38" s="821"/>
      <c r="K38" s="28" t="str">
        <f>+A38</f>
        <v>Questar Gas Company</v>
      </c>
      <c r="L38" s="29"/>
      <c r="M38" s="29"/>
      <c r="N38" s="29"/>
      <c r="O38" s="29"/>
      <c r="P38" s="29"/>
      <c r="Q38" s="33"/>
      <c r="R38" s="33"/>
      <c r="S38" s="29"/>
      <c r="T38" s="29"/>
    </row>
    <row r="39" spans="1:20" ht="15.75">
      <c r="A39" s="31" t="s">
        <v>72</v>
      </c>
      <c r="B39" s="29"/>
      <c r="C39" s="29"/>
      <c r="D39" s="29"/>
      <c r="E39" s="29"/>
      <c r="F39" s="29"/>
      <c r="G39" s="33"/>
      <c r="H39" s="33"/>
      <c r="I39" s="29"/>
      <c r="J39" s="29"/>
      <c r="K39" s="31" t="s">
        <v>72</v>
      </c>
      <c r="L39" s="29"/>
      <c r="M39" s="29"/>
      <c r="N39" s="29"/>
      <c r="O39" s="29"/>
      <c r="P39" s="29"/>
      <c r="Q39" s="33"/>
      <c r="R39" s="33"/>
      <c r="S39" s="29"/>
      <c r="T39" s="29"/>
    </row>
    <row r="40" spans="1:20" ht="15.75">
      <c r="A40" s="50">
        <f>+A6</f>
        <v>41547</v>
      </c>
      <c r="B40" s="29"/>
      <c r="C40" s="29"/>
      <c r="D40" s="29"/>
      <c r="E40" s="29"/>
      <c r="F40" s="29"/>
      <c r="G40" s="33"/>
      <c r="H40" s="33"/>
      <c r="I40" s="29"/>
      <c r="J40" s="29"/>
      <c r="K40" s="50">
        <f>+A40</f>
        <v>41547</v>
      </c>
      <c r="L40" s="29"/>
      <c r="M40" s="29"/>
      <c r="N40" s="29"/>
      <c r="O40" s="29"/>
      <c r="P40" s="29"/>
      <c r="Q40" s="33"/>
      <c r="R40" s="33"/>
      <c r="S40" s="29"/>
      <c r="T40" s="29"/>
    </row>
    <row r="41" spans="1:20" ht="15.75">
      <c r="A41" s="31"/>
      <c r="B41" s="29"/>
      <c r="C41" s="29"/>
      <c r="D41" s="29"/>
      <c r="E41" s="29"/>
      <c r="F41" s="29"/>
      <c r="G41" s="33"/>
      <c r="H41" s="33"/>
      <c r="I41" s="29"/>
      <c r="J41" s="29"/>
      <c r="K41" s="31"/>
      <c r="L41" s="29"/>
      <c r="M41" s="29"/>
      <c r="N41" s="29"/>
      <c r="O41" s="29"/>
      <c r="P41" s="29"/>
      <c r="Q41" s="33"/>
      <c r="R41" s="33"/>
      <c r="S41" s="29"/>
      <c r="T41" s="29"/>
    </row>
    <row r="42" spans="1:20">
      <c r="A42" s="29"/>
      <c r="B42" s="29"/>
      <c r="C42" s="29"/>
      <c r="D42" s="29"/>
      <c r="E42" s="29"/>
      <c r="F42" s="29"/>
      <c r="G42" s="33"/>
      <c r="H42" s="33"/>
      <c r="I42" s="29"/>
      <c r="J42" s="29"/>
      <c r="K42" s="29"/>
      <c r="L42" s="29"/>
      <c r="M42" s="29"/>
      <c r="N42" s="29"/>
      <c r="O42" s="29"/>
      <c r="P42" s="29"/>
      <c r="Q42" s="33"/>
      <c r="R42" s="33"/>
      <c r="S42" s="29"/>
      <c r="T42" s="29"/>
    </row>
    <row r="43" spans="1:20">
      <c r="A43" s="18"/>
      <c r="G43" s="94"/>
      <c r="I43" s="94"/>
      <c r="J43" s="94"/>
      <c r="K43" s="18"/>
      <c r="N43"/>
      <c r="O43"/>
      <c r="P43"/>
      <c r="Q43" s="94"/>
      <c r="S43" s="94"/>
      <c r="T43" s="94"/>
    </row>
    <row r="44" spans="1:20" ht="15.75">
      <c r="A44" s="10" t="s">
        <v>304</v>
      </c>
      <c r="K44" s="10" t="s">
        <v>263</v>
      </c>
      <c r="N44"/>
      <c r="O44"/>
      <c r="P44"/>
      <c r="S44"/>
      <c r="T44"/>
    </row>
    <row r="45" spans="1:20">
      <c r="N45"/>
      <c r="O45" s="277" t="s">
        <v>179</v>
      </c>
      <c r="P45" s="277" t="s">
        <v>179</v>
      </c>
      <c r="S45"/>
      <c r="T45"/>
    </row>
    <row r="46" spans="1:20">
      <c r="B46" s="157" t="s">
        <v>319</v>
      </c>
      <c r="C46" s="351"/>
      <c r="D46" s="277" t="s">
        <v>40</v>
      </c>
      <c r="E46" s="277" t="s">
        <v>27</v>
      </c>
      <c r="F46" s="277" t="s">
        <v>27</v>
      </c>
      <c r="G46" s="32" t="s">
        <v>45</v>
      </c>
      <c r="H46" s="32" t="s">
        <v>45</v>
      </c>
      <c r="I46" s="277"/>
      <c r="J46" s="277" t="s">
        <v>45</v>
      </c>
      <c r="L46" s="157" t="str">
        <f>+B46</f>
        <v xml:space="preserve">30 Day </v>
      </c>
      <c r="M46" s="351"/>
      <c r="N46" s="277" t="s">
        <v>40</v>
      </c>
      <c r="O46" s="277" t="s">
        <v>27</v>
      </c>
      <c r="P46" s="277" t="s">
        <v>27</v>
      </c>
      <c r="Q46" s="32" t="s">
        <v>45</v>
      </c>
      <c r="R46" s="32" t="s">
        <v>45</v>
      </c>
      <c r="S46" s="277"/>
      <c r="T46" s="277" t="s">
        <v>45</v>
      </c>
    </row>
    <row r="47" spans="1:20">
      <c r="B47" s="523" t="s">
        <v>38</v>
      </c>
      <c r="C47" s="277" t="s">
        <v>22</v>
      </c>
      <c r="D47" s="277" t="s">
        <v>41</v>
      </c>
      <c r="E47" s="277" t="s">
        <v>34</v>
      </c>
      <c r="F47" s="277" t="s">
        <v>34</v>
      </c>
      <c r="G47" s="46" t="s">
        <v>107</v>
      </c>
      <c r="H47" s="46" t="s">
        <v>107</v>
      </c>
      <c r="I47" s="16" t="s">
        <v>39</v>
      </c>
      <c r="J47" s="16" t="s">
        <v>107</v>
      </c>
      <c r="L47" s="523" t="str">
        <f>+B47</f>
        <v>Average</v>
      </c>
      <c r="M47" s="277" t="s">
        <v>22</v>
      </c>
      <c r="N47" s="277" t="s">
        <v>41</v>
      </c>
      <c r="O47" s="277" t="s">
        <v>34</v>
      </c>
      <c r="P47" s="277" t="s">
        <v>34</v>
      </c>
      <c r="Q47" s="46" t="s">
        <v>107</v>
      </c>
      <c r="R47" s="46" t="s">
        <v>107</v>
      </c>
      <c r="S47" s="16" t="s">
        <v>39</v>
      </c>
      <c r="T47" s="16" t="s">
        <v>107</v>
      </c>
    </row>
    <row r="48" spans="1:20">
      <c r="A48" s="2" t="s">
        <v>3</v>
      </c>
      <c r="B48" s="157" t="s">
        <v>4</v>
      </c>
      <c r="C48" s="277" t="s">
        <v>23</v>
      </c>
      <c r="D48" s="277" t="s">
        <v>37</v>
      </c>
      <c r="E48" s="277" t="s">
        <v>60</v>
      </c>
      <c r="F48" s="277" t="s">
        <v>62</v>
      </c>
      <c r="G48" s="32" t="s">
        <v>60</v>
      </c>
      <c r="H48" s="32" t="s">
        <v>61</v>
      </c>
      <c r="I48" s="277" t="s">
        <v>26</v>
      </c>
      <c r="J48" s="277" t="s">
        <v>110</v>
      </c>
      <c r="K48" s="2" t="s">
        <v>3</v>
      </c>
      <c r="L48" s="277" t="s">
        <v>4</v>
      </c>
      <c r="M48" s="277" t="s">
        <v>23</v>
      </c>
      <c r="N48" s="277" t="s">
        <v>37</v>
      </c>
      <c r="O48" s="277" t="s">
        <v>60</v>
      </c>
      <c r="P48" s="277" t="s">
        <v>62</v>
      </c>
      <c r="Q48" s="32" t="s">
        <v>60</v>
      </c>
      <c r="R48" s="32" t="s">
        <v>61</v>
      </c>
      <c r="S48" s="277" t="s">
        <v>26</v>
      </c>
      <c r="T48" s="277" t="s">
        <v>110</v>
      </c>
    </row>
    <row r="49" spans="1:20">
      <c r="A49" s="3"/>
      <c r="B49" s="97"/>
      <c r="C49" s="3"/>
      <c r="D49" s="3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11"/>
      <c r="P49" s="11"/>
      <c r="Q49" s="11"/>
      <c r="R49" s="11"/>
      <c r="S49" s="11"/>
      <c r="T49" s="11"/>
    </row>
    <row r="50" spans="1:20">
      <c r="A50" t="str">
        <f t="shared" ref="A50:A56" si="16">+A16</f>
        <v>AGL Resources</v>
      </c>
      <c r="B50" s="94">
        <v>44.933999999999997</v>
      </c>
      <c r="C50" s="94">
        <f t="shared" ref="C50:C56" si="17">+C16</f>
        <v>1.861</v>
      </c>
      <c r="D50" s="6">
        <f t="shared" ref="D50:D56" si="18">C50/B50</f>
        <v>4.1416299461432327E-2</v>
      </c>
      <c r="E50" s="102">
        <f>+E16</f>
        <v>4.6766666666666672E-2</v>
      </c>
      <c r="F50" s="102">
        <f>+F16</f>
        <v>4.4999999999999998E-2</v>
      </c>
      <c r="G50" s="6">
        <f t="shared" ref="G50:G56" si="19">D50*(1+E50)+E50</f>
        <v>9.011986839957864E-2</v>
      </c>
      <c r="H50" s="6">
        <f t="shared" ref="H50:H56" si="20">D50*(1+F50)+F50</f>
        <v>8.8280032937196773E-2</v>
      </c>
      <c r="I50" s="6">
        <f>E50*0.75+F50*0.25</f>
        <v>4.6325000000000005E-2</v>
      </c>
      <c r="J50" s="6">
        <f>D50*(1+F50)+I50</f>
        <v>8.9605032937196794E-2</v>
      </c>
      <c r="K50" t="str">
        <f>+A50</f>
        <v>AGL Resources</v>
      </c>
      <c r="L50" s="94">
        <f>+B50</f>
        <v>44.933999999999997</v>
      </c>
      <c r="M50" s="94">
        <f>+C50</f>
        <v>1.861</v>
      </c>
      <c r="N50" s="6">
        <f t="shared" ref="N50:N56" si="21">M50/L50</f>
        <v>4.1416299461432327E-2</v>
      </c>
      <c r="O50" s="102">
        <f>+O16</f>
        <v>0.09</v>
      </c>
      <c r="P50" s="102">
        <f>+P16</f>
        <v>4.4999999999999998E-2</v>
      </c>
      <c r="Q50" s="6">
        <f t="shared" ref="Q50:Q56" si="22">N50*(1+O50)+O50</f>
        <v>0.13514376641296122</v>
      </c>
      <c r="R50" s="6">
        <f t="shared" ref="R50:R56" si="23">N50*(1+P50)+P50</f>
        <v>8.8280032937196773E-2</v>
      </c>
      <c r="S50" s="6">
        <f>O50*0.75+P50*0.25</f>
        <v>7.8750000000000001E-2</v>
      </c>
      <c r="T50" s="6">
        <f>N50*(1+P50)+S50</f>
        <v>0.12203003293719678</v>
      </c>
    </row>
    <row r="51" spans="1:20">
      <c r="A51" t="str">
        <f t="shared" si="16"/>
        <v>Atmos Energy</v>
      </c>
      <c r="B51" s="94">
        <v>41.037500000000001</v>
      </c>
      <c r="C51" s="94">
        <f t="shared" si="17"/>
        <v>1.4049999999999998</v>
      </c>
      <c r="D51" s="6">
        <f t="shared" si="18"/>
        <v>3.423697837343892E-2</v>
      </c>
      <c r="E51" s="102">
        <f t="shared" ref="E51:F51" si="24">+E17</f>
        <v>6.1766666666666664E-2</v>
      </c>
      <c r="F51" s="102">
        <f t="shared" si="24"/>
        <v>1.4999999999999999E-2</v>
      </c>
      <c r="G51" s="6">
        <f t="shared" si="19"/>
        <v>9.8118349070971667E-2</v>
      </c>
      <c r="H51" s="6">
        <f t="shared" si="20"/>
        <v>4.97505330490405E-2</v>
      </c>
      <c r="I51" s="6">
        <f t="shared" ref="I51:I56" si="25">E51*0.75+F51*0.25</f>
        <v>5.0074999999999995E-2</v>
      </c>
      <c r="J51" s="6">
        <f t="shared" ref="J51:J56" si="26">D51*(1+F51)+I51</f>
        <v>8.4825533049040502E-2</v>
      </c>
      <c r="K51" t="str">
        <f t="shared" ref="K51:M56" si="27">+A51</f>
        <v>Atmos Energy</v>
      </c>
      <c r="L51" s="94">
        <f t="shared" si="27"/>
        <v>41.037500000000001</v>
      </c>
      <c r="M51" s="94">
        <f t="shared" si="27"/>
        <v>1.4049999999999998</v>
      </c>
      <c r="N51" s="6">
        <f t="shared" si="21"/>
        <v>3.423697837343892E-2</v>
      </c>
      <c r="O51" s="102">
        <f t="shared" ref="O51:P51" si="28">+O17</f>
        <v>5.5E-2</v>
      </c>
      <c r="P51" s="102">
        <f t="shared" si="28"/>
        <v>1.4999999999999999E-2</v>
      </c>
      <c r="Q51" s="6">
        <f t="shared" si="22"/>
        <v>9.1120012183978055E-2</v>
      </c>
      <c r="R51" s="6">
        <f t="shared" si="23"/>
        <v>4.97505330490405E-2</v>
      </c>
      <c r="S51" s="6">
        <f t="shared" ref="S51:S56" si="29">O51*0.75+P51*0.25</f>
        <v>4.4999999999999998E-2</v>
      </c>
      <c r="T51" s="6">
        <f t="shared" ref="T51:T56" si="30">N51*(1+P51)+S51</f>
        <v>7.9750533049040506E-2</v>
      </c>
    </row>
    <row r="52" spans="1:20">
      <c r="A52" t="str">
        <f t="shared" si="16"/>
        <v>Laclede Group</v>
      </c>
      <c r="B52" s="94">
        <v>43.985500000000002</v>
      </c>
      <c r="C52" s="94">
        <f t="shared" si="17"/>
        <v>1.71</v>
      </c>
      <c r="D52" s="6">
        <f t="shared" si="18"/>
        <v>3.8876447920337384E-2</v>
      </c>
      <c r="E52" s="102">
        <f t="shared" ref="E52:F52" si="31">+E18</f>
        <v>4.5133333333333338E-2</v>
      </c>
      <c r="F52" s="102">
        <f t="shared" si="31"/>
        <v>3.5000000000000003E-2</v>
      </c>
      <c r="G52" s="6">
        <f t="shared" si="19"/>
        <v>8.5764404936475275E-2</v>
      </c>
      <c r="H52" s="6">
        <f t="shared" si="20"/>
        <v>7.5237123597549194E-2</v>
      </c>
      <c r="I52" s="6">
        <f t="shared" si="25"/>
        <v>4.2600000000000006E-2</v>
      </c>
      <c r="J52" s="6">
        <f t="shared" si="26"/>
        <v>8.2837123597549189E-2</v>
      </c>
      <c r="K52" t="str">
        <f t="shared" si="27"/>
        <v>Laclede Group</v>
      </c>
      <c r="L52" s="94">
        <f t="shared" si="27"/>
        <v>43.985500000000002</v>
      </c>
      <c r="M52" s="94">
        <f t="shared" si="27"/>
        <v>1.71</v>
      </c>
      <c r="N52" s="6">
        <f t="shared" si="21"/>
        <v>3.8876447920337384E-2</v>
      </c>
      <c r="O52" s="102">
        <f t="shared" ref="O52:P52" si="32">+O18</f>
        <v>0.06</v>
      </c>
      <c r="P52" s="102">
        <f t="shared" si="32"/>
        <v>3.5000000000000003E-2</v>
      </c>
      <c r="Q52" s="6">
        <f t="shared" si="22"/>
        <v>0.10120903479555762</v>
      </c>
      <c r="R52" s="6">
        <f t="shared" si="23"/>
        <v>7.5237123597549194E-2</v>
      </c>
      <c r="S52" s="6">
        <f t="shared" si="29"/>
        <v>5.3749999999999999E-2</v>
      </c>
      <c r="T52" s="6">
        <f t="shared" si="30"/>
        <v>9.3987123597549183E-2</v>
      </c>
    </row>
    <row r="53" spans="1:20">
      <c r="A53" t="str">
        <f t="shared" si="16"/>
        <v>Northwest Nat. Gas</v>
      </c>
      <c r="B53" s="94">
        <v>41.033000000000001</v>
      </c>
      <c r="C53" s="94">
        <f t="shared" si="17"/>
        <v>1.84</v>
      </c>
      <c r="D53" s="6">
        <f t="shared" si="18"/>
        <v>4.4841956474057469E-2</v>
      </c>
      <c r="E53" s="102">
        <f t="shared" ref="E53:F53" si="33">+E19</f>
        <v>0.04</v>
      </c>
      <c r="F53" s="102">
        <f t="shared" si="33"/>
        <v>2.5000000000000001E-2</v>
      </c>
      <c r="G53" s="6">
        <f t="shared" si="19"/>
        <v>8.6635634733019773E-2</v>
      </c>
      <c r="H53" s="6">
        <f t="shared" si="20"/>
        <v>7.0963005385908912E-2</v>
      </c>
      <c r="I53" s="6">
        <f t="shared" si="25"/>
        <v>3.6249999999999998E-2</v>
      </c>
      <c r="J53" s="6">
        <f t="shared" si="26"/>
        <v>8.2213005385908894E-2</v>
      </c>
      <c r="K53" t="str">
        <f t="shared" si="27"/>
        <v>Northwest Nat. Gas</v>
      </c>
      <c r="L53" s="94">
        <f t="shared" si="27"/>
        <v>41.033000000000001</v>
      </c>
      <c r="M53" s="94">
        <f t="shared" si="27"/>
        <v>1.84</v>
      </c>
      <c r="N53" s="6">
        <f t="shared" si="21"/>
        <v>4.4841956474057469E-2</v>
      </c>
      <c r="O53" s="102">
        <f t="shared" ref="O53:P53" si="34">+O19</f>
        <v>4.4999999999999998E-2</v>
      </c>
      <c r="P53" s="102">
        <f t="shared" si="34"/>
        <v>2.5000000000000001E-2</v>
      </c>
      <c r="Q53" s="6">
        <f t="shared" si="22"/>
        <v>9.185984451539006E-2</v>
      </c>
      <c r="R53" s="6">
        <f t="shared" si="23"/>
        <v>7.0963005385908912E-2</v>
      </c>
      <c r="S53" s="6">
        <f t="shared" si="29"/>
        <v>0.04</v>
      </c>
      <c r="T53" s="6">
        <f t="shared" si="30"/>
        <v>8.5963005385908897E-2</v>
      </c>
    </row>
    <row r="54" spans="1:20">
      <c r="A54" t="str">
        <f t="shared" si="16"/>
        <v>Piedmont Natural Gas</v>
      </c>
      <c r="B54" s="94">
        <v>32.551000000000002</v>
      </c>
      <c r="C54" s="94">
        <f t="shared" si="17"/>
        <v>1.24</v>
      </c>
      <c r="D54" s="6">
        <f t="shared" si="18"/>
        <v>3.8094067770575404E-2</v>
      </c>
      <c r="E54" s="102">
        <f t="shared" ref="E54:F54" si="35">+E20</f>
        <v>5.000000000000001E-2</v>
      </c>
      <c r="F54" s="102">
        <f t="shared" si="35"/>
        <v>0.03</v>
      </c>
      <c r="G54" s="6">
        <f t="shared" si="19"/>
        <v>8.9998771159104179E-2</v>
      </c>
      <c r="H54" s="6">
        <f t="shared" si="20"/>
        <v>6.9236889803692664E-2</v>
      </c>
      <c r="I54" s="6">
        <f t="shared" si="25"/>
        <v>4.5000000000000005E-2</v>
      </c>
      <c r="J54" s="6">
        <f t="shared" si="26"/>
        <v>8.4236889803692677E-2</v>
      </c>
      <c r="K54" t="str">
        <f t="shared" si="27"/>
        <v>Piedmont Natural Gas</v>
      </c>
      <c r="L54" s="94">
        <f t="shared" si="27"/>
        <v>32.551000000000002</v>
      </c>
      <c r="M54" s="94">
        <f t="shared" si="27"/>
        <v>1.24</v>
      </c>
      <c r="N54" s="6">
        <f t="shared" si="21"/>
        <v>3.8094067770575404E-2</v>
      </c>
      <c r="O54" s="102">
        <f t="shared" ref="O54:P54" si="36">+O20</f>
        <v>4.4999999999999998E-2</v>
      </c>
      <c r="P54" s="102">
        <f t="shared" si="36"/>
        <v>0.03</v>
      </c>
      <c r="Q54" s="6">
        <f t="shared" si="22"/>
        <v>8.4808300820251287E-2</v>
      </c>
      <c r="R54" s="6">
        <f t="shared" si="23"/>
        <v>6.9236889803692664E-2</v>
      </c>
      <c r="S54" s="6">
        <f t="shared" si="29"/>
        <v>4.1250000000000002E-2</v>
      </c>
      <c r="T54" s="6">
        <f t="shared" si="30"/>
        <v>8.0486889803692674E-2</v>
      </c>
    </row>
    <row r="55" spans="1:20">
      <c r="A55" t="str">
        <f t="shared" si="16"/>
        <v>South Jersey Inds.</v>
      </c>
      <c r="B55" s="94">
        <v>57.564500000000002</v>
      </c>
      <c r="C55" s="94">
        <f t="shared" si="17"/>
        <v>1.8120000000000001</v>
      </c>
      <c r="D55" s="6">
        <f t="shared" si="18"/>
        <v>3.1477733672662836E-2</v>
      </c>
      <c r="E55" s="102">
        <f t="shared" ref="E55:F55" si="37">+E21</f>
        <v>0.06</v>
      </c>
      <c r="F55" s="102">
        <f t="shared" si="37"/>
        <v>8.5000000000000006E-2</v>
      </c>
      <c r="G55" s="6">
        <f t="shared" si="19"/>
        <v>9.3366397693022601E-2</v>
      </c>
      <c r="H55" s="6">
        <f t="shared" si="20"/>
        <v>0.11915334103483918</v>
      </c>
      <c r="I55" s="6">
        <f t="shared" si="25"/>
        <v>6.6250000000000003E-2</v>
      </c>
      <c r="J55" s="6">
        <f t="shared" si="26"/>
        <v>0.10040334103483918</v>
      </c>
      <c r="K55" t="str">
        <f t="shared" si="27"/>
        <v>South Jersey Inds.</v>
      </c>
      <c r="L55" s="94">
        <f t="shared" si="27"/>
        <v>57.564500000000002</v>
      </c>
      <c r="M55" s="94">
        <f t="shared" si="27"/>
        <v>1.8120000000000001</v>
      </c>
      <c r="N55" s="6">
        <f t="shared" si="21"/>
        <v>3.1477733672662836E-2</v>
      </c>
      <c r="O55" s="102">
        <f t="shared" ref="O55:P55" si="38">+O21</f>
        <v>7.4999999999999997E-2</v>
      </c>
      <c r="P55" s="102">
        <f t="shared" si="38"/>
        <v>8.5000000000000006E-2</v>
      </c>
      <c r="Q55" s="6">
        <f t="shared" si="22"/>
        <v>0.10883856369811254</v>
      </c>
      <c r="R55" s="6">
        <f t="shared" si="23"/>
        <v>0.11915334103483918</v>
      </c>
      <c r="S55" s="6">
        <f t="shared" si="29"/>
        <v>7.7499999999999999E-2</v>
      </c>
      <c r="T55" s="6">
        <f t="shared" si="30"/>
        <v>0.11165334103483918</v>
      </c>
    </row>
    <row r="56" spans="1:20">
      <c r="A56" t="str">
        <f t="shared" si="16"/>
        <v>Southwest Gas</v>
      </c>
      <c r="B56" s="94">
        <v>47.920999999999999</v>
      </c>
      <c r="C56" s="94">
        <f t="shared" si="17"/>
        <v>1.27</v>
      </c>
      <c r="D56" s="6">
        <f t="shared" si="18"/>
        <v>2.6501951127898001E-2</v>
      </c>
      <c r="E56" s="102">
        <f t="shared" ref="E56:F56" si="39">+E22</f>
        <v>3.5299999999999998E-2</v>
      </c>
      <c r="F56" s="102">
        <f t="shared" si="39"/>
        <v>7.0000000000000007E-2</v>
      </c>
      <c r="G56" s="6">
        <f t="shared" si="19"/>
        <v>6.2737470002712792E-2</v>
      </c>
      <c r="H56" s="6">
        <f t="shared" si="20"/>
        <v>9.8357087706850865E-2</v>
      </c>
      <c r="I56" s="6">
        <f t="shared" si="25"/>
        <v>4.3975E-2</v>
      </c>
      <c r="J56" s="6">
        <f t="shared" si="26"/>
        <v>7.2332087706850859E-2</v>
      </c>
      <c r="K56" t="str">
        <f t="shared" si="27"/>
        <v>Southwest Gas</v>
      </c>
      <c r="L56" s="94">
        <f t="shared" si="27"/>
        <v>47.920999999999999</v>
      </c>
      <c r="M56" s="94">
        <f t="shared" si="27"/>
        <v>1.27</v>
      </c>
      <c r="N56" s="6">
        <f t="shared" si="21"/>
        <v>2.6501951127898001E-2</v>
      </c>
      <c r="O56" s="102">
        <f t="shared" ref="O56:P56" si="40">+O22</f>
        <v>0.08</v>
      </c>
      <c r="P56" s="102">
        <f t="shared" si="40"/>
        <v>7.0000000000000007E-2</v>
      </c>
      <c r="Q56" s="6">
        <f t="shared" si="22"/>
        <v>0.10862210721812984</v>
      </c>
      <c r="R56" s="6">
        <f t="shared" si="23"/>
        <v>9.8357087706850865E-2</v>
      </c>
      <c r="S56" s="6">
        <f t="shared" si="29"/>
        <v>7.7499999999999999E-2</v>
      </c>
      <c r="T56" s="6">
        <f t="shared" si="30"/>
        <v>0.10585708770685086</v>
      </c>
    </row>
    <row r="57" spans="1:20">
      <c r="D57" s="3"/>
      <c r="E57" s="11"/>
      <c r="F57" s="11"/>
      <c r="G57" s="11"/>
      <c r="H57" s="11"/>
      <c r="I57" s="11"/>
      <c r="J57" s="11"/>
      <c r="N57" s="3"/>
      <c r="O57" s="11"/>
      <c r="P57" s="11"/>
      <c r="Q57" s="11"/>
      <c r="R57" s="11"/>
      <c r="S57" s="11"/>
      <c r="T57" s="11"/>
    </row>
    <row r="58" spans="1:20">
      <c r="A58" s="5" t="s">
        <v>38</v>
      </c>
      <c r="C58" s="6"/>
      <c r="D58" s="6">
        <f>AVERAGE(D50:D57)</f>
        <v>3.6492204971486045E-2</v>
      </c>
      <c r="E58" s="6">
        <f>AVERAGE(E50:E57)</f>
        <v>4.8423809523809529E-2</v>
      </c>
      <c r="F58" s="6">
        <f>AVERAGE(F50:F56)</f>
        <v>4.3571428571428573E-2</v>
      </c>
      <c r="G58" s="6">
        <f>AVERAGE(G50:G57)</f>
        <v>8.6677270856412122E-2</v>
      </c>
      <c r="H58" s="6">
        <f>AVERAGE(H50:H57)</f>
        <v>8.1568287645011159E-2</v>
      </c>
      <c r="I58" s="6">
        <f>AVERAGE(I50:I57)</f>
        <v>4.7210714285714286E-2</v>
      </c>
      <c r="J58" s="6">
        <f>AVERAGE(J50:J57)</f>
        <v>8.5207573359296865E-2</v>
      </c>
      <c r="K58" s="5" t="s">
        <v>38</v>
      </c>
      <c r="M58" s="6"/>
      <c r="N58" s="6">
        <f>AVERAGE(N50:N57)</f>
        <v>3.6492204971486045E-2</v>
      </c>
      <c r="O58" s="6">
        <f>AVERAGE(O50:O57)</f>
        <v>6.4285714285714293E-2</v>
      </c>
      <c r="P58" s="6">
        <f>AVERAGE(P50:P56)</f>
        <v>4.3571428571428573E-2</v>
      </c>
      <c r="Q58" s="6">
        <f>AVERAGE(Q50:Q57)</f>
        <v>0.10308594709205436</v>
      </c>
      <c r="R58" s="6">
        <f>AVERAGE(R50:R57)</f>
        <v>8.1568287645011159E-2</v>
      </c>
      <c r="S58" s="6">
        <f>AVERAGE(S50:S57)</f>
        <v>5.9107142857142858E-2</v>
      </c>
      <c r="T58" s="6">
        <f>AVERAGE(T50:T56)</f>
        <v>9.7104001930725437E-2</v>
      </c>
    </row>
    <row r="59" spans="1:20">
      <c r="A59" s="5" t="s">
        <v>43</v>
      </c>
      <c r="C59" s="6"/>
      <c r="D59" s="6">
        <f t="shared" ref="D59:J59" si="41">STDEV(D50:D57)</f>
        <v>6.2216259509533228E-3</v>
      </c>
      <c r="E59" s="6">
        <f t="shared" si="41"/>
        <v>9.7578404237540928E-3</v>
      </c>
      <c r="F59" s="6">
        <f t="shared" si="41"/>
        <v>2.528410002918266E-2</v>
      </c>
      <c r="G59" s="6">
        <f t="shared" si="41"/>
        <v>1.1346626909367332E-2</v>
      </c>
      <c r="H59" s="6">
        <f t="shared" si="41"/>
        <v>2.2570393959570154E-2</v>
      </c>
      <c r="I59" s="6">
        <f t="shared" si="41"/>
        <v>9.3829283935291472E-3</v>
      </c>
      <c r="J59" s="6">
        <f t="shared" si="41"/>
        <v>8.4823521458639375E-3</v>
      </c>
      <c r="K59" s="5" t="s">
        <v>43</v>
      </c>
      <c r="M59" s="6"/>
      <c r="N59" s="6">
        <f>STDEV(N50:N56)</f>
        <v>6.2216259509533228E-3</v>
      </c>
      <c r="O59" s="6">
        <f>STDEV(O50:O56)</f>
        <v>1.7660825629193015E-2</v>
      </c>
      <c r="P59" s="6">
        <f>STDEV(P50:P56)</f>
        <v>2.528410002918266E-2</v>
      </c>
      <c r="Q59" s="6">
        <f>STDEV(Q50:Q57)</f>
        <v>1.6823840111885736E-2</v>
      </c>
      <c r="R59" s="6">
        <f>STDEV(R50:R57)</f>
        <v>2.2570393959570154E-2</v>
      </c>
      <c r="S59" s="6">
        <f>STDEV(S50:S56)</f>
        <v>1.8138849388614951E-2</v>
      </c>
      <c r="T59" s="6">
        <f>STDEV(T50:T56)</f>
        <v>1.6435301604228417E-2</v>
      </c>
    </row>
    <row r="60" spans="1:20">
      <c r="A60" s="5" t="s">
        <v>21</v>
      </c>
      <c r="C60" s="6"/>
      <c r="D60" s="6">
        <f t="shared" ref="D60:J60" si="42">MEDIAN(D50:D57)</f>
        <v>3.8094067770575404E-2</v>
      </c>
      <c r="E60" s="6">
        <f t="shared" si="42"/>
        <v>4.6766666666666672E-2</v>
      </c>
      <c r="F60" s="6">
        <f t="shared" si="42"/>
        <v>3.5000000000000003E-2</v>
      </c>
      <c r="G60" s="6">
        <f t="shared" si="42"/>
        <v>8.9998771159104179E-2</v>
      </c>
      <c r="H60" s="6">
        <f t="shared" si="42"/>
        <v>7.5237123597549194E-2</v>
      </c>
      <c r="I60" s="6">
        <f t="shared" si="42"/>
        <v>4.5000000000000005E-2</v>
      </c>
      <c r="J60" s="6">
        <f t="shared" si="42"/>
        <v>8.4236889803692677E-2</v>
      </c>
      <c r="K60" s="5" t="s">
        <v>21</v>
      </c>
      <c r="M60" s="6"/>
      <c r="N60" s="6">
        <f>MEDIAN(N50:N56)</f>
        <v>3.8094067770575404E-2</v>
      </c>
      <c r="O60" s="6">
        <f>MEDIAN(O50:O56)</f>
        <v>0.06</v>
      </c>
      <c r="P60" s="6">
        <f>MEDIAN(P50:P56)</f>
        <v>3.5000000000000003E-2</v>
      </c>
      <c r="Q60" s="6">
        <f>MEDIAN(Q50:Q57)</f>
        <v>0.10120903479555762</v>
      </c>
      <c r="R60" s="6">
        <f>MEDIAN(R50:R57)</f>
        <v>7.5237123597549194E-2</v>
      </c>
      <c r="S60" s="6">
        <f>MEDIAN(S50:S56)</f>
        <v>5.3749999999999999E-2</v>
      </c>
      <c r="T60" s="6">
        <f>MEDIAN(T50:T56)</f>
        <v>9.3987123597549183E-2</v>
      </c>
    </row>
    <row r="61" spans="1:20">
      <c r="A61" s="5"/>
      <c r="C61" s="6"/>
      <c r="D61" s="6"/>
      <c r="E61" s="6"/>
      <c r="F61" s="6"/>
      <c r="I61" s="6"/>
      <c r="J61" s="6"/>
      <c r="K61" s="5"/>
      <c r="M61" s="6"/>
    </row>
    <row r="62" spans="1:20" ht="15.75">
      <c r="D62" s="9"/>
      <c r="E62" s="8" t="s">
        <v>42</v>
      </c>
      <c r="F62" s="6"/>
      <c r="G62" s="9">
        <f>G58</f>
        <v>8.6677270856412122E-2</v>
      </c>
      <c r="H62" s="9">
        <f>H58</f>
        <v>8.1568287645011159E-2</v>
      </c>
      <c r="J62" s="9">
        <f>J58</f>
        <v>8.5207573359296865E-2</v>
      </c>
      <c r="N62" s="9"/>
      <c r="O62" s="8" t="s">
        <v>42</v>
      </c>
      <c r="Q62" s="9">
        <f>Q58</f>
        <v>0.10308594709205436</v>
      </c>
      <c r="R62" s="9">
        <f>R58</f>
        <v>8.1568287645011159E-2</v>
      </c>
      <c r="T62" s="9">
        <f>T58</f>
        <v>9.7104001930725437E-2</v>
      </c>
    </row>
    <row r="63" spans="1:20">
      <c r="D63" s="6"/>
      <c r="E63" s="6"/>
      <c r="F63" s="6"/>
      <c r="G63" s="116"/>
      <c r="H63" s="116"/>
      <c r="I63" s="6"/>
      <c r="J63" s="116"/>
      <c r="Q63" s="116"/>
      <c r="R63" s="116"/>
      <c r="T63" s="116"/>
    </row>
    <row r="64" spans="1:20">
      <c r="D64" s="6"/>
      <c r="E64" s="66" t="s">
        <v>303</v>
      </c>
      <c r="F64" s="6"/>
      <c r="G64" s="6">
        <f>+G62-G59</f>
        <v>7.5330643947044792E-2</v>
      </c>
      <c r="H64" s="6">
        <f>+H62-H59</f>
        <v>5.8997893685441005E-2</v>
      </c>
      <c r="I64" s="6"/>
      <c r="J64" s="6">
        <f>+J62-J59</f>
        <v>7.672522121343292E-2</v>
      </c>
      <c r="O64" s="66" t="s">
        <v>303</v>
      </c>
      <c r="Q64" s="6">
        <f>+Q62-Q59</f>
        <v>8.6262106980168618E-2</v>
      </c>
      <c r="R64" s="6">
        <f>+R62-R59</f>
        <v>5.8997893685441005E-2</v>
      </c>
      <c r="T64" s="6">
        <f>+T62-T59</f>
        <v>8.066870032649702E-2</v>
      </c>
    </row>
    <row r="65" spans="1:20">
      <c r="G65" s="116">
        <f>+G62+G59</f>
        <v>9.8023897765779452E-2</v>
      </c>
      <c r="H65" s="116">
        <f>+H62+H59</f>
        <v>0.10413868160458131</v>
      </c>
      <c r="J65" s="116">
        <f>+J62+J59</f>
        <v>9.3689925505160809E-2</v>
      </c>
      <c r="N65"/>
      <c r="O65"/>
      <c r="P65"/>
      <c r="Q65" s="116">
        <f>+Q62+Q59</f>
        <v>0.1199097872039401</v>
      </c>
      <c r="R65" s="116">
        <f>+R62+R59</f>
        <v>0.10413868160458131</v>
      </c>
      <c r="S65"/>
      <c r="T65" s="116">
        <f>+T62+T59</f>
        <v>0.11353930353495385</v>
      </c>
    </row>
    <row r="66" spans="1:20">
      <c r="C66" s="116"/>
      <c r="D66" s="116"/>
      <c r="M66" s="116"/>
      <c r="N66" s="116"/>
      <c r="O66"/>
      <c r="P66"/>
      <c r="S66"/>
      <c r="T66"/>
    </row>
    <row r="67" spans="1:20">
      <c r="C67" s="116"/>
      <c r="M67" s="116"/>
      <c r="N67"/>
      <c r="O67"/>
      <c r="P67"/>
      <c r="S67"/>
      <c r="T67"/>
    </row>
    <row r="69" spans="1:20" hidden="1"/>
    <row r="70" spans="1:20" hidden="1">
      <c r="A70" s="2" t="s">
        <v>171</v>
      </c>
      <c r="B70" s="6"/>
      <c r="C70" s="63"/>
      <c r="D70" s="6"/>
      <c r="E70" s="6"/>
      <c r="F70" s="6"/>
      <c r="I70" s="6"/>
      <c r="J70" s="6"/>
      <c r="T70" s="6">
        <f>AVERAGE(T50:T53,T55:T56)</f>
        <v>9.9873520618564235E-2</v>
      </c>
    </row>
    <row r="71" spans="1:20" hidden="1">
      <c r="B71" s="289"/>
      <c r="C71" s="289"/>
      <c r="D71" s="289"/>
      <c r="E71" s="289"/>
      <c r="F71" s="289"/>
      <c r="H71" s="63"/>
      <c r="I71" s="63" t="s">
        <v>80</v>
      </c>
      <c r="J71" s="63" t="s">
        <v>21</v>
      </c>
      <c r="T71" s="6">
        <f>STDEV(T50:T53,T55:T56)</f>
        <v>1.6115613639670057E-2</v>
      </c>
    </row>
    <row r="72" spans="1:20" hidden="1">
      <c r="B72" s="63" t="s">
        <v>52</v>
      </c>
      <c r="C72" s="6"/>
      <c r="D72" s="65"/>
      <c r="E72" s="63"/>
      <c r="F72" s="63" t="s">
        <v>31</v>
      </c>
      <c r="H72" s="63"/>
      <c r="I72" s="63" t="s">
        <v>285</v>
      </c>
      <c r="J72" s="63" t="s">
        <v>285</v>
      </c>
    </row>
    <row r="73" spans="1:20" hidden="1">
      <c r="A73" t="str">
        <f>A94</f>
        <v>Company Name</v>
      </c>
      <c r="B73" s="63" t="s">
        <v>29</v>
      </c>
      <c r="C73" s="288" t="s">
        <v>55</v>
      </c>
      <c r="D73" s="63" t="s">
        <v>33</v>
      </c>
      <c r="E73" s="63" t="s">
        <v>30</v>
      </c>
      <c r="F73" s="63" t="s">
        <v>32</v>
      </c>
      <c r="I73" s="63" t="s">
        <v>179</v>
      </c>
      <c r="J73" s="63" t="s">
        <v>179</v>
      </c>
      <c r="T73" s="6">
        <f>+T62-T71</f>
        <v>8.0988388291055383E-2</v>
      </c>
    </row>
    <row r="74" spans="1:20" hidden="1">
      <c r="A74" s="3"/>
      <c r="B74" s="11"/>
      <c r="C74" s="6"/>
      <c r="D74" s="11"/>
      <c r="E74" s="11"/>
      <c r="F74" s="11"/>
      <c r="I74" s="11"/>
      <c r="J74" s="11"/>
      <c r="T74" s="6">
        <f>+T62+T71</f>
        <v>0.11321961557039549</v>
      </c>
    </row>
    <row r="75" spans="1:20" hidden="1">
      <c r="A75" s="36" t="str">
        <f t="shared" ref="A75:A82" si="43">A96</f>
        <v>AGL Resources</v>
      </c>
      <c r="B75" s="136">
        <f>+'Beta Report'!B12</f>
        <v>0.75</v>
      </c>
      <c r="C75" s="136">
        <f>+'Beta Report'!D12</f>
        <v>0</v>
      </c>
      <c r="D75" s="136">
        <f>+'Beta Report'!E12</f>
        <v>0.51</v>
      </c>
      <c r="E75" s="136">
        <f>+'Beta Report'!F12</f>
        <v>0.42</v>
      </c>
      <c r="F75" s="136">
        <f>+'Beta Report'!G12</f>
        <v>0.36</v>
      </c>
      <c r="I75" s="12">
        <f t="shared" ref="I75:I82" si="44">AVERAGE(C75:F75)</f>
        <v>0.32250000000000001</v>
      </c>
      <c r="J75" s="12">
        <f t="shared" ref="J75:J82" si="45">MEDIAN(C75:F75)</f>
        <v>0.39</v>
      </c>
    </row>
    <row r="76" spans="1:20" hidden="1">
      <c r="A76" s="36" t="str">
        <f t="shared" si="43"/>
        <v>Atmos Energy</v>
      </c>
      <c r="B76" s="136">
        <f>+'Beta Report'!B13</f>
        <v>0.7</v>
      </c>
      <c r="C76" s="136">
        <f>+'Beta Report'!D13</f>
        <v>0</v>
      </c>
      <c r="D76" s="136">
        <f>+'Beta Report'!E13</f>
        <v>0.53</v>
      </c>
      <c r="E76" s="136">
        <f>+'Beta Report'!F13</f>
        <v>0.51</v>
      </c>
      <c r="F76" s="136">
        <f>+'Beta Report'!G13</f>
        <v>0.54</v>
      </c>
      <c r="I76" s="12">
        <f t="shared" si="44"/>
        <v>0.39500000000000002</v>
      </c>
      <c r="J76" s="12">
        <f t="shared" si="45"/>
        <v>0.52</v>
      </c>
    </row>
    <row r="77" spans="1:20" hidden="1">
      <c r="A77" s="36" t="str">
        <f t="shared" si="43"/>
        <v>Laclede Group</v>
      </c>
      <c r="B77" s="136">
        <f>+'Beta Report'!B14</f>
        <v>0.6</v>
      </c>
      <c r="C77" s="136">
        <f>+'Beta Report'!D14</f>
        <v>0</v>
      </c>
      <c r="D77" s="136">
        <f>+'Beta Report'!E14</f>
        <v>0.28000000000000003</v>
      </c>
      <c r="E77" s="136">
        <f>+'Beta Report'!F14</f>
        <v>0.15</v>
      </c>
      <c r="F77" s="136">
        <f>+'Beta Report'!G14</f>
        <v>0.35</v>
      </c>
      <c r="I77" s="12">
        <f t="shared" si="44"/>
        <v>0.19500000000000001</v>
      </c>
      <c r="J77" s="12">
        <f t="shared" si="45"/>
        <v>0.21500000000000002</v>
      </c>
    </row>
    <row r="78" spans="1:20" hidden="1">
      <c r="A78" s="36" t="str">
        <f t="shared" si="43"/>
        <v>Northwest Nat. Gas</v>
      </c>
      <c r="B78" s="136">
        <f>+'Beta Report'!B15</f>
        <v>0.6</v>
      </c>
      <c r="C78" s="136">
        <f>+'Beta Report'!D15</f>
        <v>0</v>
      </c>
      <c r="D78" s="136">
        <f>+'Beta Report'!E15</f>
        <v>0.36</v>
      </c>
      <c r="E78" s="136">
        <f>+'Beta Report'!F15</f>
        <v>0.32</v>
      </c>
      <c r="F78" s="136">
        <f>+'Beta Report'!G15</f>
        <v>0.27</v>
      </c>
      <c r="I78" s="12">
        <f t="shared" si="44"/>
        <v>0.23749999999999999</v>
      </c>
      <c r="J78" s="12">
        <f t="shared" si="45"/>
        <v>0.29500000000000004</v>
      </c>
    </row>
    <row r="79" spans="1:20" hidden="1">
      <c r="A79" s="36" t="str">
        <f t="shared" si="43"/>
        <v>Piedmont Natural Gas</v>
      </c>
      <c r="B79" s="136">
        <f>+'Beta Report'!B16</f>
        <v>0.7</v>
      </c>
      <c r="C79" s="136">
        <f>+'Beta Report'!D16</f>
        <v>0</v>
      </c>
      <c r="D79" s="136">
        <f>+'Beta Report'!E16</f>
        <v>0.51</v>
      </c>
      <c r="E79" s="136">
        <f>+'Beta Report'!F16</f>
        <v>0.39</v>
      </c>
      <c r="F79" s="136">
        <f>+'Beta Report'!G16</f>
        <v>0.48</v>
      </c>
      <c r="I79" s="12">
        <f t="shared" si="44"/>
        <v>0.34499999999999997</v>
      </c>
      <c r="J79" s="12">
        <f t="shared" si="45"/>
        <v>0.435</v>
      </c>
    </row>
    <row r="80" spans="1:20" hidden="1">
      <c r="A80" s="36" t="str">
        <f t="shared" si="43"/>
        <v>South Jersey Inds.</v>
      </c>
      <c r="B80" s="136">
        <f>+'Beta Report'!B17</f>
        <v>0.65</v>
      </c>
      <c r="C80" s="136">
        <f>+'Beta Report'!D17</f>
        <v>0</v>
      </c>
      <c r="D80" s="136">
        <f>+'Beta Report'!E17</f>
        <v>0.35</v>
      </c>
      <c r="E80" s="136">
        <f>+'Beta Report'!F17</f>
        <v>0.35</v>
      </c>
      <c r="F80" s="136">
        <f>+'Beta Report'!G17</f>
        <v>0.7</v>
      </c>
      <c r="I80" s="12">
        <f t="shared" si="44"/>
        <v>0.35</v>
      </c>
      <c r="J80" s="12">
        <f t="shared" si="45"/>
        <v>0.35</v>
      </c>
    </row>
    <row r="81" spans="1:29" hidden="1">
      <c r="A81" s="36" t="str">
        <f t="shared" si="43"/>
        <v>Southwest Gas</v>
      </c>
      <c r="B81" s="136">
        <f>+'Beta Report'!B18</f>
        <v>0.75</v>
      </c>
      <c r="C81" s="136">
        <f>+'Beta Report'!D18</f>
        <v>0</v>
      </c>
      <c r="D81" s="136">
        <f>+'Beta Report'!E18</f>
        <v>0.72</v>
      </c>
      <c r="E81" s="136">
        <f>+'Beta Report'!F18</f>
        <v>0.72</v>
      </c>
      <c r="F81" s="136">
        <f>+'Beta Report'!G18</f>
        <v>0.64</v>
      </c>
      <c r="I81" s="12">
        <f t="shared" si="44"/>
        <v>0.52</v>
      </c>
      <c r="J81" s="12">
        <f t="shared" si="45"/>
        <v>0.67999999999999994</v>
      </c>
      <c r="X81" s="12"/>
    </row>
    <row r="82" spans="1:29" hidden="1">
      <c r="A82" s="36" t="e">
        <f t="shared" si="43"/>
        <v>#REF!</v>
      </c>
      <c r="B82" s="136" t="e">
        <f>+'Beta Report'!#REF!</f>
        <v>#REF!</v>
      </c>
      <c r="C82" s="136" t="e">
        <f>+'Beta Report'!#REF!</f>
        <v>#REF!</v>
      </c>
      <c r="D82" s="136" t="e">
        <f>+'Beta Report'!#REF!</f>
        <v>#REF!</v>
      </c>
      <c r="E82" s="136" t="e">
        <f>+'Beta Report'!#REF!</f>
        <v>#REF!</v>
      </c>
      <c r="F82" s="136" t="e">
        <f>+'Beta Report'!#REF!</f>
        <v>#REF!</v>
      </c>
      <c r="I82" s="12" t="e">
        <f t="shared" si="44"/>
        <v>#REF!</v>
      </c>
      <c r="J82" s="12" t="e">
        <f t="shared" si="45"/>
        <v>#REF!</v>
      </c>
      <c r="X82" s="12"/>
    </row>
    <row r="83" spans="1:29" hidden="1">
      <c r="A83" s="36"/>
      <c r="B83" s="12"/>
      <c r="C83" s="6"/>
      <c r="D83" s="12"/>
      <c r="E83" s="12"/>
      <c r="F83" s="12"/>
      <c r="I83" s="12"/>
      <c r="J83" s="12"/>
    </row>
    <row r="84" spans="1:29" hidden="1">
      <c r="A84" s="5" t="s">
        <v>80</v>
      </c>
      <c r="B84" s="12" t="e">
        <f t="shared" ref="B84:I84" si="46">AVERAGE(B74:B83)</f>
        <v>#REF!</v>
      </c>
      <c r="C84" s="12" t="e">
        <f t="shared" si="46"/>
        <v>#REF!</v>
      </c>
      <c r="D84" s="12" t="e">
        <f t="shared" si="46"/>
        <v>#REF!</v>
      </c>
      <c r="E84" s="12" t="e">
        <f t="shared" si="46"/>
        <v>#REF!</v>
      </c>
      <c r="F84" s="12" t="e">
        <f t="shared" si="46"/>
        <v>#REF!</v>
      </c>
      <c r="I84" s="12" t="e">
        <f t="shared" si="46"/>
        <v>#REF!</v>
      </c>
      <c r="J84" s="12" t="e">
        <f>AVERAGE(J74:J83)</f>
        <v>#REF!</v>
      </c>
    </row>
    <row r="85" spans="1:29" hidden="1">
      <c r="A85" s="5" t="s">
        <v>21</v>
      </c>
      <c r="B85" s="12" t="e">
        <f t="shared" ref="B85:I85" si="47">MEDIAN(B74:B83)</f>
        <v>#REF!</v>
      </c>
      <c r="C85" s="12" t="e">
        <f t="shared" si="47"/>
        <v>#REF!</v>
      </c>
      <c r="D85" s="12" t="e">
        <f t="shared" si="47"/>
        <v>#REF!</v>
      </c>
      <c r="E85" s="12" t="e">
        <f t="shared" si="47"/>
        <v>#REF!</v>
      </c>
      <c r="F85" s="12" t="e">
        <f t="shared" si="47"/>
        <v>#REF!</v>
      </c>
      <c r="I85" s="12" t="e">
        <f t="shared" si="47"/>
        <v>#REF!</v>
      </c>
      <c r="J85" s="12" t="e">
        <f>MEDIAN(J74:J83)</f>
        <v>#REF!</v>
      </c>
      <c r="M85" s="36"/>
    </row>
    <row r="86" spans="1:29" hidden="1">
      <c r="M86" s="36"/>
    </row>
    <row r="87" spans="1:29" hidden="1">
      <c r="J87" s="6"/>
      <c r="X87" s="6"/>
      <c r="Z87" s="6"/>
      <c r="AB87" s="63" t="s">
        <v>82</v>
      </c>
      <c r="AC87" s="63" t="s">
        <v>82</v>
      </c>
    </row>
    <row r="88" spans="1:29" hidden="1"/>
    <row r="89" spans="1:29" hidden="1"/>
    <row r="90" spans="1:29" hidden="1">
      <c r="B90" s="77"/>
      <c r="D90" s="290"/>
      <c r="E90" s="290"/>
      <c r="F90" s="290"/>
    </row>
    <row r="91" spans="1:29" hidden="1">
      <c r="A91" s="2" t="s">
        <v>28</v>
      </c>
      <c r="B91" s="6"/>
      <c r="C91" s="63"/>
      <c r="D91" s="6"/>
      <c r="E91" s="6"/>
      <c r="F91" s="6"/>
      <c r="I91" s="6"/>
      <c r="J91" s="6"/>
      <c r="K91" s="6"/>
    </row>
    <row r="92" spans="1:29" hidden="1">
      <c r="B92" s="63"/>
      <c r="C92" s="63"/>
      <c r="D92" s="63"/>
      <c r="E92" s="63"/>
      <c r="F92" s="63"/>
      <c r="G92" s="63"/>
      <c r="H92" s="63"/>
      <c r="I92" s="63" t="s">
        <v>80</v>
      </c>
      <c r="J92" s="63" t="s">
        <v>286</v>
      </c>
      <c r="K92" s="6"/>
    </row>
    <row r="93" spans="1:29" hidden="1">
      <c r="B93" s="63" t="s">
        <v>52</v>
      </c>
      <c r="C93" s="65"/>
      <c r="D93" s="63"/>
      <c r="E93" s="63"/>
      <c r="F93" s="63" t="s">
        <v>31</v>
      </c>
      <c r="H93" s="63"/>
      <c r="I93" s="63" t="s">
        <v>285</v>
      </c>
      <c r="J93" s="63" t="s">
        <v>285</v>
      </c>
      <c r="K93" s="6"/>
    </row>
    <row r="94" spans="1:29" hidden="1">
      <c r="A94" t="str">
        <f>A14</f>
        <v>Company Name</v>
      </c>
      <c r="B94" s="63" t="s">
        <v>29</v>
      </c>
      <c r="C94" s="64"/>
      <c r="D94" s="63" t="s">
        <v>33</v>
      </c>
      <c r="E94" s="63" t="s">
        <v>30</v>
      </c>
      <c r="F94" s="63" t="s">
        <v>32</v>
      </c>
      <c r="G94" s="63"/>
      <c r="H94" s="21"/>
      <c r="I94" s="63" t="s">
        <v>179</v>
      </c>
      <c r="J94" s="63" t="s">
        <v>179</v>
      </c>
      <c r="K94" s="72"/>
      <c r="L94" s="72"/>
      <c r="M94" s="36"/>
    </row>
    <row r="95" spans="1:29" hidden="1">
      <c r="A95" s="3"/>
      <c r="B95" s="11"/>
      <c r="C95" s="99"/>
      <c r="D95" s="11"/>
      <c r="E95" s="11"/>
      <c r="F95" s="11"/>
      <c r="G95" s="11"/>
      <c r="H95" s="21"/>
      <c r="I95" s="11"/>
      <c r="J95" s="11"/>
      <c r="K95" s="21"/>
      <c r="L95" s="36"/>
      <c r="M95" s="36"/>
    </row>
    <row r="96" spans="1:29" hidden="1">
      <c r="A96" s="36" t="str">
        <f t="shared" ref="A96:A102" si="48">A16</f>
        <v>AGL Resources</v>
      </c>
      <c r="B96" s="138">
        <f>+'1.7 Growth &amp; Beta'!B12</f>
        <v>0.09</v>
      </c>
      <c r="C96" s="102"/>
      <c r="D96" s="138">
        <v>5.1700000000000003E-2</v>
      </c>
      <c r="E96" s="138">
        <v>4.4999999999999998E-2</v>
      </c>
      <c r="F96" s="138">
        <v>0.04</v>
      </c>
      <c r="I96" s="6">
        <f t="shared" ref="I96:I103" si="49">AVERAGE(D96:F96)</f>
        <v>4.5566666666666672E-2</v>
      </c>
      <c r="J96" s="6">
        <f t="shared" ref="J96:J103" si="50">MEDIAN(D96:F96)</f>
        <v>4.4999999999999998E-2</v>
      </c>
      <c r="K96" s="6"/>
      <c r="L96" s="6"/>
    </row>
    <row r="97" spans="1:12" hidden="1">
      <c r="A97" s="36" t="str">
        <f t="shared" si="48"/>
        <v>Atmos Energy</v>
      </c>
      <c r="B97" s="138">
        <f>+'1.7 Growth &amp; Beta'!B13</f>
        <v>5.5E-2</v>
      </c>
      <c r="C97" s="102"/>
      <c r="D97" s="102">
        <v>4.8000000000000001E-2</v>
      </c>
      <c r="E97" s="102">
        <v>0.05</v>
      </c>
      <c r="F97" s="102">
        <v>0.05</v>
      </c>
      <c r="I97" s="6">
        <f t="shared" si="49"/>
        <v>4.933333333333334E-2</v>
      </c>
      <c r="J97" s="6">
        <f t="shared" si="50"/>
        <v>0.05</v>
      </c>
      <c r="K97" s="6"/>
      <c r="L97" s="6"/>
    </row>
    <row r="98" spans="1:12" hidden="1">
      <c r="A98" s="36" t="str">
        <f t="shared" si="48"/>
        <v>Laclede Group</v>
      </c>
      <c r="B98" s="138">
        <f>+'1.7 Growth &amp; Beta'!B14</f>
        <v>0.06</v>
      </c>
      <c r="C98" s="102"/>
      <c r="D98" s="139">
        <v>2.35E-2</v>
      </c>
      <c r="E98" s="139">
        <v>0.03</v>
      </c>
      <c r="F98" s="102">
        <v>3.5000000000000003E-2</v>
      </c>
      <c r="I98" s="6">
        <f t="shared" si="49"/>
        <v>2.9499999999999998E-2</v>
      </c>
      <c r="J98" s="6">
        <f t="shared" si="50"/>
        <v>0.03</v>
      </c>
      <c r="K98" s="6"/>
      <c r="L98" s="6"/>
    </row>
    <row r="99" spans="1:12" hidden="1">
      <c r="A99" s="36" t="str">
        <f t="shared" si="48"/>
        <v>Northwest Nat. Gas</v>
      </c>
      <c r="B99" s="138">
        <f>+'1.7 Growth &amp; Beta'!B15</f>
        <v>4.4999999999999998E-2</v>
      </c>
      <c r="C99" s="102"/>
      <c r="D99" s="102">
        <v>4.7500000000000001E-2</v>
      </c>
      <c r="E99" s="102">
        <v>5.67E-2</v>
      </c>
      <c r="F99" s="102">
        <v>0.06</v>
      </c>
      <c r="I99" s="6">
        <f t="shared" si="49"/>
        <v>5.4733333333333335E-2</v>
      </c>
      <c r="J99" s="6">
        <f t="shared" si="50"/>
        <v>5.67E-2</v>
      </c>
      <c r="K99" s="6"/>
      <c r="L99" s="6"/>
    </row>
    <row r="100" spans="1:12" hidden="1">
      <c r="A100" s="36" t="str">
        <f t="shared" si="48"/>
        <v>Piedmont Natural Gas</v>
      </c>
      <c r="B100" s="138">
        <f>+'1.7 Growth &amp; Beta'!B16</f>
        <v>4.4999999999999998E-2</v>
      </c>
      <c r="C100" s="102"/>
      <c r="D100" s="102">
        <v>7.0000000000000007E-2</v>
      </c>
      <c r="E100" s="139">
        <v>7.0000000000000007E-2</v>
      </c>
      <c r="F100" s="139">
        <v>6.6000000000000003E-2</v>
      </c>
      <c r="I100" s="6">
        <f t="shared" si="49"/>
        <v>6.8666666666666668E-2</v>
      </c>
      <c r="J100" s="6">
        <f t="shared" si="50"/>
        <v>7.0000000000000007E-2</v>
      </c>
      <c r="K100" s="6"/>
      <c r="L100" s="6"/>
    </row>
    <row r="101" spans="1:12" hidden="1">
      <c r="A101" s="36" t="str">
        <f t="shared" si="48"/>
        <v>South Jersey Inds.</v>
      </c>
      <c r="B101" s="138">
        <f>+'1.7 Growth &amp; Beta'!B17</f>
        <v>7.4999999999999997E-2</v>
      </c>
      <c r="C101" s="102"/>
      <c r="D101" s="102">
        <v>0.13250000000000001</v>
      </c>
      <c r="E101" s="102">
        <v>0.12379999999999999</v>
      </c>
      <c r="F101" s="102">
        <v>0.115</v>
      </c>
      <c r="I101" s="6">
        <f t="shared" si="49"/>
        <v>0.12376666666666665</v>
      </c>
      <c r="J101" s="6">
        <f t="shared" si="50"/>
        <v>0.12379999999999999</v>
      </c>
      <c r="K101" s="6"/>
      <c r="L101" s="6"/>
    </row>
    <row r="102" spans="1:12" hidden="1">
      <c r="A102" s="36" t="str">
        <f t="shared" si="48"/>
        <v>Southwest Gas</v>
      </c>
      <c r="B102" s="138">
        <f>+'1.7 Growth &amp; Beta'!B18</f>
        <v>0.08</v>
      </c>
      <c r="C102" s="102"/>
      <c r="D102" s="102">
        <v>5.67E-2</v>
      </c>
      <c r="E102" s="139">
        <v>7.0000000000000007E-2</v>
      </c>
      <c r="F102" s="102">
        <v>0.06</v>
      </c>
      <c r="I102" s="6">
        <f t="shared" si="49"/>
        <v>6.2233333333333335E-2</v>
      </c>
      <c r="J102" s="6">
        <f t="shared" si="50"/>
        <v>0.06</v>
      </c>
      <c r="K102" s="6"/>
      <c r="L102" s="6"/>
    </row>
    <row r="103" spans="1:12" hidden="1">
      <c r="A103" s="36" t="e">
        <f>#REF!</f>
        <v>#REF!</v>
      </c>
      <c r="B103" s="138" t="e">
        <f>+'1.7 Growth &amp; Beta'!#REF!</f>
        <v>#REF!</v>
      </c>
      <c r="C103" s="102"/>
      <c r="D103" s="102">
        <v>0.04</v>
      </c>
      <c r="E103" s="102">
        <v>0.04</v>
      </c>
      <c r="F103" s="102">
        <v>0.05</v>
      </c>
      <c r="I103" s="6">
        <f t="shared" si="49"/>
        <v>4.3333333333333335E-2</v>
      </c>
      <c r="J103" s="6">
        <f t="shared" si="50"/>
        <v>0.04</v>
      </c>
      <c r="K103" s="6"/>
      <c r="L103" s="6"/>
    </row>
    <row r="104" spans="1:12" hidden="1">
      <c r="B104" s="6"/>
      <c r="C104" s="6"/>
      <c r="D104" s="6"/>
      <c r="E104" s="6"/>
      <c r="F104" s="6"/>
      <c r="I104" s="6"/>
      <c r="J104" s="6"/>
      <c r="K104" s="6"/>
    </row>
    <row r="105" spans="1:12" hidden="1">
      <c r="B105" s="6"/>
      <c r="C105" s="6"/>
      <c r="D105" s="6"/>
      <c r="E105" s="6"/>
      <c r="F105" s="6"/>
      <c r="I105" s="6"/>
      <c r="J105" s="6"/>
      <c r="K105" s="6"/>
    </row>
    <row r="106" spans="1:12" hidden="1">
      <c r="A106" s="5" t="s">
        <v>80</v>
      </c>
      <c r="B106" s="6" t="e">
        <f>AVERAGE(B96:B103)</f>
        <v>#REF!</v>
      </c>
      <c r="C106" s="6"/>
      <c r="D106" s="6">
        <f t="shared" ref="D106:F106" si="51">AVERAGE(D96:D103)</f>
        <v>5.8737500000000005E-2</v>
      </c>
      <c r="E106" s="6">
        <f t="shared" si="51"/>
        <v>6.0687500000000005E-2</v>
      </c>
      <c r="F106" s="6">
        <f t="shared" si="51"/>
        <v>5.9499999999999997E-2</v>
      </c>
      <c r="I106" s="6">
        <f t="shared" ref="I106" si="52">AVERAGE(I96:I103)</f>
        <v>5.9641666666666662E-2</v>
      </c>
      <c r="J106" s="6">
        <f>AVERAGE(J96:J103)</f>
        <v>5.9437500000000004E-2</v>
      </c>
      <c r="K106" s="6"/>
      <c r="L106" s="6"/>
    </row>
    <row r="107" spans="1:12" hidden="1">
      <c r="A107" s="5" t="s">
        <v>21</v>
      </c>
      <c r="B107" s="6" t="e">
        <f>MEDIAN(B96:B103)</f>
        <v>#REF!</v>
      </c>
      <c r="C107" s="6"/>
      <c r="D107" s="6">
        <f t="shared" ref="D107:F107" si="53">MEDIAN(D96:D103)</f>
        <v>4.9850000000000005E-2</v>
      </c>
      <c r="E107" s="6">
        <f t="shared" si="53"/>
        <v>5.3350000000000002E-2</v>
      </c>
      <c r="F107" s="6">
        <f t="shared" si="53"/>
        <v>5.5E-2</v>
      </c>
      <c r="I107" s="6">
        <f t="shared" ref="I107" si="54">MEDIAN(I96:I103)</f>
        <v>5.2033333333333334E-2</v>
      </c>
      <c r="J107" s="6">
        <f>MEDIAN(J96:J103)</f>
        <v>5.3350000000000002E-2</v>
      </c>
      <c r="K107" s="6"/>
      <c r="L107" s="6"/>
    </row>
    <row r="108" spans="1:12" hidden="1">
      <c r="A108" s="5"/>
      <c r="B108" s="6"/>
      <c r="C108" s="6"/>
      <c r="D108" s="6"/>
      <c r="E108" s="6"/>
      <c r="F108" s="6"/>
      <c r="I108" s="6"/>
      <c r="J108" s="6"/>
      <c r="K108" s="6"/>
      <c r="L108" s="6"/>
    </row>
    <row r="109" spans="1:12" hidden="1">
      <c r="A109" s="5"/>
      <c r="B109" s="6"/>
      <c r="C109" s="6"/>
      <c r="D109" s="6"/>
      <c r="E109" s="6"/>
      <c r="F109" s="6"/>
      <c r="I109" s="6"/>
      <c r="J109" s="6"/>
      <c r="K109" s="6"/>
      <c r="L109" s="6"/>
    </row>
    <row r="110" spans="1:12" hidden="1">
      <c r="K110" s="6"/>
    </row>
    <row r="129" spans="1:1">
      <c r="A129" s="141"/>
    </row>
    <row r="130" spans="1:1">
      <c r="A130" s="141"/>
    </row>
    <row r="131" spans="1:1">
      <c r="A131" s="141"/>
    </row>
    <row r="132" spans="1:1">
      <c r="A132" s="141"/>
    </row>
    <row r="133" spans="1:1">
      <c r="A133" s="141"/>
    </row>
    <row r="134" spans="1:1">
      <c r="A134" s="141"/>
    </row>
    <row r="135" spans="1:1">
      <c r="A135" s="141"/>
    </row>
    <row r="136" spans="1:1">
      <c r="A136" s="141"/>
    </row>
    <row r="137" spans="1:1">
      <c r="A137" s="141"/>
    </row>
    <row r="138" spans="1:1">
      <c r="A138" s="141"/>
    </row>
    <row r="139" spans="1:1">
      <c r="A139" s="141"/>
    </row>
    <row r="140" spans="1:1">
      <c r="A140" s="141"/>
    </row>
    <row r="141" spans="1:1">
      <c r="A141" s="141"/>
    </row>
    <row r="142" spans="1:1">
      <c r="A142" s="141"/>
    </row>
    <row r="143" spans="1:1">
      <c r="A143" s="141"/>
    </row>
    <row r="144" spans="1:1">
      <c r="A144" s="141"/>
    </row>
    <row r="145" spans="1:1">
      <c r="A145" s="141"/>
    </row>
    <row r="146" spans="1:1">
      <c r="A146" s="141"/>
    </row>
    <row r="147" spans="1:1">
      <c r="A147" s="141"/>
    </row>
    <row r="148" spans="1:1">
      <c r="A148" s="141"/>
    </row>
    <row r="149" spans="1:1">
      <c r="A149" s="141"/>
    </row>
  </sheetData>
  <mergeCells count="1">
    <mergeCell ref="A38:J38"/>
  </mergeCells>
  <phoneticPr fontId="3" type="noConversion"/>
  <printOptions horizontalCentered="1"/>
  <pageMargins left="0.75" right="0.75" top="1" bottom="1" header="0.5" footer="0.5"/>
  <pageSetup scale="74" fitToHeight="3" orientation="landscape" r:id="rId1"/>
  <headerFooter alignWithMargins="0"/>
  <rowBreaks count="2" manualBreakCount="2">
    <brk id="34" max="21" man="1"/>
    <brk id="67" max="16383" man="1"/>
  </rowBreaks>
  <colBreaks count="1" manualBreakCount="1">
    <brk id="10" min="34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110" zoomScaleNormal="100" zoomScaleSheetLayoutView="110" workbookViewId="0"/>
  </sheetViews>
  <sheetFormatPr defaultRowHeight="12.75"/>
  <cols>
    <col min="1" max="1" width="23.5" customWidth="1"/>
    <col min="2" max="2" width="13.6640625" customWidth="1"/>
    <col min="3" max="4" width="13.6640625" hidden="1" customWidth="1"/>
    <col min="5" max="5" width="11.5" customWidth="1"/>
    <col min="6" max="7" width="12" customWidth="1"/>
    <col min="8" max="9" width="12.83203125" customWidth="1"/>
    <col min="10" max="13" width="10.83203125" customWidth="1"/>
    <col min="14" max="15" width="10.83203125" style="12" customWidth="1"/>
    <col min="16" max="16" width="10.83203125" customWidth="1"/>
    <col min="18" max="18" width="9.83203125" bestFit="1" customWidth="1"/>
  </cols>
  <sheetData>
    <row r="1" spans="1:25" ht="15.75">
      <c r="E1" s="94"/>
      <c r="F1" s="94"/>
      <c r="G1" s="94"/>
      <c r="H1" s="94"/>
      <c r="O1" s="54"/>
      <c r="P1" s="8" t="s">
        <v>346</v>
      </c>
    </row>
    <row r="2" spans="1:25" ht="15.75">
      <c r="O2" s="5"/>
      <c r="P2" s="8" t="s">
        <v>419</v>
      </c>
      <c r="Q2" s="26"/>
      <c r="R2" s="26"/>
      <c r="S2" s="26"/>
    </row>
    <row r="3" spans="1:25">
      <c r="O3" s="115"/>
      <c r="Q3" s="26"/>
      <c r="R3" s="26"/>
      <c r="S3" s="26"/>
    </row>
    <row r="4" spans="1:25" ht="18.75">
      <c r="A4" s="28" t="str">
        <f>'1.6 Comps'!B3</f>
        <v>Questar Gas Company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29"/>
      <c r="Q4" s="26"/>
      <c r="R4" s="26"/>
      <c r="S4" s="26"/>
    </row>
    <row r="5" spans="1:25" ht="15.75">
      <c r="A5" s="31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29"/>
      <c r="Q5" s="26"/>
      <c r="R5" s="26"/>
      <c r="S5" s="26"/>
    </row>
    <row r="6" spans="1:25" ht="15.75">
      <c r="A6" s="50">
        <f>+'1.6 Comps'!B5</f>
        <v>41547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0"/>
      <c r="P6" s="29"/>
      <c r="Q6" s="274"/>
      <c r="R6" s="26"/>
      <c r="S6" s="26"/>
    </row>
    <row r="7" spans="1:25">
      <c r="L7" s="12"/>
      <c r="M7" s="12"/>
      <c r="N7"/>
      <c r="O7"/>
      <c r="Q7" s="26"/>
      <c r="R7" s="26"/>
      <c r="S7" s="26"/>
    </row>
    <row r="8" spans="1:25">
      <c r="L8" s="12"/>
      <c r="M8" s="12"/>
      <c r="N8"/>
      <c r="O8"/>
      <c r="Q8" s="26"/>
      <c r="R8" s="26"/>
      <c r="S8" s="26"/>
      <c r="T8" s="26"/>
      <c r="U8" s="26"/>
      <c r="V8" s="26"/>
      <c r="W8" s="26"/>
      <c r="X8" s="26"/>
      <c r="Y8" s="26"/>
    </row>
    <row r="9" spans="1:25" ht="15.75">
      <c r="A9" s="68" t="s">
        <v>404</v>
      </c>
      <c r="N9" s="2"/>
      <c r="O9" s="2"/>
      <c r="P9" s="13"/>
      <c r="R9" s="116"/>
    </row>
    <row r="10" spans="1:25" ht="15.75">
      <c r="A10" s="68"/>
      <c r="N10" s="2"/>
      <c r="O10" s="2"/>
      <c r="P10" s="13"/>
      <c r="R10" s="116"/>
    </row>
    <row r="11" spans="1:25" ht="12.75" customHeight="1">
      <c r="A11" s="10"/>
      <c r="N11" s="2"/>
      <c r="O11" s="2"/>
      <c r="P11" s="13"/>
    </row>
    <row r="12" spans="1:25">
      <c r="B12" s="557" t="str">
        <f>+'DCF 2S B'!C65</f>
        <v xml:space="preserve">30 Day </v>
      </c>
      <c r="C12" s="17"/>
      <c r="D12" s="17"/>
      <c r="E12" s="15" t="s">
        <v>45</v>
      </c>
      <c r="F12" s="17"/>
      <c r="G12" s="15" t="s">
        <v>40</v>
      </c>
      <c r="H12" s="277" t="s">
        <v>283</v>
      </c>
      <c r="I12" s="277" t="s">
        <v>283</v>
      </c>
      <c r="J12" s="25"/>
      <c r="K12" s="17"/>
      <c r="L12" s="15"/>
      <c r="M12" s="17"/>
      <c r="N12" s="17"/>
      <c r="O12" s="17"/>
      <c r="P12" s="17"/>
    </row>
    <row r="13" spans="1:25">
      <c r="B13" s="557" t="str">
        <f>+'DCF 2S B'!C66</f>
        <v>Average</v>
      </c>
      <c r="C13" s="24" t="s">
        <v>44</v>
      </c>
      <c r="D13" s="24"/>
      <c r="E13" s="15" t="s">
        <v>63</v>
      </c>
      <c r="F13" s="15" t="s">
        <v>22</v>
      </c>
      <c r="G13" s="15" t="s">
        <v>41</v>
      </c>
      <c r="H13" s="15" t="s">
        <v>64</v>
      </c>
      <c r="I13" s="15" t="s">
        <v>65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5" t="s">
        <v>51</v>
      </c>
      <c r="P13" s="15" t="s">
        <v>51</v>
      </c>
    </row>
    <row r="14" spans="1:25">
      <c r="A14" s="2" t="s">
        <v>3</v>
      </c>
      <c r="B14" s="556" t="str">
        <f>+'DCF 2S B'!C67</f>
        <v>Stock Price</v>
      </c>
      <c r="C14" s="24" t="s">
        <v>37</v>
      </c>
      <c r="D14" s="24" t="s">
        <v>53</v>
      </c>
      <c r="E14" s="15" t="s">
        <v>24</v>
      </c>
      <c r="F14" s="15" t="s">
        <v>23</v>
      </c>
      <c r="G14" s="15" t="s">
        <v>37</v>
      </c>
      <c r="H14" s="15" t="s">
        <v>26</v>
      </c>
      <c r="I14" s="15" t="s">
        <v>26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23</v>
      </c>
      <c r="P14" s="15" t="s">
        <v>52</v>
      </c>
    </row>
    <row r="15" spans="1:25" ht="7.5" customHeight="1">
      <c r="A15" s="3"/>
      <c r="B15" s="5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4"/>
      <c r="O15" s="14"/>
      <c r="P15" s="3"/>
    </row>
    <row r="16" spans="1:25">
      <c r="A16" s="26" t="str">
        <f>+'DCF 2S B'!B122</f>
        <v>AGL Resources</v>
      </c>
      <c r="B16" s="552">
        <f>+'DCF 2S B'!C122</f>
        <v>44.933999999999997</v>
      </c>
      <c r="C16" s="529">
        <f t="shared" ref="C16" si="0">(J16/(1+$E16)^0.5+K16/(1+$E16)^1.5+L16/(1+$E16)^2.5+M16/(1+$E16)^3.5+N16/(1+$E16)^4.5+O16/(1+E16)^5.5+P16/(1+$E16)^5.5)</f>
        <v>44.93380660964749</v>
      </c>
      <c r="D16" s="529">
        <f t="shared" ref="D16" si="1">B16-C16</f>
        <v>1.9339035250709458E-4</v>
      </c>
      <c r="E16" s="514">
        <f>+'DCF 2S B'!F122</f>
        <v>8.9059747765587394E-2</v>
      </c>
      <c r="F16" s="552">
        <f>+'DCF 2S B'!G122</f>
        <v>1.861</v>
      </c>
      <c r="G16" s="514">
        <f>+'DCF 2S B'!H122</f>
        <v>4.1416299461432327E-2</v>
      </c>
      <c r="H16" s="514">
        <f>+'DCF 2S B'!I122</f>
        <v>4.6766666666666672E-2</v>
      </c>
      <c r="I16" s="514">
        <f>+'DCF 2S B'!J122</f>
        <v>4.4999999999999998E-2</v>
      </c>
      <c r="J16" s="552">
        <f>+'DCF 2S B'!K122</f>
        <v>1.9028725</v>
      </c>
      <c r="K16" s="552">
        <f>+'DCF 2S B'!L122</f>
        <v>1.9885017624999999</v>
      </c>
      <c r="L16" s="552">
        <f>+'DCF 2S B'!M122</f>
        <v>2.0779843418124999</v>
      </c>
      <c r="M16" s="552">
        <f>+'DCF 2S B'!N122</f>
        <v>2.1714936371940623</v>
      </c>
      <c r="N16" s="552">
        <f>+'DCF 2S B'!O122</f>
        <v>2.2692108508677951</v>
      </c>
      <c r="O16" s="552">
        <f>+'DCF 2S B'!P122</f>
        <v>2.3713253391568458</v>
      </c>
      <c r="P16" s="552">
        <f>+'DCF 2S B'!Q122</f>
        <v>56.02387172893534</v>
      </c>
      <c r="R16" s="116"/>
    </row>
    <row r="17" spans="1:16">
      <c r="A17" s="26" t="str">
        <f>+'DCF 2S B'!B123</f>
        <v>Atmos Energy</v>
      </c>
      <c r="B17" s="660">
        <f>+'DCF 2S B'!C123</f>
        <v>41.037500000000001</v>
      </c>
      <c r="C17" s="529">
        <f t="shared" ref="C17:C22" si="2">(J17/(1+$E17)^0.5+K17/(1+$E17)^1.5+L17/(1+$E17)^2.5+M17/(1+$E17)^3.5+N17/(1+$E17)^4.5+O17/(1+E17)^5.5+P17/(1+$E17)^5.5)</f>
        <v>41.037554159279246</v>
      </c>
      <c r="D17" s="529">
        <f t="shared" ref="D17:D22" si="3">B17-C17</f>
        <v>-5.4159279244458958E-5</v>
      </c>
      <c r="E17" s="514">
        <f>+'DCF 2S B'!F123</f>
        <v>8.9595356678206881E-2</v>
      </c>
      <c r="F17" s="660">
        <f>+'DCF 2S B'!G123</f>
        <v>1.4049999999999998</v>
      </c>
      <c r="G17" s="514">
        <f>+'DCF 2S B'!H123</f>
        <v>3.423697837343892E-2</v>
      </c>
      <c r="H17" s="514">
        <f>+'DCF 2S B'!I123</f>
        <v>6.1766666666666664E-2</v>
      </c>
      <c r="I17" s="514">
        <f>+'DCF 2S B'!J123</f>
        <v>1.4999999999999999E-2</v>
      </c>
      <c r="J17" s="660">
        <f>+'DCF 2S B'!K123</f>
        <v>1.4155374999999999</v>
      </c>
      <c r="K17" s="660">
        <f>+'DCF 2S B'!L123</f>
        <v>1.4367705624999998</v>
      </c>
      <c r="L17" s="660">
        <f>+'DCF 2S B'!M123</f>
        <v>1.4583221209374997</v>
      </c>
      <c r="M17" s="660">
        <f>+'DCF 2S B'!N123</f>
        <v>1.4801969527515619</v>
      </c>
      <c r="N17" s="660">
        <f>+'DCF 2S B'!O123</f>
        <v>1.5023999070428353</v>
      </c>
      <c r="O17" s="660">
        <f>+'DCF 2S B'!P123</f>
        <v>1.5249359056484777</v>
      </c>
      <c r="P17" s="660">
        <f>+'DCF 2S B'!Q123</f>
        <v>54.782257974274231</v>
      </c>
    </row>
    <row r="18" spans="1:16">
      <c r="A18" s="26" t="str">
        <f>+'DCF 2S B'!B124</f>
        <v>Laclede Group</v>
      </c>
      <c r="B18" s="660">
        <f>+'DCF 2S B'!C124</f>
        <v>43.985500000000002</v>
      </c>
      <c r="C18" s="529">
        <f t="shared" si="2"/>
        <v>43.985502454724532</v>
      </c>
      <c r="D18" s="529">
        <f t="shared" si="3"/>
        <v>-2.4547245303097043E-6</v>
      </c>
      <c r="E18" s="514">
        <f>+'DCF 2S B'!F124</f>
        <v>8.3153925393749301E-2</v>
      </c>
      <c r="F18" s="660">
        <f>+'DCF 2S B'!G124</f>
        <v>1.71</v>
      </c>
      <c r="G18" s="514">
        <f>+'DCF 2S B'!H124</f>
        <v>3.8876447920337384E-2</v>
      </c>
      <c r="H18" s="514">
        <f>+'DCF 2S B'!I124</f>
        <v>4.5133333333333338E-2</v>
      </c>
      <c r="I18" s="514">
        <f>+'DCF 2S B'!J124</f>
        <v>3.5000000000000003E-2</v>
      </c>
      <c r="J18" s="660">
        <f>+'DCF 2S B'!K124</f>
        <v>1.7399250000000002</v>
      </c>
      <c r="K18" s="660">
        <f>+'DCF 2S B'!L124</f>
        <v>1.8008223750000001</v>
      </c>
      <c r="L18" s="660">
        <f>+'DCF 2S B'!M124</f>
        <v>1.8638511581249999</v>
      </c>
      <c r="M18" s="660">
        <f>+'DCF 2S B'!N124</f>
        <v>1.9290859486593748</v>
      </c>
      <c r="N18" s="660">
        <f>+'DCF 2S B'!O124</f>
        <v>1.9966039568624527</v>
      </c>
      <c r="O18" s="660">
        <f>+'DCF 2S B'!P124</f>
        <v>2.0664850953526384</v>
      </c>
      <c r="P18" s="660">
        <f>+'DCF 2S B'!Q124</f>
        <v>54.316733714954417</v>
      </c>
    </row>
    <row r="19" spans="1:16">
      <c r="A19" s="26" t="str">
        <f>+'DCF 2S B'!B125</f>
        <v>Northwest Nat. Gas</v>
      </c>
      <c r="B19" s="660">
        <f>+'DCF 2S B'!C125</f>
        <v>41.033000000000001</v>
      </c>
      <c r="C19" s="529">
        <f t="shared" si="2"/>
        <v>41.033016860692683</v>
      </c>
      <c r="D19" s="529">
        <f t="shared" si="3"/>
        <v>-1.6860692682030276E-5</v>
      </c>
      <c r="E19" s="514">
        <f>+'DCF 2S B'!F125</f>
        <v>8.2965866822801534E-2</v>
      </c>
      <c r="F19" s="660">
        <f>+'DCF 2S B'!G125</f>
        <v>1.84</v>
      </c>
      <c r="G19" s="514">
        <f>+'DCF 2S B'!H125</f>
        <v>4.4841956474057469E-2</v>
      </c>
      <c r="H19" s="514">
        <f>+'DCF 2S B'!I125</f>
        <v>0.04</v>
      </c>
      <c r="I19" s="514">
        <f>+'DCF 2S B'!J125</f>
        <v>2.5000000000000001E-2</v>
      </c>
      <c r="J19" s="660">
        <f>+'DCF 2S B'!K125</f>
        <v>1.863</v>
      </c>
      <c r="K19" s="660">
        <f>+'DCF 2S B'!L125</f>
        <v>1.9095749999999998</v>
      </c>
      <c r="L19" s="660">
        <f>+'DCF 2S B'!M125</f>
        <v>1.9573143749999997</v>
      </c>
      <c r="M19" s="660">
        <f>+'DCF 2S B'!N125</f>
        <v>2.0062472343749995</v>
      </c>
      <c r="N19" s="660">
        <f>+'DCF 2S B'!O125</f>
        <v>2.0564034152343744</v>
      </c>
      <c r="O19" s="660">
        <f>+'DCF 2S B'!P125</f>
        <v>2.1078135006152334</v>
      </c>
      <c r="P19" s="660">
        <f>+'DCF 2S B'!Q125</f>
        <v>49.032860494429478</v>
      </c>
    </row>
    <row r="20" spans="1:16">
      <c r="A20" s="26" t="str">
        <f>+'DCF 2S B'!B126</f>
        <v>Piedmont Natural Gas</v>
      </c>
      <c r="B20" s="660">
        <f>+'DCF 2S B'!C126</f>
        <v>32.551000000000002</v>
      </c>
      <c r="C20" s="529">
        <f t="shared" si="2"/>
        <v>32.551060459728475</v>
      </c>
      <c r="D20" s="529">
        <f t="shared" si="3"/>
        <v>-6.0459728473460927E-5</v>
      </c>
      <c r="E20" s="514">
        <f>+'DCF 2S B'!F126</f>
        <v>8.5485275604496688E-2</v>
      </c>
      <c r="F20" s="660">
        <f>+'DCF 2S B'!G126</f>
        <v>1.24</v>
      </c>
      <c r="G20" s="514">
        <f>+'DCF 2S B'!H126</f>
        <v>3.8094067770575404E-2</v>
      </c>
      <c r="H20" s="514">
        <f>+'DCF 2S B'!I126</f>
        <v>5.000000000000001E-2</v>
      </c>
      <c r="I20" s="514">
        <f>+'DCF 2S B'!J126</f>
        <v>0.03</v>
      </c>
      <c r="J20" s="660">
        <f>+'DCF 2S B'!K126</f>
        <v>1.2585999999999999</v>
      </c>
      <c r="K20" s="660">
        <f>+'DCF 2S B'!L126</f>
        <v>1.2963579999999999</v>
      </c>
      <c r="L20" s="660">
        <f>+'DCF 2S B'!M126</f>
        <v>1.3352487399999999</v>
      </c>
      <c r="M20" s="660">
        <f>+'DCF 2S B'!N126</f>
        <v>1.3753062022</v>
      </c>
      <c r="N20" s="660">
        <f>+'DCF 2S B'!O126</f>
        <v>1.4165653882660001</v>
      </c>
      <c r="O20" s="660">
        <f>+'DCF 2S B'!P126</f>
        <v>1.4590623499139801</v>
      </c>
      <c r="P20" s="660">
        <f>+'DCF 2S B'!Q126</f>
        <v>41.087402219896759</v>
      </c>
    </row>
    <row r="21" spans="1:16">
      <c r="A21" s="26" t="str">
        <f>+'DCF 2S B'!B127</f>
        <v>South Jersey Inds.</v>
      </c>
      <c r="B21" s="660">
        <f>+'DCF 2S B'!C127</f>
        <v>57.564500000000002</v>
      </c>
      <c r="C21" s="529">
        <f t="shared" si="2"/>
        <v>57.564516521716961</v>
      </c>
      <c r="D21" s="529">
        <f t="shared" si="3"/>
        <v>-1.6521716958095567E-5</v>
      </c>
      <c r="E21" s="514">
        <f>+'DCF 2S B'!F127</f>
        <v>9.6380357032627206E-2</v>
      </c>
      <c r="F21" s="660">
        <f>+'DCF 2S B'!G127</f>
        <v>1.8120000000000001</v>
      </c>
      <c r="G21" s="514">
        <f>+'DCF 2S B'!H127</f>
        <v>3.1477733672662836E-2</v>
      </c>
      <c r="H21" s="514">
        <f>+'DCF 2S B'!I127</f>
        <v>0.06</v>
      </c>
      <c r="I21" s="514">
        <f>+'DCF 2S B'!J127</f>
        <v>8.5000000000000006E-2</v>
      </c>
      <c r="J21" s="660">
        <f>+'DCF 2S B'!K127</f>
        <v>1.8890100000000001</v>
      </c>
      <c r="K21" s="660">
        <f>+'DCF 2S B'!L127</f>
        <v>2.0495758500000001</v>
      </c>
      <c r="L21" s="660">
        <f>+'DCF 2S B'!M127</f>
        <v>2.2237897972499998</v>
      </c>
      <c r="M21" s="660">
        <f>+'DCF 2S B'!N127</f>
        <v>2.4128119300162498</v>
      </c>
      <c r="N21" s="660">
        <f>+'DCF 2S B'!O127</f>
        <v>2.6179009440676309</v>
      </c>
      <c r="O21" s="660">
        <f>+'DCF 2S B'!P127</f>
        <v>2.8404225243133796</v>
      </c>
      <c r="P21" s="660">
        <f>+'DCF 2S B'!Q127</f>
        <v>77.990718766750618</v>
      </c>
    </row>
    <row r="22" spans="1:16">
      <c r="A22" s="26" t="str">
        <f>+'DCF 2S B'!B128</f>
        <v>Southwest Gas</v>
      </c>
      <c r="B22" s="660">
        <f>+'DCF 2S B'!C128</f>
        <v>47.920999999999999</v>
      </c>
      <c r="C22" s="529">
        <f t="shared" si="2"/>
        <v>47.921896684496481</v>
      </c>
      <c r="D22" s="529">
        <f t="shared" si="3"/>
        <v>-8.9668449648172555E-4</v>
      </c>
      <c r="E22" s="514">
        <f>+'DCF 2S B'!F128</f>
        <v>6.7284877814984684E-2</v>
      </c>
      <c r="F22" s="660">
        <f>+'DCF 2S B'!G128</f>
        <v>1.27</v>
      </c>
      <c r="G22" s="514">
        <f>+'DCF 2S B'!H128</f>
        <v>2.6501951127898001E-2</v>
      </c>
      <c r="H22" s="514">
        <f>+'DCF 2S B'!I128</f>
        <v>3.5299999999999998E-2</v>
      </c>
      <c r="I22" s="514">
        <f>+'DCF 2S B'!J128</f>
        <v>7.0000000000000007E-2</v>
      </c>
      <c r="J22" s="660">
        <f>+'DCF 2S B'!K128</f>
        <v>1.3144499999999999</v>
      </c>
      <c r="K22" s="660">
        <f>+'DCF 2S B'!L128</f>
        <v>1.4064615</v>
      </c>
      <c r="L22" s="660">
        <f>+'DCF 2S B'!M128</f>
        <v>1.5049138050000002</v>
      </c>
      <c r="M22" s="660">
        <f>+'DCF 2S B'!N128</f>
        <v>1.6102577713500004</v>
      </c>
      <c r="N22" s="660">
        <f>+'DCF 2S B'!O128</f>
        <v>1.7229758153445005</v>
      </c>
      <c r="O22" s="660">
        <f>+'DCF 2S B'!P128</f>
        <v>1.8435841224186156</v>
      </c>
      <c r="P22" s="660">
        <f>+'DCF 2S B'!Q128</f>
        <v>57.569242303277136</v>
      </c>
    </row>
    <row r="23" spans="1:16" ht="7.5" customHeight="1">
      <c r="C23" s="12"/>
      <c r="D23" s="12"/>
      <c r="E23" s="6"/>
      <c r="G23" s="3"/>
      <c r="H23" s="11"/>
      <c r="I23" s="3"/>
      <c r="N23"/>
      <c r="O23"/>
    </row>
    <row r="24" spans="1:16">
      <c r="A24" s="5" t="s">
        <v>80</v>
      </c>
      <c r="C24" s="12"/>
      <c r="D24" s="12"/>
      <c r="E24" s="63">
        <f>AVERAGE(E16:E23)</f>
        <v>8.4846486730350543E-2</v>
      </c>
      <c r="G24" s="63">
        <f>AVERAGE(G16:G23)</f>
        <v>3.6492204971486045E-2</v>
      </c>
      <c r="H24" s="63">
        <f>AVERAGE(H16:H23)</f>
        <v>4.8423809523809529E-2</v>
      </c>
      <c r="I24" s="63">
        <f>AVERAGE(I16:I23)</f>
        <v>4.3571428571428573E-2</v>
      </c>
      <c r="N24"/>
      <c r="O24"/>
    </row>
    <row r="25" spans="1:16">
      <c r="A25" s="5" t="s">
        <v>43</v>
      </c>
      <c r="E25" s="63">
        <f>STDEV(E16:E23)</f>
        <v>9.0236093344002819E-3</v>
      </c>
      <c r="G25" s="6"/>
      <c r="H25" s="6"/>
      <c r="I25" s="6"/>
      <c r="N25"/>
      <c r="O25"/>
    </row>
    <row r="26" spans="1:16">
      <c r="A26" s="5" t="s">
        <v>21</v>
      </c>
      <c r="E26" s="63">
        <f>+MEDIAN(E16:E23)</f>
        <v>8.5485275604496688E-2</v>
      </c>
      <c r="G26" s="6"/>
      <c r="H26" s="6"/>
      <c r="I26" s="6"/>
      <c r="N26"/>
      <c r="O26"/>
    </row>
    <row r="27" spans="1:16" ht="7.5" customHeight="1">
      <c r="A27" s="5"/>
      <c r="E27" s="552"/>
      <c r="G27" s="6"/>
      <c r="J27" s="6"/>
      <c r="N27"/>
      <c r="O27"/>
    </row>
    <row r="28" spans="1:16" ht="15.75">
      <c r="A28" s="8" t="s">
        <v>42</v>
      </c>
      <c r="C28" s="9"/>
      <c r="D28" s="9"/>
      <c r="E28" s="558">
        <f>+E24</f>
        <v>8.4846486730350543E-2</v>
      </c>
      <c r="F28" s="4" t="s">
        <v>390</v>
      </c>
      <c r="G28" s="351"/>
      <c r="J28" s="558"/>
      <c r="K28" s="844"/>
      <c r="L28" s="844"/>
      <c r="M28" s="4"/>
      <c r="N28" s="9"/>
      <c r="O28"/>
    </row>
    <row r="29" spans="1:16">
      <c r="E29" s="552"/>
      <c r="H29" s="6"/>
      <c r="J29" s="25"/>
      <c r="M29" s="12"/>
      <c r="N29"/>
      <c r="O29"/>
    </row>
    <row r="30" spans="1:16">
      <c r="A30" s="6" t="s">
        <v>303</v>
      </c>
      <c r="E30" s="63">
        <f>+E28-E25</f>
        <v>7.5822877395950256E-2</v>
      </c>
      <c r="J30" s="514"/>
      <c r="M30" s="12"/>
      <c r="N30"/>
      <c r="O30"/>
    </row>
    <row r="31" spans="1:16">
      <c r="E31" s="63">
        <f>+E28+E25</f>
        <v>9.387009606475083E-2</v>
      </c>
      <c r="J31" s="514"/>
      <c r="M31" s="12"/>
      <c r="N31"/>
      <c r="O31"/>
    </row>
    <row r="32" spans="1:16">
      <c r="L32" s="12"/>
      <c r="M32" s="12"/>
      <c r="N32"/>
      <c r="O32"/>
    </row>
    <row r="33" spans="1:19">
      <c r="B33" s="37" t="s">
        <v>127</v>
      </c>
    </row>
    <row r="34" spans="1:19">
      <c r="E34" t="s">
        <v>128</v>
      </c>
    </row>
    <row r="35" spans="1:19">
      <c r="E35" t="s">
        <v>119</v>
      </c>
    </row>
    <row r="36" spans="1:19" ht="15.75">
      <c r="O36" s="114"/>
      <c r="P36" s="8" t="s">
        <v>346</v>
      </c>
    </row>
    <row r="37" spans="1:19" ht="15.75">
      <c r="O37" s="5"/>
      <c r="P37" s="8" t="s">
        <v>420</v>
      </c>
    </row>
    <row r="38" spans="1:19">
      <c r="O38" s="114"/>
    </row>
    <row r="39" spans="1:19" ht="18.75">
      <c r="A39" s="28" t="str">
        <f>+A4</f>
        <v>Questar Gas Company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0"/>
      <c r="P39" s="29"/>
      <c r="Q39" s="26"/>
      <c r="R39" s="26"/>
      <c r="S39" s="26"/>
    </row>
    <row r="40" spans="1:19" ht="15.75">
      <c r="A40" s="31" t="s">
        <v>71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29"/>
      <c r="Q40" s="26"/>
      <c r="R40" s="26"/>
      <c r="S40" s="26"/>
    </row>
    <row r="41" spans="1:19" ht="15.75">
      <c r="A41" s="50">
        <f>+A6</f>
        <v>41547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29"/>
      <c r="Q41" s="274"/>
      <c r="R41" s="26"/>
      <c r="S41" s="26"/>
    </row>
    <row r="42" spans="1:19">
      <c r="O42" s="114"/>
    </row>
    <row r="43" spans="1:19">
      <c r="O43" s="114"/>
    </row>
    <row r="44" spans="1:19" ht="15.75">
      <c r="A44" s="68" t="s">
        <v>406</v>
      </c>
      <c r="N44" s="2"/>
    </row>
    <row r="45" spans="1:19" ht="15.75">
      <c r="A45" s="68"/>
      <c r="N45" s="2"/>
      <c r="O45" s="5"/>
    </row>
    <row r="46" spans="1:19" ht="15.75">
      <c r="A46" s="10"/>
      <c r="N46" s="2"/>
      <c r="O46" s="2"/>
      <c r="P46" s="13"/>
    </row>
    <row r="47" spans="1:19">
      <c r="B47" s="557" t="str">
        <f>+B12</f>
        <v xml:space="preserve">30 Day </v>
      </c>
      <c r="C47" s="17"/>
      <c r="D47" s="17"/>
      <c r="E47" s="15" t="s">
        <v>45</v>
      </c>
      <c r="F47" s="17"/>
      <c r="G47" s="15" t="s">
        <v>40</v>
      </c>
      <c r="H47" s="15" t="str">
        <f>+H12</f>
        <v>VL Projected</v>
      </c>
      <c r="I47" s="15" t="str">
        <f>+I12</f>
        <v>VL Projected</v>
      </c>
      <c r="J47" s="25"/>
      <c r="K47" s="17"/>
      <c r="L47" s="15"/>
      <c r="M47" s="17"/>
      <c r="N47" s="17"/>
      <c r="O47" s="17"/>
      <c r="P47" s="17"/>
    </row>
    <row r="48" spans="1:19">
      <c r="B48" s="51" t="str">
        <f>B13</f>
        <v>Average</v>
      </c>
      <c r="C48" s="24" t="s">
        <v>44</v>
      </c>
      <c r="D48" s="24"/>
      <c r="E48" s="15" t="s">
        <v>63</v>
      </c>
      <c r="F48" s="15" t="s">
        <v>22</v>
      </c>
      <c r="G48" s="15" t="s">
        <v>41</v>
      </c>
      <c r="H48" s="15" t="s">
        <v>64</v>
      </c>
      <c r="I48" s="15" t="s">
        <v>65</v>
      </c>
      <c r="J48" s="15" t="s">
        <v>23</v>
      </c>
      <c r="K48" s="15" t="s">
        <v>23</v>
      </c>
      <c r="L48" s="15" t="s">
        <v>23</v>
      </c>
      <c r="M48" s="15" t="s">
        <v>23</v>
      </c>
      <c r="N48" s="15" t="s">
        <v>23</v>
      </c>
      <c r="O48" s="15" t="s">
        <v>51</v>
      </c>
      <c r="P48" s="15" t="s">
        <v>51</v>
      </c>
    </row>
    <row r="49" spans="1:16">
      <c r="A49" s="2" t="s">
        <v>3</v>
      </c>
      <c r="B49" s="15" t="s">
        <v>4</v>
      </c>
      <c r="C49" s="24" t="s">
        <v>37</v>
      </c>
      <c r="D49" s="24" t="s">
        <v>53</v>
      </c>
      <c r="E49" s="15" t="s">
        <v>24</v>
      </c>
      <c r="F49" s="15" t="s">
        <v>23</v>
      </c>
      <c r="G49" s="15" t="s">
        <v>37</v>
      </c>
      <c r="H49" s="15" t="s">
        <v>26</v>
      </c>
      <c r="I49" s="15" t="s">
        <v>26</v>
      </c>
      <c r="J49" s="15" t="s">
        <v>46</v>
      </c>
      <c r="K49" s="15" t="s">
        <v>47</v>
      </c>
      <c r="L49" s="15" t="s">
        <v>48</v>
      </c>
      <c r="M49" s="15" t="s">
        <v>49</v>
      </c>
      <c r="N49" s="15" t="s">
        <v>50</v>
      </c>
      <c r="O49" s="15" t="s">
        <v>23</v>
      </c>
      <c r="P49" s="15" t="s">
        <v>52</v>
      </c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4"/>
      <c r="O50" s="14"/>
      <c r="P50" s="3"/>
    </row>
    <row r="51" spans="1:16">
      <c r="A51" t="str">
        <f t="shared" ref="A51:A53" si="4">A16</f>
        <v>AGL Resources</v>
      </c>
      <c r="B51" s="545">
        <f>+'DCF 2S B'!C38</f>
        <v>44.933999999999997</v>
      </c>
      <c r="C51" s="545">
        <f t="shared" ref="C51" si="5">(J51/(1+$E51)^0.5+K51/(1+$E51)^1.5+L51/(1+$E51)^2.5+M51/(1+$E51)^3.5+N51/(1+$E51)^4.5+O51/(1+E51)^5.5+P51/(1+$E51)^5.5)</f>
        <v>44.93412276638761</v>
      </c>
      <c r="D51" s="593">
        <f t="shared" ref="D51" si="6">B51-C51</f>
        <v>-1.2276638761221648E-4</v>
      </c>
      <c r="E51" s="592">
        <f>+'DCF 2S B'!F38</f>
        <v>0.12462012360379848</v>
      </c>
      <c r="F51" s="545">
        <f>+'DCF 2S B'!G38</f>
        <v>1.861</v>
      </c>
      <c r="G51" s="592">
        <f>+'DCF 2S B'!H38</f>
        <v>4.0430154247230066E-2</v>
      </c>
      <c r="H51" s="592">
        <f>+'DCF 2S B'!I38</f>
        <v>0.09</v>
      </c>
      <c r="I51" s="592">
        <f>+'DCF 2S B'!J38</f>
        <v>4.4999999999999998E-2</v>
      </c>
      <c r="J51" s="545">
        <f>+'DCF 2S B'!K38</f>
        <v>1.9028725</v>
      </c>
      <c r="K51" s="545">
        <f>+'DCF 2S B'!L38</f>
        <v>1.9885017624999999</v>
      </c>
      <c r="L51" s="545">
        <f>+'DCF 2S B'!M38</f>
        <v>2.0779843418124999</v>
      </c>
      <c r="M51" s="545">
        <f>+'DCF 2S B'!N38</f>
        <v>2.1714936371940623</v>
      </c>
      <c r="N51" s="545">
        <f>+'DCF 2S B'!O38</f>
        <v>2.2692108508677951</v>
      </c>
      <c r="O51" s="545">
        <f>+'DCF 2S B'!P38</f>
        <v>2.3713253391568458</v>
      </c>
      <c r="P51" s="545">
        <f>+'DCF 2S B'!Q38</f>
        <v>68.495576916330435</v>
      </c>
    </row>
    <row r="52" spans="1:16">
      <c r="A52" t="str">
        <f t="shared" si="4"/>
        <v>Atmos Energy</v>
      </c>
      <c r="B52" s="545">
        <f>+'DCF 2S B'!C39</f>
        <v>41.037500000000001</v>
      </c>
      <c r="C52" s="545">
        <f t="shared" ref="C52:C57" si="7">(J52/(1+$E52)^0.5+K52/(1+$E52)^1.5+L52/(1+$E52)^2.5+M52/(1+$E52)^3.5+N52/(1+$E52)^4.5+O52/(1+E52)^5.5+P52/(1+$E52)^5.5)</f>
        <v>41.037621030208356</v>
      </c>
      <c r="D52" s="593">
        <f t="shared" ref="D52:D57" si="8">B52-C52</f>
        <v>-1.2103020835496636E-4</v>
      </c>
      <c r="E52" s="592">
        <f>+'DCF 2S B'!F39</f>
        <v>8.3758462577295759E-2</v>
      </c>
      <c r="F52" s="545">
        <f>+'DCF 2S B'!G39</f>
        <v>1.4049999999999998</v>
      </c>
      <c r="G52" s="592">
        <f>+'DCF 2S B'!H39</f>
        <v>3.2988964545667993E-2</v>
      </c>
      <c r="H52" s="592">
        <f>+'DCF 2S B'!I39</f>
        <v>5.5E-2</v>
      </c>
      <c r="I52" s="592">
        <f>+'DCF 2S B'!J39</f>
        <v>1.4999999999999999E-2</v>
      </c>
      <c r="J52" s="545">
        <f>+'DCF 2S B'!K39</f>
        <v>1.4155374999999999</v>
      </c>
      <c r="K52" s="545">
        <f>+'DCF 2S B'!L39</f>
        <v>1.4367705624999998</v>
      </c>
      <c r="L52" s="545">
        <f>+'DCF 2S B'!M39</f>
        <v>1.4583221209374997</v>
      </c>
      <c r="M52" s="545">
        <f>+'DCF 2S B'!N39</f>
        <v>1.4801969527515619</v>
      </c>
      <c r="N52" s="545">
        <f>+'DCF 2S B'!O39</f>
        <v>1.5023999070428353</v>
      </c>
      <c r="O52" s="545">
        <f>+'DCF 2S B'!P39</f>
        <v>1.5249359056484777</v>
      </c>
      <c r="P52" s="545">
        <f>+'DCF 2S B'!Q39</f>
        <v>53.025640767472204</v>
      </c>
    </row>
    <row r="53" spans="1:16">
      <c r="A53" t="str">
        <f t="shared" si="4"/>
        <v>Laclede Group</v>
      </c>
      <c r="B53" s="545">
        <f>+'DCF 2S B'!C40</f>
        <v>43.985500000000002</v>
      </c>
      <c r="C53" s="545">
        <f t="shared" si="7"/>
        <v>43.985510752275246</v>
      </c>
      <c r="D53" s="593">
        <f t="shared" si="8"/>
        <v>-1.0752275244385601E-5</v>
      </c>
      <c r="E53" s="592">
        <f>+'DCF 2S B'!F40</f>
        <v>9.5463936639744923E-2</v>
      </c>
      <c r="F53" s="545">
        <f>+'DCF 2S B'!G40</f>
        <v>1.71</v>
      </c>
      <c r="G53" s="592">
        <f>+'DCF 2S B'!H40</f>
        <v>3.7999999999999999E-2</v>
      </c>
      <c r="H53" s="592">
        <f>+'DCF 2S B'!I40</f>
        <v>0.06</v>
      </c>
      <c r="I53" s="592">
        <f>+'DCF 2S B'!J40</f>
        <v>3.5000000000000003E-2</v>
      </c>
      <c r="J53" s="545">
        <f>+'DCF 2S B'!K40</f>
        <v>1.7399250000000002</v>
      </c>
      <c r="K53" s="545">
        <f>+'DCF 2S B'!L40</f>
        <v>1.8008223750000001</v>
      </c>
      <c r="L53" s="545">
        <f>+'DCF 2S B'!M40</f>
        <v>1.8638511581249999</v>
      </c>
      <c r="M53" s="545">
        <f>+'DCF 2S B'!N40</f>
        <v>1.9290859486593748</v>
      </c>
      <c r="N53" s="545">
        <f>+'DCF 2S B'!O40</f>
        <v>1.9966039568624527</v>
      </c>
      <c r="O53" s="545">
        <f>+'DCF 2S B'!P40</f>
        <v>2.0664850953526384</v>
      </c>
      <c r="P53" s="545">
        <f>+'DCF 2S B'!Q40</f>
        <v>58.270042503874201</v>
      </c>
    </row>
    <row r="54" spans="1:16">
      <c r="A54" t="str">
        <f t="shared" ref="A54:A57" si="9">A19</f>
        <v>Northwest Nat. Gas</v>
      </c>
      <c r="B54" s="545">
        <f>+'DCF 2S B'!C41</f>
        <v>41.033000000000001</v>
      </c>
      <c r="C54" s="545">
        <f t="shared" si="7"/>
        <v>41.033007961216704</v>
      </c>
      <c r="D54" s="593">
        <f t="shared" si="8"/>
        <v>-7.9612167027676151E-6</v>
      </c>
      <c r="E54" s="592">
        <f>+'DCF 2S B'!F41</f>
        <v>8.6989370918021711E-2</v>
      </c>
      <c r="F54" s="545">
        <f>+'DCF 2S B'!G41</f>
        <v>1.84</v>
      </c>
      <c r="G54" s="592">
        <f>+'DCF 2S B'!H41</f>
        <v>4.3830395426393526E-2</v>
      </c>
      <c r="H54" s="592">
        <f>+'DCF 2S B'!I41</f>
        <v>4.4999999999999998E-2</v>
      </c>
      <c r="I54" s="592">
        <f>+'DCF 2S B'!J41</f>
        <v>2.5000000000000001E-2</v>
      </c>
      <c r="J54" s="545">
        <f>+'DCF 2S B'!K41</f>
        <v>1.863</v>
      </c>
      <c r="K54" s="545">
        <f>+'DCF 2S B'!L41</f>
        <v>1.9095749999999998</v>
      </c>
      <c r="L54" s="545">
        <f>+'DCF 2S B'!M41</f>
        <v>1.9573143749999997</v>
      </c>
      <c r="M54" s="545">
        <f>+'DCF 2S B'!N41</f>
        <v>2.0062472343749995</v>
      </c>
      <c r="N54" s="545">
        <f>+'DCF 2S B'!O41</f>
        <v>2.0564034152343744</v>
      </c>
      <c r="O54" s="545">
        <f>+'DCF 2S B'!P41</f>
        <v>2.1078135006152334</v>
      </c>
      <c r="P54" s="545">
        <f>+'DCF 2S B'!Q41</f>
        <v>50.198739693682008</v>
      </c>
    </row>
    <row r="55" spans="1:16">
      <c r="A55" t="str">
        <f t="shared" si="9"/>
        <v>Piedmont Natural Gas</v>
      </c>
      <c r="B55" s="545">
        <f>+'DCF 2S B'!C42</f>
        <v>32.551000000000002</v>
      </c>
      <c r="C55" s="545">
        <f t="shared" si="7"/>
        <v>32.551046377965733</v>
      </c>
      <c r="D55" s="593">
        <f t="shared" si="8"/>
        <v>-4.6377965730926007E-5</v>
      </c>
      <c r="E55" s="592">
        <f>+'DCF 2S B'!F42</f>
        <v>8.1359650423493982E-2</v>
      </c>
      <c r="F55" s="545">
        <f>+'DCF 2S B'!G42</f>
        <v>1.24</v>
      </c>
      <c r="G55" s="592">
        <f>+'DCF 2S B'!H42</f>
        <v>3.7712895377128949E-2</v>
      </c>
      <c r="H55" s="592">
        <f>+'DCF 2S B'!I42</f>
        <v>4.4999999999999998E-2</v>
      </c>
      <c r="I55" s="592">
        <f>+'DCF 2S B'!J42</f>
        <v>0.03</v>
      </c>
      <c r="J55" s="545">
        <f>+'DCF 2S B'!K42</f>
        <v>1.2585999999999999</v>
      </c>
      <c r="K55" s="545">
        <f>+'DCF 2S B'!L42</f>
        <v>1.2963579999999999</v>
      </c>
      <c r="L55" s="545">
        <f>+'DCF 2S B'!M42</f>
        <v>1.3352487399999999</v>
      </c>
      <c r="M55" s="545">
        <f>+'DCF 2S B'!N42</f>
        <v>1.3753062022</v>
      </c>
      <c r="N55" s="545">
        <f>+'DCF 2S B'!O42</f>
        <v>1.4165653882660001</v>
      </c>
      <c r="O55" s="545">
        <f>+'DCF 2S B'!P42</f>
        <v>1.4590623499139801</v>
      </c>
      <c r="P55" s="545">
        <f>+'DCF 2S B'!Q42</f>
        <v>40.128613254521255</v>
      </c>
    </row>
    <row r="56" spans="1:16">
      <c r="A56" t="str">
        <f t="shared" si="9"/>
        <v>South Jersey Inds.</v>
      </c>
      <c r="B56" s="545">
        <f>+'DCF 2S B'!C43</f>
        <v>57.564500000000002</v>
      </c>
      <c r="C56" s="545">
        <f t="shared" si="7"/>
        <v>57.564604288763704</v>
      </c>
      <c r="D56" s="593">
        <f t="shared" si="8"/>
        <v>-1.0428876370127682E-4</v>
      </c>
      <c r="E56" s="592">
        <f>+'DCF 2S B'!F43</f>
        <v>0.10895378068784004</v>
      </c>
      <c r="F56" s="545">
        <f>+'DCF 2S B'!G43</f>
        <v>1.8120000000000001</v>
      </c>
      <c r="G56" s="592">
        <f>+'DCF 2S B'!H43</f>
        <v>3.077445652173913E-2</v>
      </c>
      <c r="H56" s="592">
        <f>+'DCF 2S B'!I43</f>
        <v>7.4999999999999997E-2</v>
      </c>
      <c r="I56" s="592">
        <f>+'DCF 2S B'!J43</f>
        <v>8.5000000000000006E-2</v>
      </c>
      <c r="J56" s="545">
        <f>+'DCF 2S B'!K43</f>
        <v>1.8890100000000001</v>
      </c>
      <c r="K56" s="545">
        <f>+'DCF 2S B'!L43</f>
        <v>2.0495758500000001</v>
      </c>
      <c r="L56" s="545">
        <f>+'DCF 2S B'!M43</f>
        <v>2.2237897972499998</v>
      </c>
      <c r="M56" s="545">
        <f>+'DCF 2S B'!N43</f>
        <v>2.4128119300162498</v>
      </c>
      <c r="N56" s="545">
        <f>+'DCF 2S B'!O43</f>
        <v>2.6179009440676309</v>
      </c>
      <c r="O56" s="545">
        <f>+'DCF 2S B'!P43</f>
        <v>2.8404225243133796</v>
      </c>
      <c r="P56" s="545">
        <f>+'DCF 2S B'!Q43</f>
        <v>83.655559609909005</v>
      </c>
    </row>
    <row r="57" spans="1:16">
      <c r="A57" t="str">
        <f t="shared" si="9"/>
        <v>Southwest Gas</v>
      </c>
      <c r="B57" s="545">
        <f>+'DCF 2S B'!C44</f>
        <v>47.920999999999999</v>
      </c>
      <c r="C57" s="545">
        <f t="shared" si="7"/>
        <v>47.921008488938966</v>
      </c>
      <c r="D57" s="593">
        <f t="shared" si="8"/>
        <v>-8.4889389668774129E-6</v>
      </c>
      <c r="E57" s="592">
        <f>+'DCF 2S B'!F44</f>
        <v>0.10585276417804794</v>
      </c>
      <c r="F57" s="545">
        <f>+'DCF 2S B'!G44</f>
        <v>1.27</v>
      </c>
      <c r="G57" s="592">
        <f>+'DCF 2S B'!H44</f>
        <v>2.5399999999999999E-2</v>
      </c>
      <c r="H57" s="592">
        <f>+'DCF 2S B'!I44</f>
        <v>0.08</v>
      </c>
      <c r="I57" s="592">
        <f>+'DCF 2S B'!J44</f>
        <v>7.0000000000000007E-2</v>
      </c>
      <c r="J57" s="545">
        <f>+'DCF 2S B'!K44</f>
        <v>1.3144499999999999</v>
      </c>
      <c r="K57" s="545">
        <f>+'DCF 2S B'!L44</f>
        <v>1.4064615</v>
      </c>
      <c r="L57" s="545">
        <f>+'DCF 2S B'!M44</f>
        <v>1.5049138050000002</v>
      </c>
      <c r="M57" s="545">
        <f>+'DCF 2S B'!N44</f>
        <v>1.6102577713500004</v>
      </c>
      <c r="N57" s="545">
        <f>+'DCF 2S B'!O44</f>
        <v>1.7229758153445005</v>
      </c>
      <c r="O57" s="545">
        <f>+'DCF 2S B'!P44</f>
        <v>1.8435841224186156</v>
      </c>
      <c r="P57" s="545">
        <f>+'DCF 2S B'!Q44</f>
        <v>71.310909337270672</v>
      </c>
    </row>
    <row r="58" spans="1:16">
      <c r="C58" s="12"/>
      <c r="D58" s="12"/>
      <c r="E58" s="6"/>
      <c r="G58" s="3"/>
      <c r="H58" s="11"/>
      <c r="I58" s="3"/>
      <c r="N58"/>
      <c r="O58"/>
    </row>
    <row r="59" spans="1:16">
      <c r="A59" s="5" t="s">
        <v>80</v>
      </c>
      <c r="C59" s="12"/>
      <c r="D59" s="12"/>
      <c r="E59" s="63">
        <f>AVERAGE(E51:E57)</f>
        <v>9.8142584146891823E-2</v>
      </c>
      <c r="G59" s="63">
        <f>AVERAGE(G51:G58)</f>
        <v>3.5590980874022807E-2</v>
      </c>
      <c r="H59" s="63">
        <f>AVERAGE(H51:H58)</f>
        <v>6.4285714285714293E-2</v>
      </c>
      <c r="I59" s="63">
        <f>AVERAGE(I51:I58)</f>
        <v>4.3571428571428573E-2</v>
      </c>
      <c r="N59"/>
      <c r="O59"/>
    </row>
    <row r="60" spans="1:16">
      <c r="A60" s="5" t="s">
        <v>43</v>
      </c>
      <c r="E60" s="63">
        <f>STDEV(E51:E57)</f>
        <v>1.5798354755801762E-2</v>
      </c>
      <c r="G60" s="6"/>
      <c r="H60" s="6"/>
      <c r="I60" s="6"/>
      <c r="N60"/>
      <c r="O60"/>
    </row>
    <row r="61" spans="1:16">
      <c r="A61" s="5" t="s">
        <v>21</v>
      </c>
      <c r="E61" s="63">
        <f>+MEDIAN(E51:E57)</f>
        <v>9.5463936639744923E-2</v>
      </c>
      <c r="G61" s="6"/>
      <c r="H61" s="6"/>
      <c r="I61" s="6"/>
      <c r="N61"/>
      <c r="O61"/>
    </row>
    <row r="62" spans="1:16">
      <c r="A62" s="5"/>
      <c r="E62" s="552"/>
      <c r="G62" s="6"/>
      <c r="J62" s="6"/>
      <c r="N62"/>
      <c r="O62"/>
    </row>
    <row r="63" spans="1:16" ht="15.75">
      <c r="A63" s="8" t="s">
        <v>42</v>
      </c>
      <c r="C63" s="9"/>
      <c r="D63" s="9"/>
      <c r="E63" s="558">
        <f>E59</f>
        <v>9.8142584146891823E-2</v>
      </c>
      <c r="F63" s="4" t="str">
        <f>+F28</f>
        <v xml:space="preserve">       30 Day Avg Stock Price</v>
      </c>
      <c r="G63" s="9"/>
      <c r="J63" s="349"/>
      <c r="K63" s="844"/>
      <c r="L63" s="844"/>
      <c r="M63" s="4"/>
      <c r="N63"/>
      <c r="O63"/>
    </row>
    <row r="64" spans="1:16">
      <c r="E64" s="552"/>
      <c r="F64" t="s">
        <v>391</v>
      </c>
      <c r="J64" s="116"/>
      <c r="N64"/>
      <c r="O64"/>
    </row>
    <row r="65" spans="1:15">
      <c r="A65" s="6" t="s">
        <v>303</v>
      </c>
      <c r="E65" s="514">
        <f>+E63-E60</f>
        <v>8.2344229391090068E-2</v>
      </c>
      <c r="J65" s="116"/>
      <c r="N65"/>
      <c r="O65"/>
    </row>
    <row r="66" spans="1:15">
      <c r="E66" s="514">
        <f>+E63+E60</f>
        <v>0.11394093890269358</v>
      </c>
      <c r="J66" s="116"/>
      <c r="N66"/>
      <c r="O66"/>
    </row>
    <row r="67" spans="1:15">
      <c r="L67" s="12"/>
      <c r="M67" s="12"/>
      <c r="N67"/>
      <c r="O67"/>
    </row>
    <row r="68" spans="1:15">
      <c r="B68" s="37" t="str">
        <f>+B33</f>
        <v>Note: dividend growth rates used for dividend forecasts, first year assumed 1/2 year rate;</v>
      </c>
    </row>
    <row r="69" spans="1:15">
      <c r="E69" t="str">
        <f>+E34</f>
        <v xml:space="preserve"> terminal value based upon  75% EPS and 25% Divd. weighted growth rate.</v>
      </c>
    </row>
    <row r="70" spans="1:15">
      <c r="E70" t="str">
        <f>+E35</f>
        <v xml:space="preserve">           Discounted using mid-year convention.</v>
      </c>
    </row>
  </sheetData>
  <mergeCells count="2">
    <mergeCell ref="K28:L28"/>
    <mergeCell ref="K63:L63"/>
  </mergeCells>
  <phoneticPr fontId="3" type="noConversion"/>
  <printOptions horizontalCentered="1"/>
  <pageMargins left="0.75" right="0.75" top="1" bottom="1" header="0.5" footer="0.5"/>
  <pageSetup scale="75" fitToHeight="3" orientation="landscape" r:id="rId1"/>
  <headerFooter alignWithMargins="0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1.2 Adjustments</vt:lpstr>
      <vt:lpstr>1.3 Summary</vt:lpstr>
      <vt:lpstr>1.4a Allowed ROE</vt:lpstr>
      <vt:lpstr>1.4b Allowed ROE</vt:lpstr>
      <vt:lpstr>1.5 Debt &amp; Equity</vt:lpstr>
      <vt:lpstr>1.6 Comps</vt:lpstr>
      <vt:lpstr>1.7 Growth &amp; Beta</vt:lpstr>
      <vt:lpstr>1.8 DCF SS</vt:lpstr>
      <vt:lpstr>1.9 DCF 2S</vt:lpstr>
      <vt:lpstr>1.10 CAPM</vt:lpstr>
      <vt:lpstr>1.11 ROE Compare</vt:lpstr>
      <vt:lpstr>WACC</vt:lpstr>
      <vt:lpstr>Beta Report</vt:lpstr>
      <vt:lpstr>Comp Detail</vt:lpstr>
      <vt:lpstr>DCF 2S B</vt:lpstr>
      <vt:lpstr>Value Line</vt:lpstr>
      <vt:lpstr>Dividends</vt:lpstr>
      <vt:lpstr>'1.10 CAPM'!Print_Area</vt:lpstr>
      <vt:lpstr>'1.2 Adjustments'!Print_Area</vt:lpstr>
      <vt:lpstr>'1.3 Summary'!Print_Area</vt:lpstr>
      <vt:lpstr>'1.4b Allowed ROE'!Print_Area</vt:lpstr>
      <vt:lpstr>'1.5 Debt &amp; Equity'!Print_Area</vt:lpstr>
      <vt:lpstr>'1.6 Comps'!Print_Area</vt:lpstr>
      <vt:lpstr>'1.7 Growth &amp; Beta'!Print_Area</vt:lpstr>
      <vt:lpstr>'1.8 DCF SS'!Print_Area</vt:lpstr>
      <vt:lpstr>'1.9 DCF 2S'!Print_Area</vt:lpstr>
      <vt:lpstr>'Beta Report'!Print_Area</vt:lpstr>
      <vt:lpstr>'Comp Detail'!Print_Area</vt:lpstr>
      <vt:lpstr>'DCF 2S B'!Print_Area</vt:lpstr>
      <vt:lpstr>WACC!Print_Area</vt:lpstr>
      <vt:lpstr>'Comp Detail'!Print_Titles</vt:lpstr>
      <vt:lpstr>'DCF 2S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Miller</dc:creator>
  <cp:lastModifiedBy>laurieharris</cp:lastModifiedBy>
  <cp:lastPrinted>2013-10-29T23:31:45Z</cp:lastPrinted>
  <dcterms:created xsi:type="dcterms:W3CDTF">2005-04-13T20:46:41Z</dcterms:created>
  <dcterms:modified xsi:type="dcterms:W3CDTF">2013-11-01T14:45:47Z</dcterms:modified>
</cp:coreProperties>
</file>