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090" windowHeight="4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Sheet1!$A$1:$O$56</definedName>
  </definedNames>
  <calcPr calcId="152511"/>
</workbook>
</file>

<file path=xl/calcChain.xml><?xml version="1.0" encoding="utf-8"?>
<calcChain xmlns="http://schemas.openxmlformats.org/spreadsheetml/2006/main">
  <c r="C23" i="1"/>
  <c r="D9"/>
  <c r="D35"/>
  <c r="D18"/>
  <c r="D19"/>
  <c r="D23"/>
  <c r="E23"/>
  <c r="E48"/>
  <c r="F44"/>
  <c r="F23"/>
  <c r="G21"/>
  <c r="G5"/>
  <c r="G45"/>
  <c r="G18"/>
  <c r="G3"/>
  <c r="G15"/>
  <c r="G23"/>
  <c r="H18"/>
  <c r="H5"/>
  <c r="H9"/>
  <c r="H30"/>
  <c r="H3"/>
  <c r="H23"/>
  <c r="H10"/>
  <c r="H21"/>
  <c r="H15"/>
  <c r="I3"/>
  <c r="I16"/>
  <c r="I9"/>
  <c r="I5"/>
  <c r="I18"/>
  <c r="J30"/>
  <c r="I23"/>
  <c r="J18"/>
  <c r="J5"/>
  <c r="J9"/>
  <c r="J16"/>
  <c r="J3"/>
  <c r="J10"/>
  <c r="J23"/>
  <c r="K10"/>
  <c r="K18"/>
  <c r="K5"/>
  <c r="K3"/>
  <c r="L23"/>
  <c r="L20"/>
  <c r="L12"/>
  <c r="L9"/>
  <c r="L18"/>
  <c r="L33"/>
  <c r="L13"/>
  <c r="L34"/>
  <c r="L44"/>
  <c r="L5"/>
  <c r="L10" l="1"/>
  <c r="M32"/>
  <c r="M34"/>
  <c r="M44"/>
  <c r="M21"/>
  <c r="M33"/>
  <c r="M11"/>
  <c r="M23"/>
  <c r="M7"/>
  <c r="M18"/>
  <c r="M15"/>
  <c r="M10"/>
  <c r="M31"/>
  <c r="M5"/>
  <c r="M9"/>
  <c r="M54" l="1"/>
  <c r="D54" l="1"/>
  <c r="E54"/>
  <c r="F54"/>
  <c r="G54"/>
  <c r="H54"/>
  <c r="I54"/>
  <c r="J54"/>
  <c r="K54"/>
  <c r="L54"/>
  <c r="C54"/>
  <c r="M56" l="1"/>
</calcChain>
</file>

<file path=xl/sharedStrings.xml><?xml version="1.0" encoding="utf-8"?>
<sst xmlns="http://schemas.openxmlformats.org/spreadsheetml/2006/main" count="53" uniqueCount="53">
  <si>
    <t>FL4</t>
  </si>
  <si>
    <t>FL7</t>
  </si>
  <si>
    <t>FL11</t>
  </si>
  <si>
    <t>FL12</t>
  </si>
  <si>
    <t>FL18</t>
  </si>
  <si>
    <t>FL17</t>
  </si>
  <si>
    <t>FL19</t>
  </si>
  <si>
    <t>FL23</t>
  </si>
  <si>
    <t>FL26</t>
  </si>
  <si>
    <t>FL35</t>
  </si>
  <si>
    <t>FL Totals</t>
  </si>
  <si>
    <t>TOTAL</t>
  </si>
  <si>
    <t>FL6</t>
  </si>
  <si>
    <t>FL8</t>
  </si>
  <si>
    <t>FL13</t>
  </si>
  <si>
    <t>FL14</t>
  </si>
  <si>
    <t>FL5</t>
  </si>
  <si>
    <t>FL10</t>
  </si>
  <si>
    <t>FL16</t>
  </si>
  <si>
    <t>FL20</t>
  </si>
  <si>
    <t>FL21</t>
  </si>
  <si>
    <t>FL22</t>
  </si>
  <si>
    <t>FL24</t>
  </si>
  <si>
    <t>FL25</t>
  </si>
  <si>
    <t>FL34</t>
  </si>
  <si>
    <t>FL36</t>
  </si>
  <si>
    <t>FL38</t>
  </si>
  <si>
    <t>FL41</t>
  </si>
  <si>
    <t>FL50</t>
  </si>
  <si>
    <t>FL44</t>
  </si>
  <si>
    <t>FL46</t>
  </si>
  <si>
    <t>FL68</t>
  </si>
  <si>
    <t>FL71</t>
  </si>
  <si>
    <t>FL110</t>
  </si>
  <si>
    <t>FL42</t>
  </si>
  <si>
    <t>FL64</t>
  </si>
  <si>
    <t>FL70</t>
  </si>
  <si>
    <t>FL31</t>
  </si>
  <si>
    <t>FL53</t>
  </si>
  <si>
    <t>FL89</t>
  </si>
  <si>
    <t>FL52</t>
  </si>
  <si>
    <t>FL90</t>
  </si>
  <si>
    <t>FL81</t>
  </si>
  <si>
    <t>FL32</t>
  </si>
  <si>
    <t>FL74</t>
  </si>
  <si>
    <t>FL80</t>
  </si>
  <si>
    <t>FL83</t>
  </si>
  <si>
    <t>FL28</t>
  </si>
  <si>
    <t>FL27</t>
  </si>
  <si>
    <t>FL43</t>
  </si>
  <si>
    <t>FL29</t>
  </si>
  <si>
    <t>FL#</t>
  </si>
  <si>
    <t>DPU Exhibit 2.27 Dir page 2 of 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</si>
</sst>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5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6" fontId="1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125" zoomScaleNormal="125" workbookViewId="0">
      <pane xSplit="2" ySplit="1" topLeftCell="F49" activePane="bottomRight" state="frozen"/>
      <selection pane="topRight" activeCell="C1" sqref="C1"/>
      <selection pane="bottomLeft" activeCell="A2" sqref="A2"/>
      <selection pane="bottomRight" activeCell="O45" sqref="O45:O56"/>
    </sheetView>
  </sheetViews>
  <sheetFormatPr defaultRowHeight="16.5"/>
  <cols>
    <col min="1" max="1" width="10.140625" style="7" bestFit="1" customWidth="1"/>
    <col min="2" max="2" width="1.42578125" style="2" customWidth="1"/>
    <col min="3" max="7" width="12" style="3" bestFit="1" customWidth="1"/>
    <col min="8" max="12" width="13.28515625" style="3" bestFit="1" customWidth="1"/>
    <col min="13" max="13" width="13.7109375" style="3" bestFit="1" customWidth="1"/>
    <col min="14" max="16384" width="9.140625" style="1"/>
  </cols>
  <sheetData>
    <row r="1" spans="1:13" s="4" customFormat="1">
      <c r="A1" s="6" t="s">
        <v>51</v>
      </c>
      <c r="C1" s="11">
        <v>2002</v>
      </c>
      <c r="D1" s="11">
        <v>2003</v>
      </c>
      <c r="E1" s="11">
        <v>2004</v>
      </c>
      <c r="F1" s="11">
        <v>2005</v>
      </c>
      <c r="G1" s="11">
        <v>2006</v>
      </c>
      <c r="H1" s="11">
        <v>2007</v>
      </c>
      <c r="I1" s="11">
        <v>2008</v>
      </c>
      <c r="J1" s="11">
        <v>2009</v>
      </c>
      <c r="K1" s="11">
        <v>2010</v>
      </c>
      <c r="L1" s="11">
        <v>2011</v>
      </c>
      <c r="M1" s="11">
        <v>2012</v>
      </c>
    </row>
    <row r="2" spans="1:13" s="4" customFormat="1" ht="4.5" customHeight="1">
      <c r="A2" s="6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7" t="s">
        <v>0</v>
      </c>
      <c r="C3" s="10"/>
      <c r="D3" s="10"/>
      <c r="E3" s="10"/>
      <c r="F3" s="10"/>
      <c r="G3" s="10">
        <f>218361+165115+289244+329436+47343</f>
        <v>1049499</v>
      </c>
      <c r="H3" s="10">
        <f>3309496-198+5084+16984+13976+3980+515380</f>
        <v>3864702</v>
      </c>
      <c r="I3" s="10">
        <f>16202197-505712</f>
        <v>15696485</v>
      </c>
      <c r="J3" s="10">
        <f>159857+1377</f>
        <v>161234</v>
      </c>
      <c r="K3" s="10">
        <f>-1233-4786+676232</f>
        <v>670213</v>
      </c>
      <c r="L3" s="10">
        <v>18047</v>
      </c>
      <c r="M3" s="10"/>
    </row>
    <row r="4" spans="1:13">
      <c r="A4" s="7" t="s">
        <v>16</v>
      </c>
      <c r="C4" s="10"/>
      <c r="D4" s="10"/>
      <c r="E4" s="10"/>
      <c r="F4" s="10"/>
      <c r="G4" s="10"/>
      <c r="H4" s="10">
        <v>3592923</v>
      </c>
      <c r="I4" s="10">
        <v>-3530808</v>
      </c>
      <c r="J4" s="10"/>
      <c r="K4" s="10"/>
      <c r="L4" s="10"/>
      <c r="M4" s="10"/>
    </row>
    <row r="5" spans="1:13">
      <c r="A5" s="7" t="s">
        <v>12</v>
      </c>
      <c r="C5" s="10"/>
      <c r="D5" s="10"/>
      <c r="E5" s="10"/>
      <c r="F5" s="10">
        <v>13527</v>
      </c>
      <c r="G5" s="10">
        <f>14928+3126</f>
        <v>18054</v>
      </c>
      <c r="H5" s="10">
        <f>-88+163+869+334</f>
        <v>1278</v>
      </c>
      <c r="I5" s="10">
        <f>100898+29745+2721</f>
        <v>133364</v>
      </c>
      <c r="J5" s="10">
        <f>1310+18596+118556</f>
        <v>138462</v>
      </c>
      <c r="K5" s="10">
        <f>121832+1196+116262</f>
        <v>239290</v>
      </c>
      <c r="L5" s="10">
        <f>133824+50875</f>
        <v>184699</v>
      </c>
      <c r="M5" s="10">
        <f>278-4</f>
        <v>274</v>
      </c>
    </row>
    <row r="6" spans="1:13">
      <c r="A6" s="7" t="s">
        <v>1</v>
      </c>
      <c r="C6" s="10"/>
      <c r="D6" s="10"/>
      <c r="E6" s="10"/>
      <c r="F6" s="10"/>
      <c r="G6" s="10">
        <v>41192</v>
      </c>
      <c r="H6" s="10">
        <v>22893360</v>
      </c>
      <c r="I6" s="10">
        <v>1569235</v>
      </c>
      <c r="J6" s="10">
        <v>-45972</v>
      </c>
      <c r="K6" s="10">
        <v>1873</v>
      </c>
      <c r="L6" s="10">
        <v>13107</v>
      </c>
      <c r="M6" s="10"/>
    </row>
    <row r="7" spans="1:13">
      <c r="A7" s="7" t="s">
        <v>13</v>
      </c>
      <c r="C7" s="10">
        <v>14746</v>
      </c>
      <c r="D7" s="10"/>
      <c r="E7" s="10"/>
      <c r="F7" s="10"/>
      <c r="G7" s="10"/>
      <c r="H7" s="10">
        <v>279</v>
      </c>
      <c r="I7" s="10"/>
      <c r="J7" s="10"/>
      <c r="K7" s="10"/>
      <c r="L7" s="10">
        <v>15726</v>
      </c>
      <c r="M7" s="10">
        <f>-137+1325256</f>
        <v>1325119</v>
      </c>
    </row>
    <row r="8" spans="1:13">
      <c r="A8" s="7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>
        <v>153059</v>
      </c>
      <c r="M8" s="10">
        <v>-31</v>
      </c>
    </row>
    <row r="9" spans="1:13">
      <c r="A9" s="7" t="s">
        <v>2</v>
      </c>
      <c r="C9" s="10"/>
      <c r="D9" s="10">
        <f>17573+20711+11901</f>
        <v>50185</v>
      </c>
      <c r="E9" s="10"/>
      <c r="F9" s="10"/>
      <c r="G9" s="10"/>
      <c r="H9" s="10">
        <f>862591+173445</f>
        <v>1036036</v>
      </c>
      <c r="I9" s="10">
        <f>29431994+13780+118016</f>
        <v>29563790</v>
      </c>
      <c r="J9" s="10">
        <f>307653-4799-18699</f>
        <v>284155</v>
      </c>
      <c r="K9" s="10">
        <v>437160</v>
      </c>
      <c r="L9" s="10">
        <f>-3251+605052</f>
        <v>601801</v>
      </c>
      <c r="M9" s="10">
        <f>-5125-322882</f>
        <v>-328007</v>
      </c>
    </row>
    <row r="10" spans="1:13">
      <c r="A10" s="7" t="s">
        <v>3</v>
      </c>
      <c r="C10" s="10"/>
      <c r="D10" s="10">
        <v>92933</v>
      </c>
      <c r="E10" s="10"/>
      <c r="F10" s="10"/>
      <c r="G10" s="10">
        <v>957</v>
      </c>
      <c r="H10" s="10">
        <f>-432+2473088</f>
        <v>2472656</v>
      </c>
      <c r="I10" s="10">
        <v>50910</v>
      </c>
      <c r="J10" s="10">
        <f>35281-6890</f>
        <v>28391</v>
      </c>
      <c r="K10" s="10">
        <f>3734084+5262843</f>
        <v>8996927</v>
      </c>
      <c r="L10" s="10">
        <f>2607564+14498340+131767</f>
        <v>17237671</v>
      </c>
      <c r="M10" s="10">
        <f>-21228-200529</f>
        <v>-221757</v>
      </c>
    </row>
    <row r="11" spans="1:13">
      <c r="A11" s="7" t="s">
        <v>14</v>
      </c>
      <c r="C11" s="10"/>
      <c r="D11" s="10"/>
      <c r="E11" s="10">
        <v>13997</v>
      </c>
      <c r="F11" s="10"/>
      <c r="G11" s="10"/>
      <c r="H11" s="10"/>
      <c r="I11" s="10"/>
      <c r="J11" s="10">
        <v>3414</v>
      </c>
      <c r="K11" s="10">
        <v>155286</v>
      </c>
      <c r="L11" s="10"/>
      <c r="M11" s="10">
        <f>213+42380</f>
        <v>42593</v>
      </c>
    </row>
    <row r="12" spans="1:13">
      <c r="A12" s="7" t="s">
        <v>15</v>
      </c>
      <c r="C12" s="10"/>
      <c r="D12" s="10"/>
      <c r="E12" s="10"/>
      <c r="F12" s="10"/>
      <c r="G12" s="10"/>
      <c r="H12" s="10"/>
      <c r="I12" s="10"/>
      <c r="J12" s="10"/>
      <c r="K12" s="10">
        <v>36410</v>
      </c>
      <c r="L12" s="10">
        <f>186989+11465</f>
        <v>198454</v>
      </c>
      <c r="M12" s="10">
        <v>16986352</v>
      </c>
    </row>
    <row r="13" spans="1:13">
      <c r="A13" s="7" t="s">
        <v>18</v>
      </c>
      <c r="C13" s="10"/>
      <c r="D13" s="10"/>
      <c r="E13" s="10"/>
      <c r="F13" s="10"/>
      <c r="G13" s="10"/>
      <c r="H13" s="10"/>
      <c r="I13" s="10"/>
      <c r="J13" s="10"/>
      <c r="K13" s="10">
        <v>160143</v>
      </c>
      <c r="L13" s="10">
        <f>102011+32806</f>
        <v>134817</v>
      </c>
      <c r="M13" s="10">
        <v>-6236</v>
      </c>
    </row>
    <row r="14" spans="1:13">
      <c r="A14" s="7" t="s">
        <v>5</v>
      </c>
      <c r="C14" s="10"/>
      <c r="D14" s="10"/>
      <c r="E14" s="10"/>
      <c r="F14" s="10"/>
      <c r="G14" s="10"/>
      <c r="H14" s="10"/>
      <c r="I14" s="10"/>
      <c r="J14" s="10"/>
      <c r="K14" s="10">
        <v>114796</v>
      </c>
      <c r="L14" s="10">
        <v>5844103</v>
      </c>
      <c r="M14" s="10">
        <v>-28650</v>
      </c>
    </row>
    <row r="15" spans="1:13">
      <c r="A15" s="7" t="s">
        <v>4</v>
      </c>
      <c r="C15" s="10"/>
      <c r="D15" s="10"/>
      <c r="E15" s="10">
        <v>56932</v>
      </c>
      <c r="F15" s="10"/>
      <c r="G15" s="10">
        <f>779165+1322717</f>
        <v>2101882</v>
      </c>
      <c r="H15" s="10">
        <f>44845+453784</f>
        <v>498629</v>
      </c>
      <c r="I15" s="10">
        <v>7948</v>
      </c>
      <c r="J15" s="10"/>
      <c r="K15" s="10">
        <v>435381</v>
      </c>
      <c r="L15" s="10">
        <v>2087573</v>
      </c>
      <c r="M15" s="10">
        <f>-21570+270780</f>
        <v>249210</v>
      </c>
    </row>
    <row r="16" spans="1:13">
      <c r="A16" s="7" t="s">
        <v>6</v>
      </c>
      <c r="C16" s="10"/>
      <c r="D16" s="10"/>
      <c r="E16" s="10"/>
      <c r="F16" s="10"/>
      <c r="G16" s="10"/>
      <c r="H16" s="10">
        <v>842092</v>
      </c>
      <c r="I16" s="10">
        <f>3289641+11352+310896+121795</f>
        <v>3733684</v>
      </c>
      <c r="J16" s="10">
        <f>12774311+52762+38942-2899</f>
        <v>12863116</v>
      </c>
      <c r="K16" s="10">
        <v>25915002</v>
      </c>
      <c r="L16" s="10">
        <v>52629</v>
      </c>
      <c r="M16" s="10">
        <v>13510</v>
      </c>
    </row>
    <row r="17" spans="1:13">
      <c r="A17" s="7" t="s">
        <v>19</v>
      </c>
      <c r="C17" s="10"/>
      <c r="D17" s="10"/>
      <c r="E17" s="10"/>
      <c r="F17" s="10"/>
      <c r="G17" s="10"/>
      <c r="H17" s="10"/>
      <c r="I17" s="10"/>
      <c r="J17" s="10">
        <v>352951</v>
      </c>
      <c r="K17" s="10">
        <v>6111</v>
      </c>
      <c r="L17" s="10"/>
      <c r="M17" s="10">
        <v>73248</v>
      </c>
    </row>
    <row r="18" spans="1:13">
      <c r="A18" s="7" t="s">
        <v>20</v>
      </c>
      <c r="C18" s="10"/>
      <c r="D18" s="10">
        <f>83619+202334</f>
        <v>285953</v>
      </c>
      <c r="E18" s="10"/>
      <c r="F18" s="10"/>
      <c r="G18" s="10">
        <f>27321+6429</f>
        <v>33750</v>
      </c>
      <c r="H18" s="10">
        <f>3161+214769-1966+157861</f>
        <v>373825</v>
      </c>
      <c r="I18" s="10">
        <f>-33956+112666</f>
        <v>78710</v>
      </c>
      <c r="J18" s="10">
        <f>13590-30917</f>
        <v>-17327</v>
      </c>
      <c r="K18" s="10">
        <f>28141+2971</f>
        <v>31112</v>
      </c>
      <c r="L18" s="10">
        <f>8025+2746+14358</f>
        <v>25129</v>
      </c>
      <c r="M18" s="10">
        <f>2334+49340+6860</f>
        <v>58534</v>
      </c>
    </row>
    <row r="19" spans="1:13">
      <c r="A19" s="7" t="s">
        <v>21</v>
      </c>
      <c r="C19" s="10"/>
      <c r="D19" s="10">
        <f>46688+2734</f>
        <v>49422</v>
      </c>
      <c r="E19" s="10"/>
      <c r="F19" s="10"/>
      <c r="G19" s="10">
        <v>10110</v>
      </c>
      <c r="H19" s="10"/>
      <c r="I19" s="10"/>
      <c r="J19" s="10"/>
      <c r="K19" s="10"/>
      <c r="L19" s="10">
        <v>27784</v>
      </c>
      <c r="M19" s="10">
        <v>3591</v>
      </c>
    </row>
    <row r="20" spans="1:13">
      <c r="A20" s="7" t="s">
        <v>7</v>
      </c>
      <c r="C20" s="10"/>
      <c r="D20" s="10"/>
      <c r="E20" s="10"/>
      <c r="F20" s="10">
        <v>16356</v>
      </c>
      <c r="G20" s="10">
        <v>952</v>
      </c>
      <c r="H20" s="10">
        <v>52185</v>
      </c>
      <c r="I20" s="10"/>
      <c r="J20" s="10"/>
      <c r="K20" s="10">
        <v>22122</v>
      </c>
      <c r="L20" s="10">
        <f>152275+879210</f>
        <v>1031485</v>
      </c>
      <c r="M20" s="10">
        <v>1558358</v>
      </c>
    </row>
    <row r="21" spans="1:13">
      <c r="A21" s="7" t="s">
        <v>22</v>
      </c>
      <c r="C21" s="10"/>
      <c r="D21" s="10"/>
      <c r="E21" s="10"/>
      <c r="F21" s="10">
        <v>2847</v>
      </c>
      <c r="G21" s="10">
        <f>99493+19157</f>
        <v>118650</v>
      </c>
      <c r="H21" s="10">
        <f>147203+1238</f>
        <v>148441</v>
      </c>
      <c r="I21" s="10">
        <v>71021</v>
      </c>
      <c r="J21" s="10"/>
      <c r="K21" s="10"/>
      <c r="L21" s="10">
        <v>248078</v>
      </c>
      <c r="M21" s="10">
        <f>591424+101459</f>
        <v>692883</v>
      </c>
    </row>
    <row r="22" spans="1:13">
      <c r="A22" s="7" t="s">
        <v>23</v>
      </c>
      <c r="C22" s="10"/>
      <c r="D22" s="10"/>
      <c r="E22" s="10"/>
      <c r="F22" s="10"/>
      <c r="G22" s="10"/>
      <c r="H22" s="10"/>
      <c r="I22" s="10"/>
      <c r="J22" s="10"/>
      <c r="K22" s="10">
        <v>2711638</v>
      </c>
      <c r="L22" s="10">
        <v>24047593</v>
      </c>
      <c r="M22" s="10">
        <v>6605402</v>
      </c>
    </row>
    <row r="23" spans="1:13">
      <c r="A23" s="7" t="s">
        <v>8</v>
      </c>
      <c r="C23" s="10">
        <f>7192894+48098</f>
        <v>7240992</v>
      </c>
      <c r="D23" s="10">
        <f>6544354</f>
        <v>6544354</v>
      </c>
      <c r="E23" s="10">
        <f>7464143+14874</f>
        <v>7479017</v>
      </c>
      <c r="F23" s="10">
        <f>214151+2499999</f>
        <v>2714150</v>
      </c>
      <c r="G23" s="10">
        <f>38138+75990+2706188+325+48940</f>
        <v>2869581</v>
      </c>
      <c r="H23" s="10">
        <f>6092311+118927+7388603+149592</f>
        <v>13749433</v>
      </c>
      <c r="I23" s="10">
        <f>952928-857656</f>
        <v>95272</v>
      </c>
      <c r="J23" s="10">
        <f>4368+12601+30+366+9473</f>
        <v>26838</v>
      </c>
      <c r="K23" s="10"/>
      <c r="L23" s="10">
        <f>6964+194361+125321+1682785</f>
        <v>2009431</v>
      </c>
      <c r="M23" s="10">
        <f>-3333+29568</f>
        <v>26235</v>
      </c>
    </row>
    <row r="24" spans="1:13">
      <c r="A24" s="7" t="s">
        <v>48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7" t="s">
        <v>47</v>
      </c>
      <c r="C25" s="10"/>
      <c r="D25" s="10">
        <v>1518</v>
      </c>
      <c r="E25" s="10">
        <v>19896</v>
      </c>
      <c r="F25" s="10"/>
      <c r="G25" s="10"/>
      <c r="H25" s="10"/>
      <c r="I25" s="10"/>
      <c r="J25" s="10"/>
      <c r="K25" s="10"/>
      <c r="L25" s="10"/>
      <c r="M25" s="10"/>
    </row>
    <row r="26" spans="1:13">
      <c r="A26" s="7" t="s">
        <v>50</v>
      </c>
      <c r="C26" s="10">
        <v>1292</v>
      </c>
      <c r="D26" s="10">
        <v>83141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7" t="s">
        <v>37</v>
      </c>
      <c r="C27" s="10"/>
      <c r="D27" s="10"/>
      <c r="E27" s="10"/>
      <c r="F27" s="10"/>
      <c r="G27" s="10"/>
      <c r="H27" s="10"/>
      <c r="I27" s="10"/>
      <c r="J27" s="10"/>
      <c r="K27" s="10"/>
      <c r="L27" s="10">
        <v>3210</v>
      </c>
      <c r="M27" s="10"/>
    </row>
    <row r="28" spans="1:13">
      <c r="A28" s="7" t="s">
        <v>43</v>
      </c>
      <c r="C28" s="10"/>
      <c r="D28" s="10"/>
      <c r="E28" s="10">
        <v>4909</v>
      </c>
      <c r="F28" s="10">
        <v>7432</v>
      </c>
      <c r="G28" s="10">
        <v>84494</v>
      </c>
      <c r="H28" s="10"/>
      <c r="I28" s="10"/>
      <c r="J28" s="10"/>
      <c r="K28" s="10"/>
      <c r="L28" s="10"/>
      <c r="M28" s="10"/>
    </row>
    <row r="29" spans="1:13">
      <c r="A29" s="7" t="s">
        <v>24</v>
      </c>
      <c r="C29" s="10"/>
      <c r="D29" s="10"/>
      <c r="E29" s="10"/>
      <c r="F29" s="10"/>
      <c r="G29" s="10"/>
      <c r="H29" s="10"/>
      <c r="I29" s="10"/>
      <c r="J29" s="10">
        <v>6190</v>
      </c>
      <c r="K29" s="10">
        <v>240103</v>
      </c>
      <c r="L29" s="10">
        <v>9396</v>
      </c>
      <c r="M29" s="10">
        <v>-2280</v>
      </c>
    </row>
    <row r="30" spans="1:13">
      <c r="A30" s="7" t="s">
        <v>9</v>
      </c>
      <c r="C30" s="10"/>
      <c r="D30" s="10"/>
      <c r="E30" s="10">
        <v>234</v>
      </c>
      <c r="F30" s="10"/>
      <c r="G30" s="10"/>
      <c r="H30" s="10">
        <f>59366+286079</f>
        <v>345445</v>
      </c>
      <c r="I30" s="10"/>
      <c r="J30" s="10">
        <f>-2301+72</f>
        <v>-2229</v>
      </c>
      <c r="K30" s="10"/>
      <c r="L30" s="10">
        <v>3490886</v>
      </c>
      <c r="M30" s="10">
        <v>25751239</v>
      </c>
    </row>
    <row r="31" spans="1:13">
      <c r="A31" s="7" t="s">
        <v>25</v>
      </c>
      <c r="C31" s="10"/>
      <c r="D31" s="10"/>
      <c r="E31" s="10"/>
      <c r="F31" s="10"/>
      <c r="G31" s="10">
        <v>53914</v>
      </c>
      <c r="H31" s="10">
        <v>45831</v>
      </c>
      <c r="I31" s="10"/>
      <c r="J31" s="10"/>
      <c r="K31" s="10"/>
      <c r="L31" s="10">
        <v>80401</v>
      </c>
      <c r="M31" s="10">
        <f>154287+139168+51995</f>
        <v>345450</v>
      </c>
    </row>
    <row r="32" spans="1:13">
      <c r="A32" s="7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20359</v>
      </c>
      <c r="M32" s="10">
        <f>5841+32340</f>
        <v>38181</v>
      </c>
    </row>
    <row r="33" spans="1:15">
      <c r="A33" s="7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f>59888+50754+35454</f>
        <v>146096</v>
      </c>
      <c r="M33" s="10">
        <f>2611741+1083+409+504</f>
        <v>2613737</v>
      </c>
    </row>
    <row r="34" spans="1:15">
      <c r="A34" s="7" t="s">
        <v>34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f>12393+169420</f>
        <v>181813</v>
      </c>
      <c r="M34" s="10">
        <f>-11310-85+2794</f>
        <v>-8601</v>
      </c>
    </row>
    <row r="35" spans="1:15">
      <c r="A35" s="7" t="s">
        <v>49</v>
      </c>
      <c r="C35" s="10"/>
      <c r="D35" s="10">
        <f>24923+7657</f>
        <v>32580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5">
      <c r="A36" s="7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>
        <v>85668</v>
      </c>
      <c r="M36" s="10">
        <v>8546</v>
      </c>
    </row>
    <row r="37" spans="1:15">
      <c r="A37" s="7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203449</v>
      </c>
      <c r="M37" s="10">
        <v>256</v>
      </c>
    </row>
    <row r="38" spans="1:15">
      <c r="A38" s="7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10">
        <v>58472</v>
      </c>
      <c r="M38" s="10">
        <v>2710991</v>
      </c>
    </row>
    <row r="39" spans="1:15">
      <c r="A39" s="7" t="s">
        <v>40</v>
      </c>
      <c r="C39" s="10"/>
      <c r="D39" s="10"/>
      <c r="E39" s="10"/>
      <c r="F39" s="10">
        <v>1552</v>
      </c>
      <c r="G39" s="10"/>
      <c r="H39" s="10"/>
      <c r="I39" s="10"/>
      <c r="J39" s="10">
        <v>53362</v>
      </c>
      <c r="K39" s="10">
        <v>324666</v>
      </c>
      <c r="L39" s="10">
        <v>2055</v>
      </c>
      <c r="M39" s="10"/>
    </row>
    <row r="40" spans="1:15">
      <c r="A40" s="7" t="s">
        <v>38</v>
      </c>
      <c r="C40" s="10"/>
      <c r="D40" s="10"/>
      <c r="E40" s="10">
        <v>42529</v>
      </c>
      <c r="F40" s="10"/>
      <c r="G40" s="10">
        <v>5580</v>
      </c>
      <c r="H40" s="10"/>
      <c r="I40" s="10"/>
      <c r="J40" s="10"/>
      <c r="K40" s="10"/>
      <c r="L40" s="10">
        <v>5015</v>
      </c>
      <c r="M40" s="10"/>
    </row>
    <row r="41" spans="1:15">
      <c r="A41" s="7" t="s">
        <v>35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52902</v>
      </c>
    </row>
    <row r="42" spans="1:15">
      <c r="A42" s="7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>
        <v>191743</v>
      </c>
      <c r="M42" s="10">
        <v>262</v>
      </c>
    </row>
    <row r="43" spans="1:15">
      <c r="A43" s="7" t="s">
        <v>36</v>
      </c>
      <c r="C43" s="10"/>
      <c r="D43" s="10">
        <v>506</v>
      </c>
      <c r="E43" s="10"/>
      <c r="F43" s="10"/>
      <c r="G43" s="10"/>
      <c r="H43" s="10"/>
      <c r="I43" s="10"/>
      <c r="J43" s="10"/>
      <c r="K43" s="10"/>
      <c r="L43" s="10">
        <v>55403</v>
      </c>
      <c r="M43" s="10"/>
    </row>
    <row r="44" spans="1:15">
      <c r="A44" s="7" t="s">
        <v>32</v>
      </c>
      <c r="C44" s="10"/>
      <c r="D44" s="10">
        <v>86899</v>
      </c>
      <c r="E44" s="10"/>
      <c r="F44" s="10">
        <f>82939+324027+110934+157120</f>
        <v>675020</v>
      </c>
      <c r="G44" s="10">
        <v>46212</v>
      </c>
      <c r="H44" s="10">
        <v>175144</v>
      </c>
      <c r="I44" s="10">
        <v>9110</v>
      </c>
      <c r="J44" s="10">
        <v>116783</v>
      </c>
      <c r="K44" s="10">
        <v>3467</v>
      </c>
      <c r="L44" s="10">
        <f>171787+112287</f>
        <v>284074</v>
      </c>
      <c r="M44" s="10">
        <f>33515+82124</f>
        <v>115639</v>
      </c>
    </row>
    <row r="45" spans="1:15">
      <c r="A45" s="7" t="s">
        <v>44</v>
      </c>
      <c r="C45" s="10"/>
      <c r="D45" s="10"/>
      <c r="E45" s="10"/>
      <c r="F45" s="10"/>
      <c r="G45" s="10">
        <f>173521+10628</f>
        <v>184149</v>
      </c>
      <c r="H45" s="10"/>
      <c r="I45" s="10"/>
      <c r="J45" s="10"/>
      <c r="K45" s="10"/>
      <c r="L45" s="10"/>
      <c r="M45" s="10"/>
      <c r="O45" s="12" t="s">
        <v>52</v>
      </c>
    </row>
    <row r="46" spans="1:15">
      <c r="A46" s="7" t="s">
        <v>45</v>
      </c>
      <c r="C46" s="10"/>
      <c r="D46" s="10"/>
      <c r="E46" s="10"/>
      <c r="F46" s="10">
        <v>75365</v>
      </c>
      <c r="G46" s="10"/>
      <c r="H46" s="10"/>
      <c r="I46" s="10"/>
      <c r="J46" s="10"/>
      <c r="K46" s="10"/>
      <c r="L46" s="10"/>
      <c r="M46" s="10"/>
      <c r="O46" s="12"/>
    </row>
    <row r="47" spans="1:15">
      <c r="A47" s="7" t="s">
        <v>42</v>
      </c>
      <c r="C47" s="10"/>
      <c r="D47" s="10"/>
      <c r="E47" s="10"/>
      <c r="F47" s="10"/>
      <c r="G47" s="10"/>
      <c r="H47" s="10"/>
      <c r="I47" s="10">
        <v>401241</v>
      </c>
      <c r="J47" s="10">
        <v>24681</v>
      </c>
      <c r="K47" s="10"/>
      <c r="L47" s="10"/>
      <c r="M47" s="10"/>
      <c r="O47" s="12"/>
    </row>
    <row r="48" spans="1:15">
      <c r="A48" s="7" t="s">
        <v>46</v>
      </c>
      <c r="C48" s="10"/>
      <c r="D48" s="10"/>
      <c r="E48" s="10">
        <f>275291+86607</f>
        <v>361898</v>
      </c>
      <c r="F48" s="10"/>
      <c r="G48" s="10"/>
      <c r="H48" s="10"/>
      <c r="I48" s="10"/>
      <c r="J48" s="10"/>
      <c r="K48" s="10"/>
      <c r="L48" s="10"/>
      <c r="M48" s="10"/>
      <c r="O48" s="12"/>
    </row>
    <row r="49" spans="1:15">
      <c r="A49" s="7" t="s">
        <v>39</v>
      </c>
      <c r="C49" s="10">
        <v>416215</v>
      </c>
      <c r="D49" s="10"/>
      <c r="E49" s="10"/>
      <c r="F49" s="10"/>
      <c r="G49" s="10"/>
      <c r="H49" s="10"/>
      <c r="I49" s="10"/>
      <c r="J49" s="10">
        <v>49200</v>
      </c>
      <c r="K49" s="10"/>
      <c r="L49" s="10">
        <v>15762</v>
      </c>
      <c r="M49" s="10"/>
      <c r="O49" s="12"/>
    </row>
    <row r="50" spans="1:15">
      <c r="A50" s="7" t="s">
        <v>41</v>
      </c>
      <c r="C50" s="10"/>
      <c r="D50" s="10"/>
      <c r="E50" s="10"/>
      <c r="F50" s="10"/>
      <c r="G50" s="10"/>
      <c r="H50" s="10"/>
      <c r="I50" s="10"/>
      <c r="J50" s="10">
        <v>16494</v>
      </c>
      <c r="K50" s="10">
        <v>48372</v>
      </c>
      <c r="L50" s="10"/>
      <c r="M50" s="10"/>
      <c r="O50" s="12"/>
    </row>
    <row r="51" spans="1:15">
      <c r="A51" s="7" t="s">
        <v>33</v>
      </c>
      <c r="C51" s="10"/>
      <c r="D51" s="10"/>
      <c r="E51" s="10"/>
      <c r="F51" s="10"/>
      <c r="G51" s="10"/>
      <c r="H51" s="10"/>
      <c r="I51" s="10"/>
      <c r="J51" s="10">
        <v>21560</v>
      </c>
      <c r="K51" s="10">
        <v>97899</v>
      </c>
      <c r="L51" s="10">
        <v>2544</v>
      </c>
      <c r="M51" s="10">
        <v>96741</v>
      </c>
      <c r="O51" s="12"/>
    </row>
    <row r="52" spans="1:15" ht="4.5" customHeight="1" thickBo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2"/>
    </row>
    <row r="53" spans="1:15" ht="5.25" customHeight="1" thickTop="1">
      <c r="O53" s="12"/>
    </row>
    <row r="54" spans="1:15">
      <c r="A54" s="7" t="s">
        <v>10</v>
      </c>
      <c r="C54" s="3">
        <f>SUM(C3:C51)</f>
        <v>7673245</v>
      </c>
      <c r="D54" s="3">
        <f t="shared" ref="D54:L54" si="0">SUM(D3:D51)</f>
        <v>7227491</v>
      </c>
      <c r="E54" s="3">
        <f t="shared" si="0"/>
        <v>7979412</v>
      </c>
      <c r="F54" s="3">
        <f t="shared" si="0"/>
        <v>3506249</v>
      </c>
      <c r="G54" s="3">
        <f t="shared" si="0"/>
        <v>6618976</v>
      </c>
      <c r="H54" s="3">
        <f t="shared" si="0"/>
        <v>50092259</v>
      </c>
      <c r="I54" s="3">
        <f t="shared" si="0"/>
        <v>47879962</v>
      </c>
      <c r="J54" s="3">
        <f t="shared" si="0"/>
        <v>14081303</v>
      </c>
      <c r="K54" s="3">
        <f t="shared" si="0"/>
        <v>40647971</v>
      </c>
      <c r="L54" s="3">
        <f t="shared" si="0"/>
        <v>58767532</v>
      </c>
      <c r="M54" s="3">
        <f>SUM(M3:M51)</f>
        <v>58773691</v>
      </c>
      <c r="O54" s="12"/>
    </row>
    <row r="55" spans="1:15">
      <c r="O55" s="12"/>
    </row>
    <row r="56" spans="1:15" ht="18.75" customHeight="1">
      <c r="A56" s="7" t="s">
        <v>11</v>
      </c>
      <c r="L56" s="8"/>
      <c r="M56" s="8">
        <f>SUM(C54:M54)</f>
        <v>303248091</v>
      </c>
      <c r="O56" s="12"/>
    </row>
  </sheetData>
  <mergeCells count="1">
    <mergeCell ref="O45:O56"/>
  </mergeCells>
  <pageMargins left="0" right="0" top="1.5" bottom="0.75" header="0.75" footer="0.3"/>
  <pageSetup scale="52" orientation="landscape" r:id="rId1"/>
  <headerFooter>
    <oddHeader>&amp;C&amp;"Book Antiqua,Bold"&amp;20DPU 14.6 - FEEDERLINE REPLACEMENT COSTS BY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 Young</dc:creator>
  <cp:lastModifiedBy>laurieharris</cp:lastModifiedBy>
  <cp:lastPrinted>2013-10-29T21:32:27Z</cp:lastPrinted>
  <dcterms:created xsi:type="dcterms:W3CDTF">2013-09-10T19:23:10Z</dcterms:created>
  <dcterms:modified xsi:type="dcterms:W3CDTF">2013-11-01T17:08:50Z</dcterms:modified>
</cp:coreProperties>
</file>