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20" yWindow="1470" windowWidth="7680" windowHeight="9120" tabRatio="915" activeTab="5"/>
  </bookViews>
  <sheets>
    <sheet name="1.1 SR Summary" sheetId="15" r:id="rId1"/>
    <sheet name="1.2 SR Allowed ROE" sheetId="60" r:id="rId2"/>
    <sheet name="1.3 SR DCF SS" sheetId="18" r:id="rId3"/>
    <sheet name="1.4 DCF 2S" sheetId="6" r:id="rId4"/>
    <sheet name="1.5 CAPM" sheetId="2" r:id="rId5"/>
    <sheet name="1.6 ROE Compare" sheetId="54" r:id="rId6"/>
    <sheet name="WACC" sheetId="40" r:id="rId7"/>
    <sheet name="Beta Report" sheetId="43" r:id="rId8"/>
    <sheet name="Comp Detail" sheetId="55" r:id="rId9"/>
    <sheet name="DCF 2S B" sheetId="30" r:id="rId10"/>
    <sheet name="Comps" sheetId="14" r:id="rId11"/>
    <sheet name="Growth &amp; Beta" sheetId="44" r:id="rId12"/>
    <sheet name="Value Line" sheetId="57" r:id="rId13"/>
    <sheet name="Dividends" sheetId="52" r:id="rId14"/>
    <sheet name="Sheet1" sheetId="61" r:id="rId15"/>
  </sheets>
  <definedNames>
    <definedName name="_xlnm.Print_Area" localSheetId="0">'1.1 SR Summary'!$A$1:$M$55</definedName>
    <definedName name="_xlnm.Print_Area" localSheetId="1">'1.2 SR Allowed ROE'!$A$1:$U$228</definedName>
    <definedName name="_xlnm.Print_Area" localSheetId="2">'1.3 SR DCF SS'!$A$37:$U$70</definedName>
    <definedName name="_xlnm.Print_Area" localSheetId="3">'1.4 DCF 2S'!$A$1:$P$74</definedName>
    <definedName name="_xlnm.Print_Area" localSheetId="4">'1.5 CAPM'!$A$1:$X$41</definedName>
    <definedName name="_xlnm.Print_Area" localSheetId="7">'Beta Report'!$A$1:$J$26</definedName>
    <definedName name="_xlnm.Print_Area" localSheetId="8">'Comp Detail'!$A$1:$BQ$34</definedName>
    <definedName name="_xlnm.Print_Area" localSheetId="10">Comps!$B$1:$S$57</definedName>
    <definedName name="_xlnm.Print_Area" localSheetId="9">'DCF 2S B'!$A$1:$Q$179</definedName>
    <definedName name="_xlnm.Print_Area" localSheetId="11">'Growth &amp; Beta'!$A$1:$I$43</definedName>
    <definedName name="_xlnm.Print_Area" localSheetId="6">WACC!$A$1:$F$20</definedName>
    <definedName name="_xlnm.Print_Titles" localSheetId="1">'1.2 SR Allowed ROE'!$72:$73</definedName>
    <definedName name="_xlnm.Print_Titles" localSheetId="8">'Comp Detail'!$A:$A</definedName>
    <definedName name="_xlnm.Print_Titles" localSheetId="9">'DCF 2S B'!$3:$5</definedName>
  </definedNames>
  <calcPr calcId="125725"/>
</workbook>
</file>

<file path=xl/calcChain.xml><?xml version="1.0" encoding="utf-8"?>
<calcChain xmlns="http://schemas.openxmlformats.org/spreadsheetml/2006/main">
  <c r="L51" i="15"/>
  <c r="L50"/>
  <c r="U22" i="54"/>
  <c r="U13"/>
  <c r="U18"/>
  <c r="R9"/>
  <c r="S9"/>
  <c r="T9" s="1"/>
  <c r="R13"/>
  <c r="S13"/>
  <c r="T13"/>
  <c r="R18"/>
  <c r="S18"/>
  <c r="R22"/>
  <c r="S22"/>
  <c r="F171" i="2"/>
  <c r="F170"/>
  <c r="F169"/>
  <c r="F168"/>
  <c r="F167"/>
  <c r="F166"/>
  <c r="F165"/>
  <c r="F164"/>
  <c r="F163"/>
  <c r="E163"/>
  <c r="B173"/>
  <c r="B170"/>
  <c r="B169"/>
  <c r="B168"/>
  <c r="B167"/>
  <c r="B165"/>
  <c r="B164"/>
  <c r="B163"/>
  <c r="J23"/>
  <c r="F173" s="1"/>
  <c r="K20" i="54"/>
  <c r="J20"/>
  <c r="I20"/>
  <c r="H20"/>
  <c r="G20"/>
  <c r="Q18"/>
  <c r="P18"/>
  <c r="Q13"/>
  <c r="P13"/>
  <c r="S96" i="2"/>
  <c r="N102"/>
  <c r="G102"/>
  <c r="H97"/>
  <c r="G97"/>
  <c r="B102"/>
  <c r="B171" s="1"/>
  <c r="B97"/>
  <c r="N97" s="1"/>
  <c r="V23"/>
  <c r="N21"/>
  <c r="N16"/>
  <c r="V21"/>
  <c r="U21"/>
  <c r="S102" s="1"/>
  <c r="V16"/>
  <c r="U16"/>
  <c r="S97" s="1"/>
  <c r="G20" i="43"/>
  <c r="F20"/>
  <c r="E20"/>
  <c r="B20"/>
  <c r="C102" i="2" s="1"/>
  <c r="G15" i="43"/>
  <c r="F15"/>
  <c r="E15"/>
  <c r="B15"/>
  <c r="C97" i="2" s="1"/>
  <c r="E61" i="6"/>
  <c r="E56"/>
  <c r="E24"/>
  <c r="E19"/>
  <c r="J20" i="14"/>
  <c r="J15"/>
  <c r="G21" i="55"/>
  <c r="F21"/>
  <c r="D21"/>
  <c r="G16"/>
  <c r="F16"/>
  <c r="D16"/>
  <c r="C81" i="30"/>
  <c r="C138" s="1"/>
  <c r="B24" i="6" s="1"/>
  <c r="C76" i="30"/>
  <c r="L60" i="18"/>
  <c r="K60"/>
  <c r="L55"/>
  <c r="K55"/>
  <c r="L54"/>
  <c r="L24"/>
  <c r="L19"/>
  <c r="E24"/>
  <c r="A24"/>
  <c r="K24" s="1"/>
  <c r="A19"/>
  <c r="K19" s="1"/>
  <c r="C22" i="30"/>
  <c r="C17"/>
  <c r="B20" i="44"/>
  <c r="R21" i="55" s="1"/>
  <c r="B15" i="44"/>
  <c r="R16" i="55" s="1"/>
  <c r="F23" i="44"/>
  <c r="E23"/>
  <c r="F22"/>
  <c r="E22"/>
  <c r="D23"/>
  <c r="D22"/>
  <c r="A39"/>
  <c r="A34"/>
  <c r="I39"/>
  <c r="H39"/>
  <c r="O21" i="2" s="1"/>
  <c r="I34" i="44"/>
  <c r="H34"/>
  <c r="O16" i="2" s="1"/>
  <c r="I20" i="44"/>
  <c r="H20"/>
  <c r="I138" i="30" s="1"/>
  <c r="I15" i="44"/>
  <c r="H15"/>
  <c r="I133" i="30" s="1"/>
  <c r="C27" i="52"/>
  <c r="J8"/>
  <c r="I8"/>
  <c r="T8" s="1"/>
  <c r="H8"/>
  <c r="S8" s="1"/>
  <c r="G8"/>
  <c r="F8"/>
  <c r="Q8" s="1"/>
  <c r="E8"/>
  <c r="P8" s="1"/>
  <c r="D8"/>
  <c r="O8" s="1"/>
  <c r="C8"/>
  <c r="B8"/>
  <c r="J13"/>
  <c r="I13"/>
  <c r="H13"/>
  <c r="R13" s="1"/>
  <c r="G13"/>
  <c r="Q13" s="1"/>
  <c r="F13"/>
  <c r="E13"/>
  <c r="D13"/>
  <c r="N13" s="1"/>
  <c r="C13"/>
  <c r="M13" s="1"/>
  <c r="B13"/>
  <c r="M8"/>
  <c r="K13"/>
  <c r="B32" s="1"/>
  <c r="K8"/>
  <c r="B27" s="1"/>
  <c r="L13"/>
  <c r="L8"/>
  <c r="T13"/>
  <c r="S13"/>
  <c r="P13"/>
  <c r="O13"/>
  <c r="N8"/>
  <c r="L32"/>
  <c r="P24" i="18" s="1"/>
  <c r="L27" i="52"/>
  <c r="F19" i="18" s="1"/>
  <c r="F55" s="1"/>
  <c r="A32" i="52"/>
  <c r="A27"/>
  <c r="X31" i="57"/>
  <c r="W31"/>
  <c r="V31"/>
  <c r="U31"/>
  <c r="R31"/>
  <c r="Q31"/>
  <c r="P31"/>
  <c r="O31"/>
  <c r="N31"/>
  <c r="M31"/>
  <c r="L31"/>
  <c r="K31"/>
  <c r="J31"/>
  <c r="I31"/>
  <c r="H31"/>
  <c r="G31"/>
  <c r="X30"/>
  <c r="W30"/>
  <c r="V30"/>
  <c r="U30"/>
  <c r="R30"/>
  <c r="S28"/>
  <c r="Q30"/>
  <c r="P30"/>
  <c r="O30"/>
  <c r="N30"/>
  <c r="M30"/>
  <c r="L30"/>
  <c r="K30"/>
  <c r="J30"/>
  <c r="I30"/>
  <c r="H30"/>
  <c r="G30"/>
  <c r="F31"/>
  <c r="F30"/>
  <c r="D30"/>
  <c r="D31"/>
  <c r="S23"/>
  <c r="S22"/>
  <c r="C16" i="2" l="1"/>
  <c r="C107" i="30"/>
  <c r="C21" i="2"/>
  <c r="T22" i="54"/>
  <c r="T18"/>
  <c r="B22" i="30"/>
  <c r="B138" s="1"/>
  <c r="A24" i="6" s="1"/>
  <c r="A61" s="1"/>
  <c r="B17" i="30"/>
  <c r="B133" s="1"/>
  <c r="A19" i="6" s="1"/>
  <c r="A56" s="1"/>
  <c r="O19" i="18"/>
  <c r="O55" s="1"/>
  <c r="O24"/>
  <c r="S24" s="1"/>
  <c r="S21" i="55"/>
  <c r="H19" i="6"/>
  <c r="I159" i="30"/>
  <c r="I164"/>
  <c r="H24" i="6"/>
  <c r="R8" i="52"/>
  <c r="J22" i="30"/>
  <c r="P60" i="18"/>
  <c r="D27" i="52"/>
  <c r="E27" s="1"/>
  <c r="F27" s="1"/>
  <c r="G27" s="1"/>
  <c r="C19" i="18"/>
  <c r="C164" i="30"/>
  <c r="B166" i="2"/>
  <c r="F24" i="18"/>
  <c r="F60" s="1"/>
  <c r="P19"/>
  <c r="C43" i="30"/>
  <c r="B56" i="6" s="1"/>
  <c r="E60" i="18"/>
  <c r="E19"/>
  <c r="C102" i="30"/>
  <c r="C133"/>
  <c r="S16" i="55"/>
  <c r="I15" i="43"/>
  <c r="I20"/>
  <c r="J20"/>
  <c r="J15"/>
  <c r="C48" i="30"/>
  <c r="B61" i="6" s="1"/>
  <c r="H27" i="52"/>
  <c r="I27" s="1"/>
  <c r="J27" s="1"/>
  <c r="K27"/>
  <c r="V13"/>
  <c r="C32" s="1"/>
  <c r="J14" i="61"/>
  <c r="J15" s="1"/>
  <c r="K15"/>
  <c r="I14"/>
  <c r="I13"/>
  <c r="I12"/>
  <c r="I11"/>
  <c r="K9"/>
  <c r="K16" s="1"/>
  <c r="J9"/>
  <c r="I8"/>
  <c r="I7"/>
  <c r="I9" s="1"/>
  <c r="K36"/>
  <c r="J36"/>
  <c r="I35"/>
  <c r="I34"/>
  <c r="I33"/>
  <c r="I32"/>
  <c r="I29"/>
  <c r="K29" s="1"/>
  <c r="K30" s="1"/>
  <c r="K37" s="1"/>
  <c r="I28"/>
  <c r="J28" s="1"/>
  <c r="J30" s="1"/>
  <c r="J37" s="1"/>
  <c r="E26"/>
  <c r="C26"/>
  <c r="F35"/>
  <c r="C30"/>
  <c r="D30" s="1"/>
  <c r="E30"/>
  <c r="F30" s="1"/>
  <c r="C35"/>
  <c r="D34" s="1"/>
  <c r="E35"/>
  <c r="F34" s="1"/>
  <c r="B34"/>
  <c r="B33"/>
  <c r="B30"/>
  <c r="B35" s="1"/>
  <c r="A27"/>
  <c r="E22"/>
  <c r="F21" s="1"/>
  <c r="F18"/>
  <c r="C22"/>
  <c r="D21" s="1"/>
  <c r="B22"/>
  <c r="B20"/>
  <c r="B18"/>
  <c r="B17"/>
  <c r="B16"/>
  <c r="E12"/>
  <c r="E13" s="1"/>
  <c r="F10" s="1"/>
  <c r="C12"/>
  <c r="C13" s="1"/>
  <c r="D13" s="1"/>
  <c r="O60" i="18" l="1"/>
  <c r="S60" s="1"/>
  <c r="I60"/>
  <c r="S19"/>
  <c r="B164" i="30"/>
  <c r="I17"/>
  <c r="I76" s="1"/>
  <c r="I102" s="1"/>
  <c r="B43"/>
  <c r="B76" s="1"/>
  <c r="B102" s="1"/>
  <c r="B159"/>
  <c r="B48"/>
  <c r="B81" s="1"/>
  <c r="B107" s="1"/>
  <c r="I22"/>
  <c r="I48" s="1"/>
  <c r="H61" i="6" s="1"/>
  <c r="I30" i="61"/>
  <c r="J17" i="30"/>
  <c r="P55" i="18"/>
  <c r="S55" s="1"/>
  <c r="F29" i="61"/>
  <c r="I24" i="18"/>
  <c r="D32" i="52"/>
  <c r="E32" s="1"/>
  <c r="F32" s="1"/>
  <c r="G32" s="1"/>
  <c r="C24" i="18"/>
  <c r="B19" i="6"/>
  <c r="C159" i="30"/>
  <c r="C55" i="18"/>
  <c r="M19"/>
  <c r="N19" s="1"/>
  <c r="G17" i="30"/>
  <c r="D19" i="18"/>
  <c r="F33" i="61"/>
  <c r="J16"/>
  <c r="J17" s="1"/>
  <c r="I19" i="18"/>
  <c r="E55"/>
  <c r="I55" s="1"/>
  <c r="J48" i="30"/>
  <c r="I61" i="6" s="1"/>
  <c r="J81" i="30"/>
  <c r="J107" s="1"/>
  <c r="J138" s="1"/>
  <c r="I15" i="61"/>
  <c r="I16" s="1"/>
  <c r="K17"/>
  <c r="I36"/>
  <c r="I37" s="1"/>
  <c r="J38" s="1"/>
  <c r="D29"/>
  <c r="D33"/>
  <c r="D35"/>
  <c r="D16"/>
  <c r="D28"/>
  <c r="F28"/>
  <c r="D20"/>
  <c r="D18"/>
  <c r="D22"/>
  <c r="D8"/>
  <c r="D10"/>
  <c r="D12"/>
  <c r="D9"/>
  <c r="D11"/>
  <c r="D17"/>
  <c r="D19"/>
  <c r="F16"/>
  <c r="F20"/>
  <c r="F22"/>
  <c r="F17"/>
  <c r="F19"/>
  <c r="F8"/>
  <c r="F12"/>
  <c r="F9"/>
  <c r="F11"/>
  <c r="F13"/>
  <c r="I43" i="30" l="1"/>
  <c r="H56" i="6" s="1"/>
  <c r="I81" i="30"/>
  <c r="I107" s="1"/>
  <c r="R19" i="18"/>
  <c r="T19"/>
  <c r="Q19"/>
  <c r="H32" i="52"/>
  <c r="I32" s="1"/>
  <c r="J32" s="1"/>
  <c r="K32"/>
  <c r="J19" i="18"/>
  <c r="H19"/>
  <c r="G19"/>
  <c r="J76" i="30"/>
  <c r="J102" s="1"/>
  <c r="J133" s="1"/>
  <c r="J43"/>
  <c r="I56" i="6" s="1"/>
  <c r="K38" i="61"/>
  <c r="I24" i="6"/>
  <c r="J164" i="30"/>
  <c r="D55" i="18"/>
  <c r="M55"/>
  <c r="N55" s="1"/>
  <c r="G133" i="30"/>
  <c r="G43"/>
  <c r="G76"/>
  <c r="H17"/>
  <c r="H43" s="1"/>
  <c r="G56" i="6" s="1"/>
  <c r="K17" i="30"/>
  <c r="C60" i="18"/>
  <c r="M24"/>
  <c r="N24" s="1"/>
  <c r="D24"/>
  <c r="G22" i="30"/>
  <c r="U225" i="60"/>
  <c r="U222"/>
  <c r="U221"/>
  <c r="U220"/>
  <c r="U217"/>
  <c r="U214"/>
  <c r="U213"/>
  <c r="U212"/>
  <c r="U226" s="1"/>
  <c r="U210"/>
  <c r="U208"/>
  <c r="U207"/>
  <c r="U206"/>
  <c r="U204"/>
  <c r="U197"/>
  <c r="U195"/>
  <c r="U193"/>
  <c r="U192"/>
  <c r="U224" s="1"/>
  <c r="O226"/>
  <c r="O225"/>
  <c r="O224"/>
  <c r="K76" i="30" l="1"/>
  <c r="L76" s="1"/>
  <c r="M76" s="1"/>
  <c r="N76" s="1"/>
  <c r="O76" s="1"/>
  <c r="P76" s="1"/>
  <c r="Q76" s="1"/>
  <c r="D76" s="1"/>
  <c r="E76" s="1"/>
  <c r="G102"/>
  <c r="K102" s="1"/>
  <c r="H76"/>
  <c r="H102" s="1"/>
  <c r="G55" i="18"/>
  <c r="H55"/>
  <c r="J55"/>
  <c r="D60"/>
  <c r="M60"/>
  <c r="N60" s="1"/>
  <c r="K43" i="30"/>
  <c r="F56" i="6"/>
  <c r="T24" i="18"/>
  <c r="R24"/>
  <c r="Q24"/>
  <c r="G48" i="30"/>
  <c r="G81"/>
  <c r="G138"/>
  <c r="H22"/>
  <c r="H48" s="1"/>
  <c r="G61" i="6" s="1"/>
  <c r="K22" i="30"/>
  <c r="L17"/>
  <c r="K133"/>
  <c r="G159"/>
  <c r="F19" i="6"/>
  <c r="H133" i="30"/>
  <c r="I19" i="6"/>
  <c r="J159" i="30"/>
  <c r="G24" i="18"/>
  <c r="J24"/>
  <c r="H24"/>
  <c r="T55"/>
  <c r="Q55"/>
  <c r="R55"/>
  <c r="O189" i="60"/>
  <c r="O188"/>
  <c r="O187"/>
  <c r="U154"/>
  <c r="U153"/>
  <c r="U152"/>
  <c r="U151"/>
  <c r="U150"/>
  <c r="U149"/>
  <c r="U148"/>
  <c r="U147"/>
  <c r="U146"/>
  <c r="U145"/>
  <c r="U144"/>
  <c r="U143"/>
  <c r="U189" s="1"/>
  <c r="U142"/>
  <c r="U141"/>
  <c r="U135"/>
  <c r="U134"/>
  <c r="U133"/>
  <c r="U132"/>
  <c r="U131"/>
  <c r="U130"/>
  <c r="U188" s="1"/>
  <c r="U129"/>
  <c r="U128"/>
  <c r="U127"/>
  <c r="U126"/>
  <c r="U125"/>
  <c r="U124"/>
  <c r="U123"/>
  <c r="U121"/>
  <c r="U120"/>
  <c r="U119"/>
  <c r="U118"/>
  <c r="U117"/>
  <c r="U116"/>
  <c r="U115"/>
  <c r="U114"/>
  <c r="U187" s="1"/>
  <c r="O110"/>
  <c r="O109"/>
  <c r="O108"/>
  <c r="U106"/>
  <c r="U103"/>
  <c r="U102"/>
  <c r="U101"/>
  <c r="U97"/>
  <c r="U109" s="1"/>
  <c r="U95"/>
  <c r="U110" s="1"/>
  <c r="U94"/>
  <c r="U93"/>
  <c r="U92"/>
  <c r="U89"/>
  <c r="U86"/>
  <c r="U85"/>
  <c r="U84"/>
  <c r="U83"/>
  <c r="U82"/>
  <c r="U80"/>
  <c r="U78"/>
  <c r="U77"/>
  <c r="U76"/>
  <c r="U74"/>
  <c r="K159" i="30" l="1"/>
  <c r="L159" s="1"/>
  <c r="M159" s="1"/>
  <c r="N159" s="1"/>
  <c r="O159" s="1"/>
  <c r="P159" s="1"/>
  <c r="Q159" s="1"/>
  <c r="D159" s="1"/>
  <c r="E159" s="1"/>
  <c r="J19" i="6"/>
  <c r="F24"/>
  <c r="G164" i="30"/>
  <c r="K164" s="1"/>
  <c r="H138"/>
  <c r="Q60" i="18"/>
  <c r="T60"/>
  <c r="R60"/>
  <c r="H159" i="30"/>
  <c r="G19" i="6"/>
  <c r="L133" i="30"/>
  <c r="K19" i="6" s="1"/>
  <c r="M17" i="30"/>
  <c r="K81"/>
  <c r="G107"/>
  <c r="K107" s="1"/>
  <c r="H81"/>
  <c r="H107" s="1"/>
  <c r="H60" i="18"/>
  <c r="J60"/>
  <c r="G60"/>
  <c r="U108" i="60"/>
  <c r="K138" i="30"/>
  <c r="L22"/>
  <c r="K48"/>
  <c r="F61" i="6"/>
  <c r="L102" i="30"/>
  <c r="M102" s="1"/>
  <c r="N102" s="1"/>
  <c r="O102" s="1"/>
  <c r="P102" s="1"/>
  <c r="Q102" s="1"/>
  <c r="J56" i="6"/>
  <c r="L43" i="30"/>
  <c r="U115" i="2"/>
  <c r="T115"/>
  <c r="U114"/>
  <c r="T114"/>
  <c r="R115"/>
  <c r="R114"/>
  <c r="Q114"/>
  <c r="Q115"/>
  <c r="P115"/>
  <c r="I115"/>
  <c r="I114"/>
  <c r="H115"/>
  <c r="H114"/>
  <c r="F115"/>
  <c r="F114"/>
  <c r="E115"/>
  <c r="E114"/>
  <c r="D115"/>
  <c r="C115"/>
  <c r="C114"/>
  <c r="V33"/>
  <c r="R34"/>
  <c r="O33"/>
  <c r="H34"/>
  <c r="T34" s="1"/>
  <c r="H33"/>
  <c r="T33" s="1"/>
  <c r="G34"/>
  <c r="S34" s="1"/>
  <c r="G33"/>
  <c r="S33" s="1"/>
  <c r="F34"/>
  <c r="F33"/>
  <c r="R33" s="1"/>
  <c r="E34"/>
  <c r="Q34" s="1"/>
  <c r="E33"/>
  <c r="Q33" s="1"/>
  <c r="D34"/>
  <c r="P34" s="1"/>
  <c r="C34"/>
  <c r="O34" s="1"/>
  <c r="L164" i="30" l="1"/>
  <c r="M164" s="1"/>
  <c r="N164" s="1"/>
  <c r="O164" s="1"/>
  <c r="P164" s="1"/>
  <c r="Q164" s="1"/>
  <c r="M43"/>
  <c r="K56" i="6"/>
  <c r="J61"/>
  <c r="L48" i="30"/>
  <c r="L107"/>
  <c r="M107" s="1"/>
  <c r="N107" s="1"/>
  <c r="O107" s="1"/>
  <c r="P107" s="1"/>
  <c r="Q107" s="1"/>
  <c r="J24" i="6"/>
  <c r="N17" i="30"/>
  <c r="M133"/>
  <c r="D102"/>
  <c r="E102" s="1"/>
  <c r="M22"/>
  <c r="L138"/>
  <c r="K24" i="6" s="1"/>
  <c r="L81" i="30"/>
  <c r="M81" s="1"/>
  <c r="N81" s="1"/>
  <c r="O81" s="1"/>
  <c r="P81" s="1"/>
  <c r="Q81" s="1"/>
  <c r="H164"/>
  <c r="G24" i="6"/>
  <c r="O66" i="60"/>
  <c r="D81" i="30" l="1"/>
  <c r="E81" s="1"/>
  <c r="O17"/>
  <c r="N133"/>
  <c r="M19" i="6" s="1"/>
  <c r="N22" i="30"/>
  <c r="M138"/>
  <c r="L24" i="6" s="1"/>
  <c r="M48" i="30"/>
  <c r="K61" i="6"/>
  <c r="N43" i="30"/>
  <c r="L56" i="6"/>
  <c r="D164" i="30"/>
  <c r="E164" s="1"/>
  <c r="L19" i="6"/>
  <c r="D107" i="30"/>
  <c r="E107" s="1"/>
  <c r="B23" i="15"/>
  <c r="B22"/>
  <c r="E74" i="6"/>
  <c r="E73"/>
  <c r="B72"/>
  <c r="E23"/>
  <c r="G22" i="15" s="1"/>
  <c r="E22" i="6"/>
  <c r="I22" i="15" s="1"/>
  <c r="E21" i="6"/>
  <c r="E20"/>
  <c r="E18"/>
  <c r="E17"/>
  <c r="E16"/>
  <c r="C128" i="30"/>
  <c r="O52" i="2"/>
  <c r="O92" s="1"/>
  <c r="O115" s="1"/>
  <c r="O51"/>
  <c r="O91" s="1"/>
  <c r="O114" s="1"/>
  <c r="O22" i="30" l="1"/>
  <c r="N138"/>
  <c r="N48"/>
  <c r="L61" i="6"/>
  <c r="P17" i="30"/>
  <c r="Q17" s="1"/>
  <c r="D17" s="1"/>
  <c r="E17" s="1"/>
  <c r="O133"/>
  <c r="O43"/>
  <c r="M56" i="6"/>
  <c r="T101" i="2"/>
  <c r="T102" s="1"/>
  <c r="S101"/>
  <c r="T100"/>
  <c r="S100"/>
  <c r="S99"/>
  <c r="S98"/>
  <c r="S95"/>
  <c r="Q95"/>
  <c r="Q96" s="1"/>
  <c r="S94"/>
  <c r="Q79"/>
  <c r="N79"/>
  <c r="Q78"/>
  <c r="N78"/>
  <c r="N117" s="1"/>
  <c r="Q77"/>
  <c r="N77"/>
  <c r="Q76"/>
  <c r="N76"/>
  <c r="Q75"/>
  <c r="N75"/>
  <c r="Q74"/>
  <c r="N74"/>
  <c r="W72"/>
  <c r="V72"/>
  <c r="N72"/>
  <c r="W71"/>
  <c r="V60"/>
  <c r="U60"/>
  <c r="V59"/>
  <c r="U59"/>
  <c r="V58"/>
  <c r="U58"/>
  <c r="V57"/>
  <c r="U57"/>
  <c r="V56"/>
  <c r="U56"/>
  <c r="V55"/>
  <c r="U55"/>
  <c r="V54"/>
  <c r="U54"/>
  <c r="S54"/>
  <c r="S55" s="1"/>
  <c r="Q54"/>
  <c r="Q55" s="1"/>
  <c r="Q56" s="1"/>
  <c r="Q57" s="1"/>
  <c r="Q58" s="1"/>
  <c r="Q59" s="1"/>
  <c r="Q60" s="1"/>
  <c r="Q62" s="1"/>
  <c r="R50"/>
  <c r="N49"/>
  <c r="V36"/>
  <c r="V37" s="1"/>
  <c r="V38" s="1"/>
  <c r="V39" s="1"/>
  <c r="S14"/>
  <c r="S15" s="1"/>
  <c r="S16" s="1"/>
  <c r="Q14"/>
  <c r="Q15" s="1"/>
  <c r="Q22" i="54"/>
  <c r="Q9"/>
  <c r="T106" i="2" l="1"/>
  <c r="T104"/>
  <c r="T116" s="1"/>
  <c r="T117" s="1"/>
  <c r="T118" s="1"/>
  <c r="P43" i="30"/>
  <c r="N56" i="6"/>
  <c r="Q17" i="2"/>
  <c r="Q18" s="1"/>
  <c r="Q19" s="1"/>
  <c r="Q20" s="1"/>
  <c r="Q16"/>
  <c r="N19" i="6"/>
  <c r="P133" i="30"/>
  <c r="O48"/>
  <c r="M61" i="6"/>
  <c r="M24"/>
  <c r="Q98" i="2"/>
  <c r="Q99" s="1"/>
  <c r="Q100" s="1"/>
  <c r="Q101" s="1"/>
  <c r="Q97"/>
  <c r="P22" i="30"/>
  <c r="Q22" s="1"/>
  <c r="D22" s="1"/>
  <c r="E22" s="1"/>
  <c r="O138"/>
  <c r="S17" i="2"/>
  <c r="V41"/>
  <c r="V40"/>
  <c r="S75"/>
  <c r="S56"/>
  <c r="V62"/>
  <c r="V74" s="1"/>
  <c r="V75" s="1"/>
  <c r="V76" s="1"/>
  <c r="V77" s="1"/>
  <c r="V78" s="1"/>
  <c r="V79" s="1"/>
  <c r="S74"/>
  <c r="Q23" l="1"/>
  <c r="Q21"/>
  <c r="N24" i="6"/>
  <c r="P138" i="30"/>
  <c r="P48"/>
  <c r="N61" i="6"/>
  <c r="Q43" i="30"/>
  <c r="O56" i="6"/>
  <c r="Q133" i="30"/>
  <c r="O19" i="6"/>
  <c r="Q104" i="2"/>
  <c r="Q106" s="1"/>
  <c r="Q102"/>
  <c r="S57"/>
  <c r="S76"/>
  <c r="S18"/>
  <c r="P19" i="6" l="1"/>
  <c r="C19" s="1"/>
  <c r="D19" s="1"/>
  <c r="D133" i="30"/>
  <c r="E133" s="1"/>
  <c r="Q48"/>
  <c r="O61" i="6"/>
  <c r="D43" i="30"/>
  <c r="E43" s="1"/>
  <c r="P56" i="6"/>
  <c r="C56" s="1"/>
  <c r="D56" s="1"/>
  <c r="Q138" i="30"/>
  <c r="O24" i="6"/>
  <c r="S19" i="2"/>
  <c r="S77"/>
  <c r="S58"/>
  <c r="O32" i="14"/>
  <c r="N32"/>
  <c r="O30"/>
  <c r="N30"/>
  <c r="P24" i="6" l="1"/>
  <c r="C24" s="1"/>
  <c r="D24" s="1"/>
  <c r="D138" i="30"/>
  <c r="E138" s="1"/>
  <c r="D48"/>
  <c r="E48" s="1"/>
  <c r="P61" i="6"/>
  <c r="C61" s="1"/>
  <c r="D61" s="1"/>
  <c r="S59" i="2"/>
  <c r="S78"/>
  <c r="S20"/>
  <c r="S21" s="1"/>
  <c r="I49" i="6"/>
  <c r="H49"/>
  <c r="F67"/>
  <c r="E60"/>
  <c r="E59"/>
  <c r="E58"/>
  <c r="G23" i="15" s="1"/>
  <c r="E57" i="6"/>
  <c r="E55"/>
  <c r="E54"/>
  <c r="E53"/>
  <c r="C11" i="30"/>
  <c r="F84"/>
  <c r="B14" i="6"/>
  <c r="C80" i="30"/>
  <c r="C137" s="1"/>
  <c r="B23" i="6" s="1"/>
  <c r="C79" i="30"/>
  <c r="C78"/>
  <c r="C77"/>
  <c r="C75"/>
  <c r="C74"/>
  <c r="M50" i="15"/>
  <c r="K50"/>
  <c r="F50" i="2"/>
  <c r="C125"/>
  <c r="H125" s="1"/>
  <c r="D125"/>
  <c r="AC125" s="1"/>
  <c r="C126"/>
  <c r="G126" s="1"/>
  <c r="D126"/>
  <c r="AC126" s="1"/>
  <c r="F126"/>
  <c r="C127"/>
  <c r="G127" s="1"/>
  <c r="D127"/>
  <c r="AC127" s="1"/>
  <c r="F127"/>
  <c r="C128"/>
  <c r="G128" s="1"/>
  <c r="C129"/>
  <c r="G129" s="1"/>
  <c r="C130"/>
  <c r="G130" s="1"/>
  <c r="C131"/>
  <c r="G131" s="1"/>
  <c r="F143"/>
  <c r="E144"/>
  <c r="F144"/>
  <c r="D146"/>
  <c r="F146" s="1"/>
  <c r="D147"/>
  <c r="D148" s="1"/>
  <c r="D149" s="1"/>
  <c r="E147"/>
  <c r="E79"/>
  <c r="B79"/>
  <c r="E78"/>
  <c r="B78"/>
  <c r="B117" s="1"/>
  <c r="E77"/>
  <c r="B77"/>
  <c r="E76"/>
  <c r="B76"/>
  <c r="E75"/>
  <c r="B75"/>
  <c r="E74"/>
  <c r="B74"/>
  <c r="B72"/>
  <c r="E28" i="15"/>
  <c r="D54" i="2"/>
  <c r="P54" s="1"/>
  <c r="E54"/>
  <c r="H101"/>
  <c r="H102" s="1"/>
  <c r="H100"/>
  <c r="G101"/>
  <c r="G100"/>
  <c r="G99"/>
  <c r="G98"/>
  <c r="G96"/>
  <c r="G95"/>
  <c r="D13"/>
  <c r="P13" s="1"/>
  <c r="H127" l="1"/>
  <c r="I23" i="15"/>
  <c r="E65" i="6"/>
  <c r="E64"/>
  <c r="E63"/>
  <c r="H106" i="2"/>
  <c r="H104"/>
  <c r="D128"/>
  <c r="AC128" s="1"/>
  <c r="G125"/>
  <c r="G133" s="1"/>
  <c r="G137" s="1"/>
  <c r="C134"/>
  <c r="P36"/>
  <c r="P37" s="1"/>
  <c r="P38" s="1"/>
  <c r="P39" s="1"/>
  <c r="P14"/>
  <c r="P15" s="1"/>
  <c r="P74"/>
  <c r="P55"/>
  <c r="C135"/>
  <c r="C133"/>
  <c r="F147"/>
  <c r="D129"/>
  <c r="F128"/>
  <c r="H126"/>
  <c r="C41" i="30"/>
  <c r="B54" i="6" s="1"/>
  <c r="C131" i="30"/>
  <c r="B17" i="6" s="1"/>
  <c r="C44" i="30"/>
  <c r="B57" i="6" s="1"/>
  <c r="C134" i="30"/>
  <c r="B20" i="6" s="1"/>
  <c r="C46" i="30"/>
  <c r="B59" i="6" s="1"/>
  <c r="C136" i="30"/>
  <c r="B22" i="6" s="1"/>
  <c r="C42" i="30"/>
  <c r="B55" i="6" s="1"/>
  <c r="C132" i="30"/>
  <c r="B18" i="6" s="1"/>
  <c r="C45" i="30"/>
  <c r="B58" i="6" s="1"/>
  <c r="C135" i="30"/>
  <c r="B21" i="6" s="1"/>
  <c r="C47" i="30"/>
  <c r="B60" i="6" s="1"/>
  <c r="S23" i="2"/>
  <c r="S36" s="1"/>
  <c r="S79"/>
  <c r="S60"/>
  <c r="S62" s="1"/>
  <c r="AD129"/>
  <c r="AD128"/>
  <c r="AD127"/>
  <c r="AD126"/>
  <c r="H133"/>
  <c r="H137" s="1"/>
  <c r="H134"/>
  <c r="H135"/>
  <c r="AD125"/>
  <c r="D150"/>
  <c r="E148"/>
  <c r="A5" i="54"/>
  <c r="S20" i="57"/>
  <c r="B5" i="30"/>
  <c r="A6" i="6"/>
  <c r="O54" i="15"/>
  <c r="B49" i="2"/>
  <c r="BK23" i="55"/>
  <c r="E29" i="15"/>
  <c r="H116" i="2"/>
  <c r="H117" s="1"/>
  <c r="H118" s="1"/>
  <c r="D10"/>
  <c r="D33" s="1"/>
  <c r="P33" s="1"/>
  <c r="D51"/>
  <c r="P51" s="1"/>
  <c r="D91"/>
  <c r="P91" s="1"/>
  <c r="D94"/>
  <c r="P94" s="1"/>
  <c r="P95" s="1"/>
  <c r="P96" s="1"/>
  <c r="G94"/>
  <c r="J60"/>
  <c r="I60"/>
  <c r="J59"/>
  <c r="I59"/>
  <c r="J58"/>
  <c r="I58"/>
  <c r="J57"/>
  <c r="I57"/>
  <c r="J56"/>
  <c r="I56"/>
  <c r="J55"/>
  <c r="I55"/>
  <c r="J54"/>
  <c r="I54"/>
  <c r="G134" l="1"/>
  <c r="G135"/>
  <c r="P98"/>
  <c r="P99" s="1"/>
  <c r="P100" s="1"/>
  <c r="P101" s="1"/>
  <c r="P102" s="1"/>
  <c r="P97"/>
  <c r="P17"/>
  <c r="P18" s="1"/>
  <c r="P19" s="1"/>
  <c r="P16"/>
  <c r="R16" s="1"/>
  <c r="T16" s="1"/>
  <c r="W16" s="1"/>
  <c r="P41"/>
  <c r="P40"/>
  <c r="D143"/>
  <c r="P10"/>
  <c r="P75"/>
  <c r="P56"/>
  <c r="AC129"/>
  <c r="D130"/>
  <c r="H128"/>
  <c r="F129"/>
  <c r="P20"/>
  <c r="P21" s="1"/>
  <c r="R21" s="1"/>
  <c r="T21" s="1"/>
  <c r="W21" s="1"/>
  <c r="P104"/>
  <c r="S37"/>
  <c r="F148"/>
  <c r="E149"/>
  <c r="D151"/>
  <c r="M40" i="15"/>
  <c r="M51" s="1"/>
  <c r="K40"/>
  <c r="K51" s="1"/>
  <c r="M8"/>
  <c r="K8"/>
  <c r="L8"/>
  <c r="G54" i="2"/>
  <c r="G74" s="1"/>
  <c r="P57" l="1"/>
  <c r="P76"/>
  <c r="F130"/>
  <c r="H129"/>
  <c r="AC130"/>
  <c r="D131"/>
  <c r="AD130"/>
  <c r="S38"/>
  <c r="P23"/>
  <c r="P116"/>
  <c r="P106"/>
  <c r="D152"/>
  <c r="E150"/>
  <c r="F149"/>
  <c r="P77" l="1"/>
  <c r="P58"/>
  <c r="AC131"/>
  <c r="AD131"/>
  <c r="AD134" s="1"/>
  <c r="H130"/>
  <c r="F131"/>
  <c r="H131" s="1"/>
  <c r="S39"/>
  <c r="P117"/>
  <c r="E151"/>
  <c r="F150"/>
  <c r="D153"/>
  <c r="W30" i="14"/>
  <c r="O29"/>
  <c r="Z29"/>
  <c r="N29"/>
  <c r="R29"/>
  <c r="R27"/>
  <c r="N27"/>
  <c r="P59" i="2" l="1"/>
  <c r="P78"/>
  <c r="AD133"/>
  <c r="AD138" s="1"/>
  <c r="AD135"/>
  <c r="P118"/>
  <c r="S41"/>
  <c r="S40"/>
  <c r="D154"/>
  <c r="E152"/>
  <c r="F151"/>
  <c r="O37" i="14"/>
  <c r="N37"/>
  <c r="O15"/>
  <c r="N15"/>
  <c r="O20"/>
  <c r="N20"/>
  <c r="BK24" i="55"/>
  <c r="AK40" i="14"/>
  <c r="AG40"/>
  <c r="AF40"/>
  <c r="AD40"/>
  <c r="AA40"/>
  <c r="Z40"/>
  <c r="Y40"/>
  <c r="X40"/>
  <c r="W40"/>
  <c r="V40"/>
  <c r="J12" i="52"/>
  <c r="C31" s="1"/>
  <c r="I12"/>
  <c r="H12"/>
  <c r="J11"/>
  <c r="I11"/>
  <c r="H11"/>
  <c r="J10"/>
  <c r="H10"/>
  <c r="J9"/>
  <c r="I9"/>
  <c r="H9"/>
  <c r="J7"/>
  <c r="I7"/>
  <c r="H7"/>
  <c r="J6"/>
  <c r="I6"/>
  <c r="H6"/>
  <c r="J5"/>
  <c r="C24" s="1"/>
  <c r="C16" i="18" s="1"/>
  <c r="I5" i="52"/>
  <c r="H5"/>
  <c r="L12"/>
  <c r="L11"/>
  <c r="L10"/>
  <c r="L9"/>
  <c r="L7"/>
  <c r="L6"/>
  <c r="L5"/>
  <c r="J19" i="14"/>
  <c r="J18"/>
  <c r="J17"/>
  <c r="J16"/>
  <c r="J14"/>
  <c r="J13"/>
  <c r="J12"/>
  <c r="B38" i="44"/>
  <c r="B37"/>
  <c r="B36"/>
  <c r="B35"/>
  <c r="B33"/>
  <c r="B32"/>
  <c r="B31"/>
  <c r="B41" l="1"/>
  <c r="AD139" i="2"/>
  <c r="D137"/>
  <c r="P79"/>
  <c r="P60"/>
  <c r="P62" s="1"/>
  <c r="E153"/>
  <c r="F152"/>
  <c r="T27" i="57"/>
  <c r="T26"/>
  <c r="T25"/>
  <c r="T24"/>
  <c r="T22"/>
  <c r="T21"/>
  <c r="T20"/>
  <c r="C13" i="40"/>
  <c r="T31" i="57" l="1"/>
  <c r="T30"/>
  <c r="E154" i="2"/>
  <c r="F154" s="1"/>
  <c r="F153"/>
  <c r="BK31" i="55"/>
  <c r="BK33" s="1"/>
  <c r="AL31"/>
  <c r="AF31"/>
  <c r="AE31"/>
  <c r="AD31"/>
  <c r="AD33" s="1"/>
  <c r="AC31"/>
  <c r="AC33" s="1"/>
  <c r="AB31"/>
  <c r="AB33" s="1"/>
  <c r="AA31"/>
  <c r="Z31"/>
  <c r="X31"/>
  <c r="X33" s="1"/>
  <c r="W31"/>
  <c r="W33" s="1"/>
  <c r="V31"/>
  <c r="V33" s="1"/>
  <c r="N4" i="52"/>
  <c r="O4" s="1"/>
  <c r="P4" s="1"/>
  <c r="Q4" s="1"/>
  <c r="R4" s="1"/>
  <c r="S4" s="1"/>
  <c r="T4" s="1"/>
  <c r="D23"/>
  <c r="E23" s="1"/>
  <c r="F23" s="1"/>
  <c r="G23" s="1"/>
  <c r="H23" s="1"/>
  <c r="I23" s="1"/>
  <c r="J23" s="1"/>
  <c r="W20" i="14"/>
  <c r="W18"/>
  <c r="W17"/>
  <c r="W16"/>
  <c r="W14"/>
  <c r="W13"/>
  <c r="W12"/>
  <c r="O17"/>
  <c r="N17"/>
  <c r="B19" i="43"/>
  <c r="B18"/>
  <c r="B17"/>
  <c r="B16"/>
  <c r="B14"/>
  <c r="B13"/>
  <c r="B12"/>
  <c r="F19"/>
  <c r="E19"/>
  <c r="F18"/>
  <c r="E18"/>
  <c r="F17"/>
  <c r="E17"/>
  <c r="F16"/>
  <c r="E16"/>
  <c r="F14"/>
  <c r="E14"/>
  <c r="F13"/>
  <c r="E13"/>
  <c r="F12"/>
  <c r="E12"/>
  <c r="G19"/>
  <c r="G18"/>
  <c r="G17"/>
  <c r="G16"/>
  <c r="G14"/>
  <c r="G13"/>
  <c r="G12"/>
  <c r="P22" i="54"/>
  <c r="M20" i="55"/>
  <c r="O20"/>
  <c r="Q20"/>
  <c r="O19" i="14" s="1"/>
  <c r="L20" i="55"/>
  <c r="N20"/>
  <c r="P20"/>
  <c r="N19" i="14" s="1"/>
  <c r="Q19" i="55"/>
  <c r="O18" i="14" s="1"/>
  <c r="O19" i="55"/>
  <c r="M19"/>
  <c r="P19"/>
  <c r="N18" i="14" s="1"/>
  <c r="N19" i="55"/>
  <c r="L19"/>
  <c r="M17"/>
  <c r="M31" s="1"/>
  <c r="O17"/>
  <c r="O31" s="1"/>
  <c r="Q17"/>
  <c r="Q31" s="1"/>
  <c r="P17"/>
  <c r="P31" s="1"/>
  <c r="N17"/>
  <c r="N31" s="1"/>
  <c r="L17"/>
  <c r="L31" s="1"/>
  <c r="M15"/>
  <c r="O15"/>
  <c r="Q15"/>
  <c r="O14" i="14" s="1"/>
  <c r="P15" i="55"/>
  <c r="N14" i="14" s="1"/>
  <c r="N15" i="55"/>
  <c r="L15"/>
  <c r="BI26"/>
  <c r="BJ26"/>
  <c r="N14"/>
  <c r="M14"/>
  <c r="L14"/>
  <c r="O14"/>
  <c r="Q14"/>
  <c r="O13" i="14" s="1"/>
  <c r="P14" i="55"/>
  <c r="N13" i="14" s="1"/>
  <c r="Q13" i="55"/>
  <c r="O12" i="14" s="1"/>
  <c r="P13" i="55"/>
  <c r="N12" i="14" s="1"/>
  <c r="M13" i="55"/>
  <c r="O13"/>
  <c r="L13"/>
  <c r="L23" s="1"/>
  <c r="N13"/>
  <c r="AN31"/>
  <c r="AM31"/>
  <c r="AK31"/>
  <c r="AJ31"/>
  <c r="AI24"/>
  <c r="AH24"/>
  <c r="AG24"/>
  <c r="AI23"/>
  <c r="AH23"/>
  <c r="AG23"/>
  <c r="U31"/>
  <c r="T31"/>
  <c r="T33" s="1"/>
  <c r="D20"/>
  <c r="D19"/>
  <c r="D18"/>
  <c r="D17"/>
  <c r="D15"/>
  <c r="D14"/>
  <c r="D13"/>
  <c r="G20"/>
  <c r="F20"/>
  <c r="G19"/>
  <c r="F19"/>
  <c r="G18"/>
  <c r="F18"/>
  <c r="G17"/>
  <c r="F17"/>
  <c r="G15"/>
  <c r="F15"/>
  <c r="G14"/>
  <c r="F14"/>
  <c r="F13"/>
  <c r="G13"/>
  <c r="BH20"/>
  <c r="BG20"/>
  <c r="N17" i="54" s="1"/>
  <c r="BF20" i="55"/>
  <c r="BH19"/>
  <c r="BG19"/>
  <c r="BF19"/>
  <c r="BI19" s="1"/>
  <c r="BH18"/>
  <c r="BG18"/>
  <c r="BF18"/>
  <c r="BH17"/>
  <c r="BG17"/>
  <c r="BG31" s="1"/>
  <c r="BG33" s="1"/>
  <c r="BF17"/>
  <c r="BF31" s="1"/>
  <c r="BF33" s="1"/>
  <c r="BH15"/>
  <c r="BG15"/>
  <c r="N12" i="54" s="1"/>
  <c r="BF15" i="55"/>
  <c r="M12" i="54" s="1"/>
  <c r="BH14" i="55"/>
  <c r="BG14"/>
  <c r="BF14"/>
  <c r="BI14" s="1"/>
  <c r="BH13"/>
  <c r="O10" i="54" s="1"/>
  <c r="BG13" i="55"/>
  <c r="BF13"/>
  <c r="BE20"/>
  <c r="BE19"/>
  <c r="BE18"/>
  <c r="BE17"/>
  <c r="BE31" s="1"/>
  <c r="BE33" s="1"/>
  <c r="BE15"/>
  <c r="BE14"/>
  <c r="BE13"/>
  <c r="BW11"/>
  <c r="BX11" s="1"/>
  <c r="BY11" s="1"/>
  <c r="BZ11" s="1"/>
  <c r="BT11"/>
  <c r="BU11" s="1"/>
  <c r="BV11" s="1"/>
  <c r="O17" i="54"/>
  <c r="M17"/>
  <c r="O16"/>
  <c r="I35" i="15" s="1"/>
  <c r="N16" i="54"/>
  <c r="O15"/>
  <c r="N15"/>
  <c r="M15"/>
  <c r="N14"/>
  <c r="M14"/>
  <c r="O12"/>
  <c r="O11"/>
  <c r="N11"/>
  <c r="N10"/>
  <c r="M10"/>
  <c r="AX15" i="55"/>
  <c r="AW15"/>
  <c r="AV15"/>
  <c r="AX17"/>
  <c r="AW17"/>
  <c r="AV17"/>
  <c r="AV31" s="1"/>
  <c r="AV33" s="1"/>
  <c r="AX18"/>
  <c r="AW18"/>
  <c r="AV18"/>
  <c r="AX19"/>
  <c r="AW19"/>
  <c r="AV19"/>
  <c r="BC26"/>
  <c r="BB26"/>
  <c r="BA26"/>
  <c r="AZ26"/>
  <c r="AX20"/>
  <c r="AW20"/>
  <c r="AV20"/>
  <c r="AN24"/>
  <c r="AM24"/>
  <c r="AL24"/>
  <c r="AN23"/>
  <c r="AM23"/>
  <c r="AL23"/>
  <c r="AS20"/>
  <c r="AR20"/>
  <c r="AQ20"/>
  <c r="AS19"/>
  <c r="AR19"/>
  <c r="AQ19"/>
  <c r="AS18"/>
  <c r="AR18"/>
  <c r="AQ18"/>
  <c r="AS17"/>
  <c r="AR17"/>
  <c r="AQ17"/>
  <c r="AS15"/>
  <c r="AR15"/>
  <c r="AQ15"/>
  <c r="P24"/>
  <c r="O24"/>
  <c r="Q23"/>
  <c r="P23"/>
  <c r="O23"/>
  <c r="M23"/>
  <c r="Y26"/>
  <c r="AD24"/>
  <c r="AC24"/>
  <c r="AB24"/>
  <c r="AD23"/>
  <c r="AC23"/>
  <c r="AB23"/>
  <c r="X24"/>
  <c r="W24"/>
  <c r="V24"/>
  <c r="X23"/>
  <c r="W23"/>
  <c r="V23"/>
  <c r="Y13"/>
  <c r="N20" i="54" l="1"/>
  <c r="N23" i="55"/>
  <c r="L24"/>
  <c r="BI24"/>
  <c r="BI18"/>
  <c r="BH31"/>
  <c r="BH33" s="1"/>
  <c r="B23" i="43"/>
  <c r="B22"/>
  <c r="C23" i="2" s="1"/>
  <c r="M24" i="55"/>
  <c r="Q24"/>
  <c r="AW31"/>
  <c r="AW33" s="1"/>
  <c r="M11" i="54"/>
  <c r="M20" s="1"/>
  <c r="O14"/>
  <c r="P14" s="1"/>
  <c r="M16"/>
  <c r="P16" s="1"/>
  <c r="I36" i="15" s="1"/>
  <c r="E23" i="43"/>
  <c r="E22"/>
  <c r="N24" i="55"/>
  <c r="AX31"/>
  <c r="AX33" s="1"/>
  <c r="BH38"/>
  <c r="BI15"/>
  <c r="BI20"/>
  <c r="G22" i="43"/>
  <c r="G23"/>
  <c r="F22"/>
  <c r="F23"/>
  <c r="G35" i="15"/>
  <c r="F157" i="2"/>
  <c r="F156"/>
  <c r="I12" i="43"/>
  <c r="J13"/>
  <c r="J16"/>
  <c r="C13" i="2"/>
  <c r="C94"/>
  <c r="F94" s="1"/>
  <c r="C15"/>
  <c r="C96"/>
  <c r="C18"/>
  <c r="C99"/>
  <c r="C20"/>
  <c r="C101"/>
  <c r="P11" i="54"/>
  <c r="C95" i="2"/>
  <c r="C14"/>
  <c r="C98"/>
  <c r="C17"/>
  <c r="C100"/>
  <c r="C19"/>
  <c r="J18" i="43"/>
  <c r="J14"/>
  <c r="J17"/>
  <c r="J19"/>
  <c r="P10" i="54"/>
  <c r="P12"/>
  <c r="P15"/>
  <c r="P17"/>
  <c r="AR31" i="55"/>
  <c r="BI17"/>
  <c r="BI31" s="1"/>
  <c r="BI33" s="1"/>
  <c r="BI23"/>
  <c r="O16" i="14"/>
  <c r="O22" s="1"/>
  <c r="BI13" i="55"/>
  <c r="N16" i="14"/>
  <c r="N22" s="1"/>
  <c r="AS31" i="55"/>
  <c r="AQ31"/>
  <c r="O20" i="54" l="1"/>
  <c r="H35" i="15" s="1"/>
  <c r="BI38" i="55"/>
  <c r="F13" i="2"/>
  <c r="C25"/>
  <c r="I94"/>
  <c r="G36" i="15"/>
  <c r="P20" i="54"/>
  <c r="BI41" i="55"/>
  <c r="BI40"/>
  <c r="AA94" i="2"/>
  <c r="BI28" i="55"/>
  <c r="BH24"/>
  <c r="BG24"/>
  <c r="BF24"/>
  <c r="BH23"/>
  <c r="BH40" s="1"/>
  <c r="BG23"/>
  <c r="BG28" s="1"/>
  <c r="BF23"/>
  <c r="BF28" s="1"/>
  <c r="K6" i="52"/>
  <c r="AX14" i="55"/>
  <c r="AW14"/>
  <c r="BB14" s="1"/>
  <c r="AV14"/>
  <c r="AQ14"/>
  <c r="AS14"/>
  <c r="AR14"/>
  <c r="BP14" s="1"/>
  <c r="AS13"/>
  <c r="Z12" i="14" s="1"/>
  <c r="AR13" i="55"/>
  <c r="BP13" s="1"/>
  <c r="V20" i="14"/>
  <c r="V18"/>
  <c r="V17"/>
  <c r="V16"/>
  <c r="V14"/>
  <c r="V13"/>
  <c r="V12"/>
  <c r="J4" i="57"/>
  <c r="F86" i="18"/>
  <c r="F85"/>
  <c r="F84"/>
  <c r="F83"/>
  <c r="F82"/>
  <c r="F81"/>
  <c r="F80"/>
  <c r="B79"/>
  <c r="Z20" i="14"/>
  <c r="Z18"/>
  <c r="Z17"/>
  <c r="Z16"/>
  <c r="Z14"/>
  <c r="X20"/>
  <c r="X18"/>
  <c r="X17"/>
  <c r="X16"/>
  <c r="X14"/>
  <c r="X13"/>
  <c r="X12"/>
  <c r="S19"/>
  <c r="R19"/>
  <c r="S18"/>
  <c r="R18"/>
  <c r="S17"/>
  <c r="R17"/>
  <c r="S16"/>
  <c r="R16"/>
  <c r="S14"/>
  <c r="R14"/>
  <c r="S13"/>
  <c r="R13"/>
  <c r="S12"/>
  <c r="R12"/>
  <c r="AK20"/>
  <c r="AK18"/>
  <c r="AK17"/>
  <c r="AK16"/>
  <c r="AK14"/>
  <c r="AK13"/>
  <c r="AK12"/>
  <c r="AG20"/>
  <c r="AG18"/>
  <c r="AG17"/>
  <c r="AG16"/>
  <c r="AG14"/>
  <c r="AG13"/>
  <c r="AG12"/>
  <c r="AD20"/>
  <c r="AD18"/>
  <c r="AD17"/>
  <c r="AD16"/>
  <c r="AD14"/>
  <c r="AD13"/>
  <c r="BC20" i="55"/>
  <c r="BB20"/>
  <c r="BA20"/>
  <c r="BC19"/>
  <c r="AF18" i="14" s="1"/>
  <c r="BB19" i="55"/>
  <c r="BA19"/>
  <c r="BC18"/>
  <c r="BB18"/>
  <c r="BA18"/>
  <c r="BC17"/>
  <c r="BB17"/>
  <c r="BA17"/>
  <c r="BC15"/>
  <c r="BB15"/>
  <c r="BA15"/>
  <c r="BC14"/>
  <c r="BA14"/>
  <c r="AX13"/>
  <c r="AD12" i="14" s="1"/>
  <c r="AW13" i="55"/>
  <c r="AV13"/>
  <c r="AU13"/>
  <c r="AQ13"/>
  <c r="BO13" s="1"/>
  <c r="L31" i="52"/>
  <c r="L30"/>
  <c r="L29"/>
  <c r="L28"/>
  <c r="L26"/>
  <c r="L25"/>
  <c r="L24"/>
  <c r="T12"/>
  <c r="S12"/>
  <c r="R12"/>
  <c r="T11"/>
  <c r="S11"/>
  <c r="R11"/>
  <c r="T10"/>
  <c r="S10"/>
  <c r="R10"/>
  <c r="T9"/>
  <c r="S9"/>
  <c r="R9"/>
  <c r="T7"/>
  <c r="S7"/>
  <c r="R7"/>
  <c r="T6"/>
  <c r="S6"/>
  <c r="R6"/>
  <c r="T5"/>
  <c r="S5"/>
  <c r="K12"/>
  <c r="K11"/>
  <c r="K10"/>
  <c r="K9"/>
  <c r="K7"/>
  <c r="L10" i="55"/>
  <c r="N10" s="1"/>
  <c r="P10" s="1"/>
  <c r="BQ26"/>
  <c r="BP26"/>
  <c r="BO26"/>
  <c r="BQ20"/>
  <c r="BP20"/>
  <c r="BO20"/>
  <c r="BQ19"/>
  <c r="BP19"/>
  <c r="BO19"/>
  <c r="BQ18"/>
  <c r="BP18"/>
  <c r="BO18"/>
  <c r="BQ17"/>
  <c r="BP17"/>
  <c r="BO17"/>
  <c r="BQ15"/>
  <c r="BP15"/>
  <c r="BO15"/>
  <c r="BQ14"/>
  <c r="BO14"/>
  <c r="BQ13"/>
  <c r="BO11"/>
  <c r="BP11" s="1"/>
  <c r="BQ11" s="1"/>
  <c r="BF11"/>
  <c r="BG11" s="1"/>
  <c r="BH11" s="1"/>
  <c r="BA11"/>
  <c r="BB11" s="1"/>
  <c r="BC11" s="1"/>
  <c r="AV11"/>
  <c r="AW11" s="1"/>
  <c r="AX11" s="1"/>
  <c r="AQ10"/>
  <c r="AR10" s="1"/>
  <c r="AS10" s="1"/>
  <c r="AL10"/>
  <c r="AM10" s="1"/>
  <c r="AN10" s="1"/>
  <c r="Y20"/>
  <c r="Y19"/>
  <c r="Y18"/>
  <c r="Y17"/>
  <c r="Y31" s="1"/>
  <c r="Y15"/>
  <c r="Y14"/>
  <c r="AG10"/>
  <c r="AH10" s="1"/>
  <c r="AI10" s="1"/>
  <c r="AB10"/>
  <c r="AC10" s="1"/>
  <c r="AD10" s="1"/>
  <c r="H4" i="52"/>
  <c r="I4" s="1"/>
  <c r="J4" s="1"/>
  <c r="I3"/>
  <c r="J3" s="1"/>
  <c r="D13" i="40"/>
  <c r="BB31" i="55" l="1"/>
  <c r="BB33" s="1"/>
  <c r="L34" i="52"/>
  <c r="BH41" i="55"/>
  <c r="I32" i="15"/>
  <c r="I28"/>
  <c r="S22" i="14"/>
  <c r="R22"/>
  <c r="P24" i="54"/>
  <c r="H36" i="15"/>
  <c r="AA13" i="2"/>
  <c r="H13"/>
  <c r="AB94"/>
  <c r="BP31" i="55"/>
  <c r="BP33" s="1"/>
  <c r="Y23"/>
  <c r="BH28"/>
  <c r="BA31"/>
  <c r="BA33" s="1"/>
  <c r="BC31"/>
  <c r="BC33" s="1"/>
  <c r="BQ31"/>
  <c r="BQ33" s="1"/>
  <c r="BO31"/>
  <c r="BO33" s="1"/>
  <c r="AW24"/>
  <c r="AW23"/>
  <c r="AW28" s="1"/>
  <c r="BO24"/>
  <c r="BQ24"/>
  <c r="BB13"/>
  <c r="BB23" s="1"/>
  <c r="BB28" s="1"/>
  <c r="BA13"/>
  <c r="AV24"/>
  <c r="AV23"/>
  <c r="AV28" s="1"/>
  <c r="BC13"/>
  <c r="AX24"/>
  <c r="AX23"/>
  <c r="AX28" s="1"/>
  <c r="AF14" i="14"/>
  <c r="AF16"/>
  <c r="AF17"/>
  <c r="BC24" i="55"/>
  <c r="BC23"/>
  <c r="BC28" s="1"/>
  <c r="BB24"/>
  <c r="BA24"/>
  <c r="BA23"/>
  <c r="BA28" s="1"/>
  <c r="AF20" i="14"/>
  <c r="AQ23" i="55"/>
  <c r="AQ28" s="1"/>
  <c r="AQ24"/>
  <c r="BP24"/>
  <c r="AR24"/>
  <c r="AR23"/>
  <c r="AR28" s="1"/>
  <c r="Z13" i="14"/>
  <c r="AS23" i="55"/>
  <c r="AS28" s="1"/>
  <c r="AS24"/>
  <c r="AF13" i="14"/>
  <c r="BP23" i="55"/>
  <c r="BP28" s="1"/>
  <c r="BQ23"/>
  <c r="BQ28" s="1"/>
  <c r="BO23"/>
  <c r="BO28" s="1"/>
  <c r="AF12" i="14" l="1"/>
  <c r="O24" i="54" l="1"/>
  <c r="N24"/>
  <c r="M24"/>
  <c r="M9" l="1"/>
  <c r="N9" s="1"/>
  <c r="O9" s="1"/>
  <c r="AP26" i="55"/>
  <c r="AF26"/>
  <c r="AF33" s="1"/>
  <c r="BN26" l="1"/>
  <c r="AA33"/>
  <c r="U33"/>
  <c r="L17" i="54"/>
  <c r="BD20" i="55"/>
  <c r="BJ20" s="1"/>
  <c r="AZ20"/>
  <c r="AU20"/>
  <c r="AP20"/>
  <c r="BN20" s="1"/>
  <c r="K20"/>
  <c r="J20"/>
  <c r="L16" i="54"/>
  <c r="BD19" i="55"/>
  <c r="BJ19" s="1"/>
  <c r="AZ19"/>
  <c r="AY19"/>
  <c r="AU19"/>
  <c r="AT19"/>
  <c r="AP19"/>
  <c r="BN19" s="1"/>
  <c r="K19"/>
  <c r="J19"/>
  <c r="L14" i="54"/>
  <c r="AZ17" i="55"/>
  <c r="AU17"/>
  <c r="AP17"/>
  <c r="I17"/>
  <c r="I31" s="1"/>
  <c r="H17"/>
  <c r="H31" s="1"/>
  <c r="K17"/>
  <c r="K31" s="1"/>
  <c r="J17"/>
  <c r="U14" i="54" l="1"/>
  <c r="R14"/>
  <c r="U17"/>
  <c r="R17"/>
  <c r="R16"/>
  <c r="U16"/>
  <c r="Q16"/>
  <c r="Q14"/>
  <c r="Q17"/>
  <c r="J31" i="55"/>
  <c r="BN17"/>
  <c r="T14" i="54" l="1"/>
  <c r="S14"/>
  <c r="G37" i="15"/>
  <c r="T17" i="54"/>
  <c r="S17"/>
  <c r="I37" i="15"/>
  <c r="S16" i="54"/>
  <c r="T16"/>
  <c r="D74" i="2"/>
  <c r="K72"/>
  <c r="J72"/>
  <c r="K71"/>
  <c r="J62"/>
  <c r="J74" s="1"/>
  <c r="J75" s="1"/>
  <c r="J76" s="1"/>
  <c r="J77" s="1"/>
  <c r="J78" s="1"/>
  <c r="J79" s="1"/>
  <c r="G55"/>
  <c r="E55"/>
  <c r="E56" s="1"/>
  <c r="D55"/>
  <c r="F223" i="30"/>
  <c r="F222"/>
  <c r="F221"/>
  <c r="C225" s="1"/>
  <c r="J208"/>
  <c r="I208"/>
  <c r="F198"/>
  <c r="F197"/>
  <c r="F196"/>
  <c r="C200" s="1"/>
  <c r="C194"/>
  <c r="C219" s="1"/>
  <c r="C193"/>
  <c r="C218" s="1"/>
  <c r="C192"/>
  <c r="C217" s="1"/>
  <c r="C191"/>
  <c r="C216" s="1"/>
  <c r="C190"/>
  <c r="C215" s="1"/>
  <c r="C189"/>
  <c r="C214" s="1"/>
  <c r="J188"/>
  <c r="J213" s="1"/>
  <c r="I188"/>
  <c r="I213" s="1"/>
  <c r="G188"/>
  <c r="G213" s="1"/>
  <c r="K213" s="1"/>
  <c r="C188"/>
  <c r="C213" s="1"/>
  <c r="B188"/>
  <c r="B213" s="1"/>
  <c r="J187"/>
  <c r="I187"/>
  <c r="I212" s="1"/>
  <c r="G187"/>
  <c r="G212" s="1"/>
  <c r="C187"/>
  <c r="C212" s="1"/>
  <c r="B187"/>
  <c r="B212" s="1"/>
  <c r="F168"/>
  <c r="F167"/>
  <c r="F166"/>
  <c r="F170" s="1"/>
  <c r="J152"/>
  <c r="I152"/>
  <c r="F142"/>
  <c r="F141"/>
  <c r="F140"/>
  <c r="F144" s="1"/>
  <c r="Z33" i="55"/>
  <c r="D56" i="2" l="1"/>
  <c r="D75"/>
  <c r="G56"/>
  <c r="G76" s="1"/>
  <c r="G75"/>
  <c r="E57"/>
  <c r="E58" s="1"/>
  <c r="E59" s="1"/>
  <c r="E60" s="1"/>
  <c r="E62" s="1"/>
  <c r="L213" i="30"/>
  <c r="M213" s="1"/>
  <c r="N213" s="1"/>
  <c r="O213" s="1"/>
  <c r="P213" s="1"/>
  <c r="Q213" s="1"/>
  <c r="H187"/>
  <c r="K188"/>
  <c r="J212"/>
  <c r="K187"/>
  <c r="H188"/>
  <c r="H213" s="1"/>
  <c r="G14" i="2"/>
  <c r="G15" s="1"/>
  <c r="G16" s="1"/>
  <c r="E14"/>
  <c r="E15" l="1"/>
  <c r="E164"/>
  <c r="G57"/>
  <c r="G58" s="1"/>
  <c r="D57"/>
  <c r="D77" s="1"/>
  <c r="D76"/>
  <c r="E17"/>
  <c r="E167" s="1"/>
  <c r="G17"/>
  <c r="G18" s="1"/>
  <c r="L187" i="30"/>
  <c r="M187" s="1"/>
  <c r="N187" s="1"/>
  <c r="O187" s="1"/>
  <c r="P187" s="1"/>
  <c r="Q187" s="1"/>
  <c r="L188"/>
  <c r="M188" s="1"/>
  <c r="N188" s="1"/>
  <c r="O188" s="1"/>
  <c r="P188" s="1"/>
  <c r="Q188" s="1"/>
  <c r="H196"/>
  <c r="H212"/>
  <c r="H221" s="1"/>
  <c r="D213"/>
  <c r="E213" s="1"/>
  <c r="K212"/>
  <c r="F23" i="18"/>
  <c r="F22"/>
  <c r="F21"/>
  <c r="F20"/>
  <c r="F18"/>
  <c r="F17"/>
  <c r="F16"/>
  <c r="L13"/>
  <c r="G77" i="2" l="1"/>
  <c r="F26" i="18"/>
  <c r="E16" i="2"/>
  <c r="E166" s="1"/>
  <c r="E165"/>
  <c r="G59"/>
  <c r="G78"/>
  <c r="E18"/>
  <c r="G19"/>
  <c r="G20" s="1"/>
  <c r="D188" i="30"/>
  <c r="E188" s="1"/>
  <c r="D58" i="2"/>
  <c r="D78" s="1"/>
  <c r="L212" i="30"/>
  <c r="M212" s="1"/>
  <c r="N212" s="1"/>
  <c r="O212" s="1"/>
  <c r="P212" s="1"/>
  <c r="Q212" s="1"/>
  <c r="D187"/>
  <c r="E187" s="1"/>
  <c r="C70"/>
  <c r="C69"/>
  <c r="C106"/>
  <c r="C104"/>
  <c r="C100"/>
  <c r="C73"/>
  <c r="C130" s="1"/>
  <c r="B16" i="6" s="1"/>
  <c r="F111" i="30"/>
  <c r="F110"/>
  <c r="F109"/>
  <c r="F113" s="1"/>
  <c r="J95"/>
  <c r="I95"/>
  <c r="F85"/>
  <c r="F83"/>
  <c r="L49" i="18"/>
  <c r="L48"/>
  <c r="F59"/>
  <c r="F58"/>
  <c r="F57"/>
  <c r="F56"/>
  <c r="F54"/>
  <c r="F53"/>
  <c r="F52"/>
  <c r="L59"/>
  <c r="L58"/>
  <c r="L57"/>
  <c r="L56"/>
  <c r="L53"/>
  <c r="L52"/>
  <c r="K33" i="2"/>
  <c r="W33" s="1"/>
  <c r="K34"/>
  <c r="W34" s="1"/>
  <c r="J34"/>
  <c r="V34" s="1"/>
  <c r="F62" i="18" l="1"/>
  <c r="E19" i="2"/>
  <c r="E168"/>
  <c r="G23"/>
  <c r="G36" s="1"/>
  <c r="G21"/>
  <c r="C40" i="30"/>
  <c r="B53" i="6" s="1"/>
  <c r="B12"/>
  <c r="B49" s="1"/>
  <c r="C36" i="30"/>
  <c r="B13" i="6"/>
  <c r="C37" i="30"/>
  <c r="G60" i="2"/>
  <c r="G62" s="1"/>
  <c r="G79"/>
  <c r="F87" i="30"/>
  <c r="D212"/>
  <c r="E212" s="1"/>
  <c r="C95"/>
  <c r="C126" s="1"/>
  <c r="C183"/>
  <c r="C208" s="1"/>
  <c r="F64" i="18"/>
  <c r="C96" i="30"/>
  <c r="C127" s="1"/>
  <c r="C184"/>
  <c r="C209" s="1"/>
  <c r="D59" i="2"/>
  <c r="D79" s="1"/>
  <c r="C99" i="30"/>
  <c r="C101"/>
  <c r="C103"/>
  <c r="C105"/>
  <c r="F63" i="18"/>
  <c r="J36" i="2"/>
  <c r="J37" s="1"/>
  <c r="J38" s="1"/>
  <c r="J39" s="1"/>
  <c r="E20" l="1"/>
  <c r="E169"/>
  <c r="J41"/>
  <c r="J40"/>
  <c r="D60"/>
  <c r="D62" s="1"/>
  <c r="G37"/>
  <c r="G38" s="1"/>
  <c r="G39" s="1"/>
  <c r="E23" l="1"/>
  <c r="E173" s="1"/>
  <c r="E170"/>
  <c r="E21"/>
  <c r="E171" s="1"/>
  <c r="G41"/>
  <c r="G40"/>
  <c r="F52" i="30"/>
  <c r="E95" i="2" l="1"/>
  <c r="E96" s="1"/>
  <c r="E97" s="1"/>
  <c r="D95"/>
  <c r="D96" l="1"/>
  <c r="F95"/>
  <c r="E98"/>
  <c r="E99" s="1"/>
  <c r="E100" s="1"/>
  <c r="E101" s="1"/>
  <c r="E102" s="1"/>
  <c r="I95" l="1"/>
  <c r="F96"/>
  <c r="I96" s="1"/>
  <c r="D97"/>
  <c r="F97" s="1"/>
  <c r="I97" s="1"/>
  <c r="AA95"/>
  <c r="D98"/>
  <c r="D99" s="1"/>
  <c r="AB96"/>
  <c r="E104"/>
  <c r="E106" s="1"/>
  <c r="F98" l="1"/>
  <c r="I98" s="1"/>
  <c r="AA96"/>
  <c r="AB95"/>
  <c r="AB98"/>
  <c r="D100"/>
  <c r="F99"/>
  <c r="I99" s="1"/>
  <c r="A38" i="44"/>
  <c r="A37"/>
  <c r="A36"/>
  <c r="A35"/>
  <c r="A33"/>
  <c r="A32"/>
  <c r="A31"/>
  <c r="A29"/>
  <c r="E42"/>
  <c r="D42"/>
  <c r="B42"/>
  <c r="E41"/>
  <c r="D41"/>
  <c r="J107" i="18"/>
  <c r="J106"/>
  <c r="J105"/>
  <c r="J104"/>
  <c r="J103"/>
  <c r="J102"/>
  <c r="J101"/>
  <c r="J100"/>
  <c r="F111"/>
  <c r="E111"/>
  <c r="D111"/>
  <c r="F110"/>
  <c r="E110"/>
  <c r="D110"/>
  <c r="J36" i="30"/>
  <c r="I36"/>
  <c r="C21"/>
  <c r="C163" s="1"/>
  <c r="C20"/>
  <c r="C162" s="1"/>
  <c r="C19"/>
  <c r="C161" s="1"/>
  <c r="C18"/>
  <c r="C160" s="1"/>
  <c r="C16"/>
  <c r="C158" s="1"/>
  <c r="C15"/>
  <c r="C157" s="1"/>
  <c r="C14"/>
  <c r="C156" s="1"/>
  <c r="L10" i="54"/>
  <c r="AZ13" i="55"/>
  <c r="AP13"/>
  <c r="BN13" s="1"/>
  <c r="AO13"/>
  <c r="U10" i="54" l="1"/>
  <c r="R10"/>
  <c r="AA98" i="2"/>
  <c r="Q10" i="54"/>
  <c r="S10" s="1"/>
  <c r="AA99" i="2"/>
  <c r="AB99"/>
  <c r="D101"/>
  <c r="D102" s="1"/>
  <c r="F102" s="1"/>
  <c r="I102" s="1"/>
  <c r="F100"/>
  <c r="J110" i="18"/>
  <c r="Y24" i="55"/>
  <c r="J111" i="18"/>
  <c r="D36" i="2"/>
  <c r="D14"/>
  <c r="T10" i="54" l="1"/>
  <c r="I100" i="2"/>
  <c r="AA100"/>
  <c r="AB100"/>
  <c r="D104"/>
  <c r="D163" s="1"/>
  <c r="F101"/>
  <c r="I101" s="1"/>
  <c r="D37"/>
  <c r="D15"/>
  <c r="BM13" i="55"/>
  <c r="F105" i="2" l="1"/>
  <c r="F106"/>
  <c r="F104"/>
  <c r="D164"/>
  <c r="H163"/>
  <c r="D17"/>
  <c r="D16"/>
  <c r="F16" s="1"/>
  <c r="H16" s="1"/>
  <c r="K16" s="1"/>
  <c r="I104"/>
  <c r="I106"/>
  <c r="I105"/>
  <c r="AA101"/>
  <c r="AA104" s="1"/>
  <c r="D106"/>
  <c r="D116"/>
  <c r="AB101"/>
  <c r="AB104" s="1"/>
  <c r="D38"/>
  <c r="D165" l="1"/>
  <c r="H164"/>
  <c r="D117"/>
  <c r="D39"/>
  <c r="D18"/>
  <c r="D166" l="1"/>
  <c r="H165"/>
  <c r="D40"/>
  <c r="D118"/>
  <c r="D41"/>
  <c r="D19"/>
  <c r="B25"/>
  <c r="B23"/>
  <c r="D167" l="1"/>
  <c r="H166"/>
  <c r="B64"/>
  <c r="N25"/>
  <c r="N64" s="1"/>
  <c r="B62"/>
  <c r="N23"/>
  <c r="N62" s="1"/>
  <c r="AE19"/>
  <c r="D20"/>
  <c r="S20" i="55"/>
  <c r="S19"/>
  <c r="S18"/>
  <c r="S17"/>
  <c r="S15"/>
  <c r="S14"/>
  <c r="S13"/>
  <c r="D23" i="2" l="1"/>
  <c r="D21"/>
  <c r="F21" s="1"/>
  <c r="D168"/>
  <c r="H167"/>
  <c r="S31" i="55"/>
  <c r="S24"/>
  <c r="D169" i="2" l="1"/>
  <c r="H168"/>
  <c r="H21"/>
  <c r="K21" s="1"/>
  <c r="AA21"/>
  <c r="P23" i="18"/>
  <c r="P59" s="1"/>
  <c r="L23"/>
  <c r="P22"/>
  <c r="P58" s="1"/>
  <c r="L22"/>
  <c r="P21"/>
  <c r="P57" s="1"/>
  <c r="L21"/>
  <c r="P20"/>
  <c r="P56" s="1"/>
  <c r="L20"/>
  <c r="P18"/>
  <c r="P54" s="1"/>
  <c r="L18"/>
  <c r="P17"/>
  <c r="P53" s="1"/>
  <c r="L17"/>
  <c r="P16"/>
  <c r="L16"/>
  <c r="L15" i="52"/>
  <c r="D170" i="2" l="1"/>
  <c r="H169"/>
  <c r="C54"/>
  <c r="F54" s="1"/>
  <c r="P52" i="18"/>
  <c r="C59" i="2"/>
  <c r="C57"/>
  <c r="F57" s="1"/>
  <c r="H57" s="1"/>
  <c r="C56"/>
  <c r="C60"/>
  <c r="C58"/>
  <c r="C55"/>
  <c r="AD13"/>
  <c r="K13"/>
  <c r="P28" i="18"/>
  <c r="P27"/>
  <c r="J14" i="30"/>
  <c r="J16"/>
  <c r="J18"/>
  <c r="J20"/>
  <c r="J15"/>
  <c r="J19"/>
  <c r="J21"/>
  <c r="C106" i="2"/>
  <c r="F19"/>
  <c r="F17"/>
  <c r="F15"/>
  <c r="G28" i="15" s="1"/>
  <c r="F20" i="2"/>
  <c r="F18"/>
  <c r="F14"/>
  <c r="P26" i="18"/>
  <c r="I19" i="44"/>
  <c r="I18"/>
  <c r="I17"/>
  <c r="I16"/>
  <c r="I14"/>
  <c r="I13"/>
  <c r="I12"/>
  <c r="H19"/>
  <c r="H18"/>
  <c r="H17"/>
  <c r="H16"/>
  <c r="H14"/>
  <c r="H13"/>
  <c r="H12"/>
  <c r="B19"/>
  <c r="O23" i="18" s="1"/>
  <c r="O59" s="1"/>
  <c r="B18" i="44"/>
  <c r="O22" i="18" s="1"/>
  <c r="O58" s="1"/>
  <c r="B17" i="44"/>
  <c r="O21" i="18" s="1"/>
  <c r="O57" s="1"/>
  <c r="B16" i="44"/>
  <c r="O20" i="18" s="1"/>
  <c r="O56" s="1"/>
  <c r="B14" i="44"/>
  <c r="O18" i="18" s="1"/>
  <c r="O54" s="1"/>
  <c r="B13" i="44"/>
  <c r="O17" i="18" s="1"/>
  <c r="O53" s="1"/>
  <c r="B12" i="44"/>
  <c r="AA12" i="14"/>
  <c r="I23" i="44" l="1"/>
  <c r="I22"/>
  <c r="F23" i="2"/>
  <c r="F25"/>
  <c r="F24"/>
  <c r="P64" i="18"/>
  <c r="P63"/>
  <c r="P62"/>
  <c r="H22" i="44"/>
  <c r="H23"/>
  <c r="O16" i="18"/>
  <c r="O52" s="1"/>
  <c r="O63" s="1"/>
  <c r="B22" i="44"/>
  <c r="B23"/>
  <c r="D171" i="2"/>
  <c r="H170"/>
  <c r="E16" i="18"/>
  <c r="E52" s="1"/>
  <c r="I52" s="1"/>
  <c r="I130" i="30"/>
  <c r="H16" i="6" s="1"/>
  <c r="E21" i="18"/>
  <c r="E57" s="1"/>
  <c r="I57" s="1"/>
  <c r="I135" i="30"/>
  <c r="H21" i="6" s="1"/>
  <c r="E17" i="18"/>
  <c r="E53" s="1"/>
  <c r="I53" s="1"/>
  <c r="I131" i="30"/>
  <c r="H17" i="6" s="1"/>
  <c r="E20" i="18"/>
  <c r="E56" s="1"/>
  <c r="I134" i="30"/>
  <c r="H20" i="6" s="1"/>
  <c r="E22" i="18"/>
  <c r="E58" s="1"/>
  <c r="I58" s="1"/>
  <c r="I136" i="30"/>
  <c r="H22" i="6" s="1"/>
  <c r="E18" i="18"/>
  <c r="E54" s="1"/>
  <c r="I54" s="1"/>
  <c r="I132" i="30"/>
  <c r="H18" i="6" s="1"/>
  <c r="E23" i="18"/>
  <c r="E59" s="1"/>
  <c r="I59" s="1"/>
  <c r="I137" i="30"/>
  <c r="H23" i="6" s="1"/>
  <c r="AA15" i="2"/>
  <c r="H15"/>
  <c r="K15" s="1"/>
  <c r="G31" i="15" s="1"/>
  <c r="AA17" i="2"/>
  <c r="H17"/>
  <c r="K17" s="1"/>
  <c r="AA19"/>
  <c r="H19"/>
  <c r="K19" s="1"/>
  <c r="AA14"/>
  <c r="H14"/>
  <c r="AA18"/>
  <c r="H18"/>
  <c r="K18" s="1"/>
  <c r="AA20"/>
  <c r="H20"/>
  <c r="K20" s="1"/>
  <c r="I31" i="15" s="1"/>
  <c r="H54" i="2"/>
  <c r="K54" s="1"/>
  <c r="C104"/>
  <c r="C74"/>
  <c r="C75" s="1"/>
  <c r="G32" i="15"/>
  <c r="C62" i="2"/>
  <c r="J79" i="30"/>
  <c r="J77"/>
  <c r="J75"/>
  <c r="C64" i="2"/>
  <c r="J80" i="30"/>
  <c r="J78"/>
  <c r="J74"/>
  <c r="F55" i="2"/>
  <c r="F58"/>
  <c r="F60"/>
  <c r="F56"/>
  <c r="K57"/>
  <c r="F59"/>
  <c r="S53" i="18"/>
  <c r="S57"/>
  <c r="S59"/>
  <c r="I56"/>
  <c r="S52"/>
  <c r="O62"/>
  <c r="S54"/>
  <c r="S56"/>
  <c r="S58"/>
  <c r="J73" i="30"/>
  <c r="O27" i="18"/>
  <c r="O28"/>
  <c r="R14" i="55"/>
  <c r="R20"/>
  <c r="R13"/>
  <c r="R15"/>
  <c r="R17"/>
  <c r="R19"/>
  <c r="R18"/>
  <c r="O64" i="18" l="1"/>
  <c r="E28"/>
  <c r="E27"/>
  <c r="D173" i="2"/>
  <c r="H173" s="1"/>
  <c r="H171"/>
  <c r="S63" i="18"/>
  <c r="K14" i="2"/>
  <c r="H24"/>
  <c r="H25"/>
  <c r="H23"/>
  <c r="H27" s="1"/>
  <c r="AA23"/>
  <c r="F27"/>
  <c r="F30" s="1"/>
  <c r="H28" i="15"/>
  <c r="C76" i="2"/>
  <c r="F75"/>
  <c r="H75" s="1"/>
  <c r="K75" s="1"/>
  <c r="H60"/>
  <c r="K60" s="1"/>
  <c r="H55"/>
  <c r="K55" s="1"/>
  <c r="H59"/>
  <c r="K59" s="1"/>
  <c r="H56"/>
  <c r="K56" s="1"/>
  <c r="H58"/>
  <c r="K58" s="1"/>
  <c r="C36"/>
  <c r="F36" s="1"/>
  <c r="H36" s="1"/>
  <c r="K36" s="1"/>
  <c r="C116"/>
  <c r="F116" s="1"/>
  <c r="I116" s="1"/>
  <c r="F74"/>
  <c r="H74" s="1"/>
  <c r="K74" s="1"/>
  <c r="R31" i="55"/>
  <c r="J103" i="30"/>
  <c r="J134" s="1"/>
  <c r="I20" i="6" s="1"/>
  <c r="J101" i="30"/>
  <c r="J132" s="1"/>
  <c r="I18" i="6" s="1"/>
  <c r="J105" i="30"/>
  <c r="J136" s="1"/>
  <c r="I22" i="6" s="1"/>
  <c r="E62" i="18"/>
  <c r="E64"/>
  <c r="E63"/>
  <c r="J106" i="30"/>
  <c r="J137" s="1"/>
  <c r="F62" i="2"/>
  <c r="F66" s="1"/>
  <c r="F64"/>
  <c r="J100" i="30"/>
  <c r="J131" s="1"/>
  <c r="I17" i="6" s="1"/>
  <c r="J104" i="30"/>
  <c r="J135" s="1"/>
  <c r="I21" i="6" s="1"/>
  <c r="F63" i="2"/>
  <c r="S64" i="18"/>
  <c r="S62"/>
  <c r="I64"/>
  <c r="I63"/>
  <c r="I62"/>
  <c r="J99" i="30"/>
  <c r="J130" s="1"/>
  <c r="J83"/>
  <c r="R24" i="55"/>
  <c r="AE18" i="2"/>
  <c r="AF19" s="1"/>
  <c r="K23" l="1"/>
  <c r="K27" s="1"/>
  <c r="K24"/>
  <c r="K25"/>
  <c r="J193" i="30"/>
  <c r="J218" s="1"/>
  <c r="J162"/>
  <c r="J160"/>
  <c r="H29" i="2"/>
  <c r="J158" i="30"/>
  <c r="J190"/>
  <c r="J215" s="1"/>
  <c r="J191"/>
  <c r="J216" s="1"/>
  <c r="J157"/>
  <c r="I16" i="6"/>
  <c r="J189" i="30"/>
  <c r="J214" s="1"/>
  <c r="J156"/>
  <c r="I23" i="6"/>
  <c r="J163" i="30"/>
  <c r="J194"/>
  <c r="J219" s="1"/>
  <c r="J192"/>
  <c r="J217" s="1"/>
  <c r="J161"/>
  <c r="J140"/>
  <c r="F29" i="2"/>
  <c r="H30"/>
  <c r="H62"/>
  <c r="H66" s="1"/>
  <c r="C77"/>
  <c r="F76"/>
  <c r="H76" s="1"/>
  <c r="K76" s="1"/>
  <c r="K62"/>
  <c r="K66" s="1"/>
  <c r="K63"/>
  <c r="K64"/>
  <c r="H64"/>
  <c r="H63"/>
  <c r="C37"/>
  <c r="C117"/>
  <c r="F117" s="1"/>
  <c r="I117" s="1"/>
  <c r="F69"/>
  <c r="F68"/>
  <c r="J109" i="30"/>
  <c r="H32" i="15"/>
  <c r="F108" i="2"/>
  <c r="K30" l="1"/>
  <c r="H31" i="15"/>
  <c r="K29" i="2"/>
  <c r="H68"/>
  <c r="J196" i="30"/>
  <c r="H69" i="2"/>
  <c r="J166" i="30"/>
  <c r="C78" i="2"/>
  <c r="F77"/>
  <c r="H77" s="1"/>
  <c r="K77" s="1"/>
  <c r="K68"/>
  <c r="K69"/>
  <c r="C118"/>
  <c r="F118" s="1"/>
  <c r="I118" s="1"/>
  <c r="C38"/>
  <c r="F37"/>
  <c r="H37" s="1"/>
  <c r="K37" s="1"/>
  <c r="J221" i="30"/>
  <c r="F110" i="2"/>
  <c r="F111"/>
  <c r="I110"/>
  <c r="I108"/>
  <c r="I111"/>
  <c r="C79" l="1"/>
  <c r="F79" s="1"/>
  <c r="H79" s="1"/>
  <c r="K79" s="1"/>
  <c r="F78"/>
  <c r="H78" s="1"/>
  <c r="K78" s="1"/>
  <c r="AE23"/>
  <c r="C39"/>
  <c r="F38"/>
  <c r="H38" s="1"/>
  <c r="K38" s="1"/>
  <c r="W16" i="57"/>
  <c r="X17"/>
  <c r="W17"/>
  <c r="X16"/>
  <c r="V17"/>
  <c r="V16"/>
  <c r="U17"/>
  <c r="U16"/>
  <c r="T17"/>
  <c r="T16"/>
  <c r="M17"/>
  <c r="L17"/>
  <c r="M16"/>
  <c r="L16"/>
  <c r="H17"/>
  <c r="G17"/>
  <c r="H16"/>
  <c r="G16"/>
  <c r="S14"/>
  <c r="S13"/>
  <c r="S12"/>
  <c r="S11"/>
  <c r="S10"/>
  <c r="S9"/>
  <c r="S8"/>
  <c r="S7"/>
  <c r="S6"/>
  <c r="S5"/>
  <c r="K17"/>
  <c r="K16"/>
  <c r="I17"/>
  <c r="I16"/>
  <c r="C31"/>
  <c r="C30"/>
  <c r="R17"/>
  <c r="Q17"/>
  <c r="P17"/>
  <c r="O17"/>
  <c r="N17"/>
  <c r="F17"/>
  <c r="R16"/>
  <c r="Q16"/>
  <c r="P16"/>
  <c r="O16"/>
  <c r="N16"/>
  <c r="F16"/>
  <c r="D17"/>
  <c r="D16"/>
  <c r="CC20" i="55"/>
  <c r="CC19"/>
  <c r="CC18"/>
  <c r="CC17"/>
  <c r="CC15"/>
  <c r="CC14"/>
  <c r="CC13"/>
  <c r="C40" i="2" l="1"/>
  <c r="AE25"/>
  <c r="F39"/>
  <c r="H39" s="1"/>
  <c r="K39" s="1"/>
  <c r="C41"/>
  <c r="CC24" i="55"/>
  <c r="CC23"/>
  <c r="S21" i="57"/>
  <c r="S25"/>
  <c r="S27"/>
  <c r="S17"/>
  <c r="S24"/>
  <c r="S26"/>
  <c r="S16"/>
  <c r="S30" l="1"/>
  <c r="S31"/>
  <c r="F40" i="2"/>
  <c r="H40" s="1"/>
  <c r="K40" s="1"/>
  <c r="F41"/>
  <c r="H41" s="1"/>
  <c r="K41" s="1"/>
  <c r="AE26"/>
  <c r="AE32"/>
  <c r="AE35" l="1"/>
  <c r="AF32" l="1"/>
  <c r="AY20" i="55"/>
  <c r="AT20"/>
  <c r="AO20"/>
  <c r="BM20" s="1"/>
  <c r="AO19"/>
  <c r="BM19" s="1"/>
  <c r="BD18"/>
  <c r="BJ18" s="1"/>
  <c r="AZ18"/>
  <c r="AZ31" s="1"/>
  <c r="AZ33" s="1"/>
  <c r="AY18"/>
  <c r="AU18"/>
  <c r="AT18"/>
  <c r="AP18"/>
  <c r="AO18"/>
  <c r="BM18" s="1"/>
  <c r="BD17"/>
  <c r="AY17"/>
  <c r="AT17"/>
  <c r="AO17"/>
  <c r="AO31" s="1"/>
  <c r="AK24"/>
  <c r="AK23"/>
  <c r="AJ24"/>
  <c r="AJ23"/>
  <c r="AF24"/>
  <c r="AF23"/>
  <c r="AE24"/>
  <c r="AE23"/>
  <c r="AA24"/>
  <c r="AA23"/>
  <c r="L12" i="54"/>
  <c r="BD15" i="55"/>
  <c r="BJ15" s="1"/>
  <c r="AZ15"/>
  <c r="AY15"/>
  <c r="AU15"/>
  <c r="AT15"/>
  <c r="AP15"/>
  <c r="BN15" s="1"/>
  <c r="AO15"/>
  <c r="BM15" s="1"/>
  <c r="AY26"/>
  <c r="AT26"/>
  <c r="AO26"/>
  <c r="AE26"/>
  <c r="AE33" s="1"/>
  <c r="BD14"/>
  <c r="BJ14" s="1"/>
  <c r="AZ14"/>
  <c r="AZ24" s="1"/>
  <c r="AY14"/>
  <c r="AU14"/>
  <c r="AU23" s="1"/>
  <c r="AU28" s="1"/>
  <c r="AT14"/>
  <c r="AP14"/>
  <c r="BN14" s="1"/>
  <c r="AO14"/>
  <c r="BM14" s="1"/>
  <c r="BD13"/>
  <c r="AY13"/>
  <c r="AT13"/>
  <c r="BK28"/>
  <c r="Z24"/>
  <c r="U24"/>
  <c r="T24"/>
  <c r="Z23"/>
  <c r="U23"/>
  <c r="T23"/>
  <c r="K14"/>
  <c r="K23" s="1"/>
  <c r="J14"/>
  <c r="J23" s="1"/>
  <c r="I14"/>
  <c r="I23" s="1"/>
  <c r="H14"/>
  <c r="H23" s="1"/>
  <c r="S23"/>
  <c r="R23"/>
  <c r="E23"/>
  <c r="R12" i="54" l="1"/>
  <c r="U12"/>
  <c r="AY31" i="55"/>
  <c r="Q12" i="54"/>
  <c r="BD31" i="55"/>
  <c r="BD33" s="1"/>
  <c r="BJ17"/>
  <c r="BJ31" s="1"/>
  <c r="BJ33" s="1"/>
  <c r="AP31"/>
  <c r="AP33" s="1"/>
  <c r="AT31"/>
  <c r="BJ24"/>
  <c r="BJ13"/>
  <c r="BJ23"/>
  <c r="BJ28" s="1"/>
  <c r="AY33"/>
  <c r="BM26"/>
  <c r="AU31"/>
  <c r="AU33" s="1"/>
  <c r="BE23"/>
  <c r="BE28" s="1"/>
  <c r="L11" i="54"/>
  <c r="L15"/>
  <c r="BM17" i="55"/>
  <c r="BM31" s="1"/>
  <c r="BM33" s="1"/>
  <c r="AO33"/>
  <c r="AT33"/>
  <c r="AP24"/>
  <c r="BN18"/>
  <c r="BN31" s="1"/>
  <c r="BN33" s="1"/>
  <c r="AU24"/>
  <c r="BE24"/>
  <c r="AZ23"/>
  <c r="AZ28" s="1"/>
  <c r="BD24"/>
  <c r="CB19"/>
  <c r="CB17"/>
  <c r="CB15"/>
  <c r="CB13"/>
  <c r="CB20"/>
  <c r="CB18"/>
  <c r="CB14"/>
  <c r="AP23"/>
  <c r="AP28" s="1"/>
  <c r="AY24"/>
  <c r="AT24"/>
  <c r="AO24"/>
  <c r="BD23"/>
  <c r="BD28" s="1"/>
  <c r="AY23"/>
  <c r="AY28" s="1"/>
  <c r="AT23"/>
  <c r="AT28" s="1"/>
  <c r="AO23"/>
  <c r="AO28" s="1"/>
  <c r="H24"/>
  <c r="J24"/>
  <c r="I24"/>
  <c r="K24"/>
  <c r="AF38" i="14"/>
  <c r="U11" i="54" l="1"/>
  <c r="R11"/>
  <c r="R20" s="1"/>
  <c r="R24" s="1"/>
  <c r="T12"/>
  <c r="S12"/>
  <c r="Q15"/>
  <c r="U15"/>
  <c r="R15"/>
  <c r="BM23" i="55"/>
  <c r="BM24"/>
  <c r="L20" i="54"/>
  <c r="L24" s="1"/>
  <c r="Q11"/>
  <c r="BM28" i="55"/>
  <c r="BN24"/>
  <c r="BN23"/>
  <c r="BN28" s="1"/>
  <c r="CB24"/>
  <c r="CB23"/>
  <c r="C20" i="54"/>
  <c r="C24" s="1"/>
  <c r="D20"/>
  <c r="D24" s="1"/>
  <c r="E20"/>
  <c r="E24" s="1"/>
  <c r="F20"/>
  <c r="F24" s="1"/>
  <c r="G24"/>
  <c r="H24"/>
  <c r="I24"/>
  <c r="J24"/>
  <c r="K24"/>
  <c r="Q20" l="1"/>
  <c r="H37" i="15" s="1"/>
  <c r="T11" i="54"/>
  <c r="S11"/>
  <c r="T15"/>
  <c r="S15"/>
  <c r="U20"/>
  <c r="U24" s="1"/>
  <c r="I107" i="18"/>
  <c r="I106"/>
  <c r="I105"/>
  <c r="I104"/>
  <c r="I103"/>
  <c r="I102"/>
  <c r="I101"/>
  <c r="I100"/>
  <c r="Q24" i="54" l="1"/>
  <c r="T20"/>
  <c r="T24" s="1"/>
  <c r="S20"/>
  <c r="S24" s="1"/>
  <c r="I111" i="18"/>
  <c r="I110"/>
  <c r="B107" l="1"/>
  <c r="B106"/>
  <c r="B105"/>
  <c r="B104"/>
  <c r="B103"/>
  <c r="B102"/>
  <c r="B101"/>
  <c r="B100"/>
  <c r="Q12" i="52"/>
  <c r="P12"/>
  <c r="O12"/>
  <c r="N12"/>
  <c r="M12"/>
  <c r="Q11"/>
  <c r="P11"/>
  <c r="C30" s="1"/>
  <c r="C22" i="18" s="1"/>
  <c r="O11" i="52"/>
  <c r="N11"/>
  <c r="M11"/>
  <c r="Q10"/>
  <c r="P10"/>
  <c r="O10"/>
  <c r="N10"/>
  <c r="M10"/>
  <c r="Q9"/>
  <c r="P9"/>
  <c r="C28" s="1"/>
  <c r="C20" i="18" s="1"/>
  <c r="O9" i="52"/>
  <c r="N9"/>
  <c r="M9"/>
  <c r="Q7"/>
  <c r="P7"/>
  <c r="O7"/>
  <c r="N7"/>
  <c r="M7"/>
  <c r="Q6"/>
  <c r="P6"/>
  <c r="V6" s="1"/>
  <c r="C25" s="1"/>
  <c r="C17" i="18" s="1"/>
  <c r="O6" i="52"/>
  <c r="N6"/>
  <c r="M6"/>
  <c r="B36"/>
  <c r="B23"/>
  <c r="B22"/>
  <c r="B21"/>
  <c r="B31"/>
  <c r="B30"/>
  <c r="B29"/>
  <c r="B28"/>
  <c r="B26"/>
  <c r="B25"/>
  <c r="G5"/>
  <c r="R5" s="1"/>
  <c r="F5"/>
  <c r="E5"/>
  <c r="K5" s="1"/>
  <c r="D5"/>
  <c r="C5"/>
  <c r="M5" s="1"/>
  <c r="K15" l="1"/>
  <c r="B24"/>
  <c r="V7"/>
  <c r="C26" s="1"/>
  <c r="V10"/>
  <c r="C29" s="1"/>
  <c r="D31"/>
  <c r="E31" s="1"/>
  <c r="F31" s="1"/>
  <c r="G31" s="1"/>
  <c r="H31" s="1"/>
  <c r="I31" s="1"/>
  <c r="J31" s="1"/>
  <c r="D25"/>
  <c r="E25" s="1"/>
  <c r="F25" s="1"/>
  <c r="G25" s="1"/>
  <c r="H25" s="1"/>
  <c r="I25" s="1"/>
  <c r="J25" s="1"/>
  <c r="D28"/>
  <c r="E28" s="1"/>
  <c r="F28" s="1"/>
  <c r="D30"/>
  <c r="E30" s="1"/>
  <c r="F30" s="1"/>
  <c r="G30" s="1"/>
  <c r="H30" s="1"/>
  <c r="I30" s="1"/>
  <c r="J30" s="1"/>
  <c r="G28"/>
  <c r="H28" s="1"/>
  <c r="I28" s="1"/>
  <c r="J28" s="1"/>
  <c r="N5"/>
  <c r="I15" i="30"/>
  <c r="I19"/>
  <c r="I21"/>
  <c r="B111" i="18"/>
  <c r="B110"/>
  <c r="I16" i="30"/>
  <c r="I18"/>
  <c r="I20"/>
  <c r="S17" i="18"/>
  <c r="S21"/>
  <c r="S23"/>
  <c r="S16"/>
  <c r="O26"/>
  <c r="S18"/>
  <c r="S20"/>
  <c r="S22"/>
  <c r="P5" i="52"/>
  <c r="O5"/>
  <c r="B34"/>
  <c r="Q5"/>
  <c r="D24"/>
  <c r="E24" s="1"/>
  <c r="F24" s="1"/>
  <c r="AB22" i="14"/>
  <c r="AJ22"/>
  <c r="AI22"/>
  <c r="AK22"/>
  <c r="X22"/>
  <c r="W22"/>
  <c r="V22"/>
  <c r="Z22"/>
  <c r="AD22"/>
  <c r="AG22"/>
  <c r="AF22"/>
  <c r="C23" i="18" l="1"/>
  <c r="G21" i="30" s="1"/>
  <c r="K31" i="52"/>
  <c r="C18" i="18"/>
  <c r="G16" i="30" s="1"/>
  <c r="D26" i="52"/>
  <c r="E26" s="1"/>
  <c r="F26" s="1"/>
  <c r="G26" s="1"/>
  <c r="H26" s="1"/>
  <c r="I26" s="1"/>
  <c r="J26" s="1"/>
  <c r="C21" i="18"/>
  <c r="C57" s="1"/>
  <c r="D29" i="52"/>
  <c r="E29" s="1"/>
  <c r="F29" s="1"/>
  <c r="G29" s="1"/>
  <c r="H29" s="1"/>
  <c r="I29" s="1"/>
  <c r="J29" s="1"/>
  <c r="K30"/>
  <c r="K28"/>
  <c r="K26"/>
  <c r="K25"/>
  <c r="G24"/>
  <c r="C58" i="18"/>
  <c r="G20" i="30"/>
  <c r="M22" i="18"/>
  <c r="N22" s="1"/>
  <c r="T22" s="1"/>
  <c r="C56"/>
  <c r="G18" i="30"/>
  <c r="M20" i="18"/>
  <c r="N20" s="1"/>
  <c r="T20" s="1"/>
  <c r="G19" i="30"/>
  <c r="C53" i="18"/>
  <c r="G15" i="30"/>
  <c r="M17" i="18"/>
  <c r="N17" s="1"/>
  <c r="T17" s="1"/>
  <c r="I79" i="30"/>
  <c r="I75"/>
  <c r="I77"/>
  <c r="I80"/>
  <c r="I163"/>
  <c r="I78"/>
  <c r="I74"/>
  <c r="S27" i="18"/>
  <c r="S28"/>
  <c r="F27"/>
  <c r="F28"/>
  <c r="I14" i="30"/>
  <c r="S26" i="18"/>
  <c r="E13" i="40"/>
  <c r="E14"/>
  <c r="E15"/>
  <c r="D17"/>
  <c r="D17" i="18"/>
  <c r="D20"/>
  <c r="D22"/>
  <c r="E26" i="6"/>
  <c r="F24" i="30"/>
  <c r="E67" i="6"/>
  <c r="F50" i="30"/>
  <c r="F54" s="1"/>
  <c r="P22" i="14"/>
  <c r="Q22"/>
  <c r="J47" i="30"/>
  <c r="I60" i="6" s="1"/>
  <c r="J46" i="30"/>
  <c r="I59" i="6" s="1"/>
  <c r="J45" i="30"/>
  <c r="I58" i="6" s="1"/>
  <c r="J44" i="30"/>
  <c r="I57" i="6" s="1"/>
  <c r="J42" i="30"/>
  <c r="I55" i="6" s="1"/>
  <c r="J40" i="30"/>
  <c r="I53" i="6" s="1"/>
  <c r="B6" i="2"/>
  <c r="A17" i="18"/>
  <c r="B126" i="2" s="1"/>
  <c r="A18" i="18"/>
  <c r="B127" i="2" s="1"/>
  <c r="A20" i="18"/>
  <c r="B128" i="2" s="1"/>
  <c r="A21" i="18"/>
  <c r="B19" i="30" s="1"/>
  <c r="A22" i="18"/>
  <c r="B130" i="2" s="1"/>
  <c r="A23" i="18"/>
  <c r="J41" i="30"/>
  <c r="I54" i="6" s="1"/>
  <c r="A16" i="18"/>
  <c r="B3" i="30"/>
  <c r="B62" s="1"/>
  <c r="B64"/>
  <c r="J24"/>
  <c r="F25"/>
  <c r="F26"/>
  <c r="F51"/>
  <c r="A6" i="18"/>
  <c r="A98"/>
  <c r="A77" s="1"/>
  <c r="Q23" i="14"/>
  <c r="P23"/>
  <c r="B3" i="15"/>
  <c r="B3" i="2"/>
  <c r="N3" s="1"/>
  <c r="A4" i="6"/>
  <c r="A41" s="1"/>
  <c r="A4" i="18"/>
  <c r="I26" i="6"/>
  <c r="E27"/>
  <c r="E28"/>
  <c r="C59" i="18" l="1"/>
  <c r="D59" s="1"/>
  <c r="M23"/>
  <c r="N23" s="1"/>
  <c r="T23" s="1"/>
  <c r="M18"/>
  <c r="N18" s="1"/>
  <c r="T18" s="1"/>
  <c r="K29" i="52"/>
  <c r="C54" i="18"/>
  <c r="M54" s="1"/>
  <c r="N54" s="1"/>
  <c r="K24" i="52"/>
  <c r="H24"/>
  <c r="I24" s="1"/>
  <c r="J24" s="1"/>
  <c r="D23" i="18"/>
  <c r="H23" s="1"/>
  <c r="D21"/>
  <c r="Y17" i="14" s="1"/>
  <c r="D18" i="18"/>
  <c r="H18" s="1"/>
  <c r="M21"/>
  <c r="N21" s="1"/>
  <c r="T21" s="1"/>
  <c r="H23" i="15"/>
  <c r="B47" i="2"/>
  <c r="N47" s="1"/>
  <c r="N6"/>
  <c r="E30" i="6"/>
  <c r="I104" i="30"/>
  <c r="I106"/>
  <c r="I100"/>
  <c r="I103"/>
  <c r="I105"/>
  <c r="I101"/>
  <c r="B50" i="6"/>
  <c r="C153" i="30"/>
  <c r="B125" i="2"/>
  <c r="B13" s="1"/>
  <c r="B21" i="30"/>
  <c r="B47" s="1"/>
  <c r="B80" s="1"/>
  <c r="B131" i="2"/>
  <c r="B129"/>
  <c r="B18" s="1"/>
  <c r="F28" i="30"/>
  <c r="Y18" i="14"/>
  <c r="Y16"/>
  <c r="A58" i="18"/>
  <c r="K58" s="1"/>
  <c r="A56"/>
  <c r="K56" s="1"/>
  <c r="A53"/>
  <c r="K53" s="1"/>
  <c r="B14" i="2"/>
  <c r="B14" i="30"/>
  <c r="B130" s="1"/>
  <c r="A59" i="18"/>
  <c r="K59" s="1"/>
  <c r="A57"/>
  <c r="K57" s="1"/>
  <c r="A54"/>
  <c r="K54" s="1"/>
  <c r="B20" i="30"/>
  <c r="B136" s="1"/>
  <c r="B18"/>
  <c r="B44" s="1"/>
  <c r="B77" s="1"/>
  <c r="A43" i="6"/>
  <c r="B15" i="30"/>
  <c r="B131" s="1"/>
  <c r="C52" i="18"/>
  <c r="D16"/>
  <c r="G14" i="30"/>
  <c r="M16" i="18"/>
  <c r="N16" s="1"/>
  <c r="G132" i="30"/>
  <c r="F18" i="6" s="1"/>
  <c r="G75" i="30"/>
  <c r="G135"/>
  <c r="F21" i="6" s="1"/>
  <c r="G78" i="30"/>
  <c r="G137"/>
  <c r="F23" i="6" s="1"/>
  <c r="G80" i="30"/>
  <c r="G134"/>
  <c r="F20" i="6" s="1"/>
  <c r="G77" i="30"/>
  <c r="G136"/>
  <c r="F22" i="6" s="1"/>
  <c r="G79" i="30"/>
  <c r="R18" i="18"/>
  <c r="Q18"/>
  <c r="M57"/>
  <c r="N57" s="1"/>
  <c r="D57"/>
  <c r="R20"/>
  <c r="Q20"/>
  <c r="M56"/>
  <c r="N56" s="1"/>
  <c r="D56"/>
  <c r="R22"/>
  <c r="Q22"/>
  <c r="M58"/>
  <c r="N58" s="1"/>
  <c r="D58"/>
  <c r="H16" i="30"/>
  <c r="H42" s="1"/>
  <c r="G55" i="6" s="1"/>
  <c r="H19" i="30"/>
  <c r="H45" s="1"/>
  <c r="G58" i="6" s="1"/>
  <c r="G42" i="30"/>
  <c r="G45"/>
  <c r="H22" i="18"/>
  <c r="R17"/>
  <c r="Q17"/>
  <c r="M53"/>
  <c r="N53" s="1"/>
  <c r="D53"/>
  <c r="G74" i="30"/>
  <c r="G131"/>
  <c r="F17" i="6" s="1"/>
  <c r="H20" i="18"/>
  <c r="H17"/>
  <c r="Y13" i="14"/>
  <c r="A100" i="18"/>
  <c r="A79" s="1"/>
  <c r="B16" i="30"/>
  <c r="B42" s="1"/>
  <c r="B75" s="1"/>
  <c r="B84" i="2"/>
  <c r="N84" s="1"/>
  <c r="B44"/>
  <c r="N44" s="1"/>
  <c r="I73" i="30"/>
  <c r="B45"/>
  <c r="B78" s="1"/>
  <c r="B135"/>
  <c r="B121"/>
  <c r="B119"/>
  <c r="I190"/>
  <c r="I157"/>
  <c r="I193"/>
  <c r="I161"/>
  <c r="I192"/>
  <c r="I160"/>
  <c r="I191"/>
  <c r="I158"/>
  <c r="I194"/>
  <c r="I162"/>
  <c r="K4" i="18"/>
  <c r="A40"/>
  <c r="K40" s="1"/>
  <c r="A52"/>
  <c r="K52" s="1"/>
  <c r="K6"/>
  <c r="A42"/>
  <c r="K42" s="1"/>
  <c r="B87" i="2"/>
  <c r="N87" s="1"/>
  <c r="E69" i="6"/>
  <c r="E70"/>
  <c r="K16" i="18"/>
  <c r="A105"/>
  <c r="A84" s="1"/>
  <c r="K22"/>
  <c r="A103"/>
  <c r="A82" s="1"/>
  <c r="K20"/>
  <c r="A102"/>
  <c r="A81" s="1"/>
  <c r="K18"/>
  <c r="A106"/>
  <c r="A85" s="1"/>
  <c r="K23"/>
  <c r="A104"/>
  <c r="A83" s="1"/>
  <c r="K21"/>
  <c r="A101"/>
  <c r="A80" s="1"/>
  <c r="K17"/>
  <c r="K16" i="30"/>
  <c r="I18" i="18"/>
  <c r="I42" i="30"/>
  <c r="H55" i="6" s="1"/>
  <c r="I17" i="18"/>
  <c r="I41" i="30"/>
  <c r="H54" i="6" s="1"/>
  <c r="G17" i="18"/>
  <c r="I16"/>
  <c r="I40" i="30"/>
  <c r="H53" i="6" s="1"/>
  <c r="I23" i="18"/>
  <c r="I47" i="30"/>
  <c r="H60" i="6" s="1"/>
  <c r="G23" i="18"/>
  <c r="I21"/>
  <c r="I45" i="30"/>
  <c r="H58" i="6" s="1"/>
  <c r="G22" i="18"/>
  <c r="I22"/>
  <c r="I46" i="30"/>
  <c r="H59" i="6" s="1"/>
  <c r="I20" i="18"/>
  <c r="G20"/>
  <c r="E26"/>
  <c r="K19" i="30"/>
  <c r="K135" s="1"/>
  <c r="J21" i="6" s="1"/>
  <c r="A107" i="18"/>
  <c r="A86" s="1"/>
  <c r="J50" i="30"/>
  <c r="E17" i="40"/>
  <c r="I63" i="6"/>
  <c r="K15" i="30"/>
  <c r="K131" s="1"/>
  <c r="J17" i="6" s="1"/>
  <c r="G41" i="30"/>
  <c r="H15"/>
  <c r="H41" s="1"/>
  <c r="G54" i="6" s="1"/>
  <c r="D54" i="18" l="1"/>
  <c r="J54" s="1"/>
  <c r="M59"/>
  <c r="N59" s="1"/>
  <c r="T59" s="1"/>
  <c r="Y20" i="14"/>
  <c r="B41" i="30"/>
  <c r="B74" s="1"/>
  <c r="B100" s="1"/>
  <c r="G18" i="18"/>
  <c r="R23"/>
  <c r="Q23"/>
  <c r="Y14" i="14"/>
  <c r="N26" i="18"/>
  <c r="K34" i="52"/>
  <c r="B40" i="30"/>
  <c r="B73" s="1"/>
  <c r="B46"/>
  <c r="B79" s="1"/>
  <c r="B105" s="1"/>
  <c r="Q21" i="18"/>
  <c r="G21"/>
  <c r="R21"/>
  <c r="H21"/>
  <c r="B137" i="30"/>
  <c r="B163" s="1"/>
  <c r="E33" i="6"/>
  <c r="E32"/>
  <c r="B157" i="30"/>
  <c r="B190" s="1"/>
  <c r="B215" s="1"/>
  <c r="A17" i="6"/>
  <c r="A54" s="1"/>
  <c r="B156" i="30"/>
  <c r="B189" s="1"/>
  <c r="B214" s="1"/>
  <c r="A16" i="6"/>
  <c r="A53" s="1"/>
  <c r="B161" i="30"/>
  <c r="B193" s="1"/>
  <c r="B218" s="1"/>
  <c r="A21" i="6"/>
  <c r="A58" s="1"/>
  <c r="B162" i="30"/>
  <c r="B194" s="1"/>
  <c r="B219" s="1"/>
  <c r="A22" i="6"/>
  <c r="H22" i="15"/>
  <c r="K41" i="30"/>
  <c r="F54" i="6"/>
  <c r="K42" i="30"/>
  <c r="F55" i="6"/>
  <c r="B54" i="2"/>
  <c r="N13"/>
  <c r="N54" s="1"/>
  <c r="K45" i="30"/>
  <c r="F58" i="6"/>
  <c r="B55" i="2"/>
  <c r="N14"/>
  <c r="N55" s="1"/>
  <c r="B58"/>
  <c r="N18"/>
  <c r="N58" s="1"/>
  <c r="B99" i="30"/>
  <c r="A59" i="6"/>
  <c r="B134" i="30"/>
  <c r="B104"/>
  <c r="B106"/>
  <c r="B101"/>
  <c r="B103"/>
  <c r="I99"/>
  <c r="I109" s="1"/>
  <c r="D27" i="18"/>
  <c r="B20" i="2"/>
  <c r="D26" i="18"/>
  <c r="B17" i="2"/>
  <c r="D28" i="18"/>
  <c r="B132" i="30"/>
  <c r="B15" i="2"/>
  <c r="B19"/>
  <c r="N27" i="18"/>
  <c r="N28"/>
  <c r="R16"/>
  <c r="Q16"/>
  <c r="T16"/>
  <c r="Y12" i="14"/>
  <c r="G16" i="18"/>
  <c r="H16"/>
  <c r="G130" i="30"/>
  <c r="F16" i="6" s="1"/>
  <c r="G73" i="30"/>
  <c r="K14"/>
  <c r="H14"/>
  <c r="H40" s="1"/>
  <c r="G53" i="6" s="1"/>
  <c r="G40" i="30"/>
  <c r="M52" i="18"/>
  <c r="N52" s="1"/>
  <c r="D52"/>
  <c r="Y22" i="14"/>
  <c r="H58" i="18"/>
  <c r="G58"/>
  <c r="J58"/>
  <c r="I16" i="15" s="1"/>
  <c r="H56" i="18"/>
  <c r="G56"/>
  <c r="J56"/>
  <c r="H59"/>
  <c r="G59"/>
  <c r="J59"/>
  <c r="G16" i="15" s="1"/>
  <c r="H57" i="18"/>
  <c r="G57"/>
  <c r="J57"/>
  <c r="H79" i="30"/>
  <c r="G105"/>
  <c r="K105" s="1"/>
  <c r="L105" s="1"/>
  <c r="M105" s="1"/>
  <c r="N105" s="1"/>
  <c r="O105" s="1"/>
  <c r="P105" s="1"/>
  <c r="Q105" s="1"/>
  <c r="D105" s="1"/>
  <c r="E105" s="1"/>
  <c r="K79"/>
  <c r="H77"/>
  <c r="G103"/>
  <c r="K103" s="1"/>
  <c r="L103" s="1"/>
  <c r="M103" s="1"/>
  <c r="N103" s="1"/>
  <c r="O103" s="1"/>
  <c r="P103" s="1"/>
  <c r="Q103" s="1"/>
  <c r="D103" s="1"/>
  <c r="E103" s="1"/>
  <c r="K77"/>
  <c r="G106"/>
  <c r="K106" s="1"/>
  <c r="L106" s="1"/>
  <c r="M106" s="1"/>
  <c r="N106" s="1"/>
  <c r="O106" s="1"/>
  <c r="P106" s="1"/>
  <c r="Q106" s="1"/>
  <c r="D106" s="1"/>
  <c r="E106" s="1"/>
  <c r="H80"/>
  <c r="K80"/>
  <c r="G104"/>
  <c r="K104" s="1"/>
  <c r="L104" s="1"/>
  <c r="M104" s="1"/>
  <c r="N104" s="1"/>
  <c r="O104" s="1"/>
  <c r="P104" s="1"/>
  <c r="Q104" s="1"/>
  <c r="D104" s="1"/>
  <c r="E104" s="1"/>
  <c r="H78"/>
  <c r="K78"/>
  <c r="H75"/>
  <c r="G101"/>
  <c r="K101" s="1"/>
  <c r="L101" s="1"/>
  <c r="M101" s="1"/>
  <c r="N101" s="1"/>
  <c r="O101" s="1"/>
  <c r="P101" s="1"/>
  <c r="Q101" s="1"/>
  <c r="D101" s="1"/>
  <c r="E101" s="1"/>
  <c r="K75"/>
  <c r="R58" i="18"/>
  <c r="Q58"/>
  <c r="T58"/>
  <c r="R56"/>
  <c r="Q56"/>
  <c r="T56"/>
  <c r="R57"/>
  <c r="Q57"/>
  <c r="T57"/>
  <c r="R54"/>
  <c r="Q54"/>
  <c r="T54"/>
  <c r="G194" i="30"/>
  <c r="G162"/>
  <c r="K162" s="1"/>
  <c r="L162" s="1"/>
  <c r="M162" s="1"/>
  <c r="N162" s="1"/>
  <c r="O162" s="1"/>
  <c r="P162" s="1"/>
  <c r="Q162" s="1"/>
  <c r="D162" s="1"/>
  <c r="E162" s="1"/>
  <c r="H136"/>
  <c r="G160"/>
  <c r="K160" s="1"/>
  <c r="L160" s="1"/>
  <c r="M160" s="1"/>
  <c r="N160" s="1"/>
  <c r="O160" s="1"/>
  <c r="P160" s="1"/>
  <c r="Q160" s="1"/>
  <c r="D160" s="1"/>
  <c r="E160" s="1"/>
  <c r="H134"/>
  <c r="G192"/>
  <c r="G163"/>
  <c r="K163" s="1"/>
  <c r="L163" s="1"/>
  <c r="M163" s="1"/>
  <c r="N163" s="1"/>
  <c r="O163" s="1"/>
  <c r="P163" s="1"/>
  <c r="Q163" s="1"/>
  <c r="D163" s="1"/>
  <c r="E163" s="1"/>
  <c r="H137"/>
  <c r="G193"/>
  <c r="G161"/>
  <c r="K161" s="1"/>
  <c r="L161" s="1"/>
  <c r="M161" s="1"/>
  <c r="N161" s="1"/>
  <c r="O161" s="1"/>
  <c r="P161" s="1"/>
  <c r="Q161" s="1"/>
  <c r="D161" s="1"/>
  <c r="E161" s="1"/>
  <c r="H135"/>
  <c r="G191"/>
  <c r="G158"/>
  <c r="K158" s="1"/>
  <c r="L158" s="1"/>
  <c r="M158" s="1"/>
  <c r="N158" s="1"/>
  <c r="O158" s="1"/>
  <c r="P158" s="1"/>
  <c r="Q158" s="1"/>
  <c r="D158" s="1"/>
  <c r="E158" s="1"/>
  <c r="H132"/>
  <c r="H74"/>
  <c r="G100"/>
  <c r="K100" s="1"/>
  <c r="L100" s="1"/>
  <c r="M100" s="1"/>
  <c r="N100" s="1"/>
  <c r="O100" s="1"/>
  <c r="P100" s="1"/>
  <c r="Q100" s="1"/>
  <c r="D100" s="1"/>
  <c r="E100" s="1"/>
  <c r="K74"/>
  <c r="H53" i="18"/>
  <c r="G53"/>
  <c r="J53"/>
  <c r="G190" i="30"/>
  <c r="G157"/>
  <c r="K157" s="1"/>
  <c r="L157" s="1"/>
  <c r="M157" s="1"/>
  <c r="N157" s="1"/>
  <c r="O157" s="1"/>
  <c r="P157" s="1"/>
  <c r="Q157" s="1"/>
  <c r="D157" s="1"/>
  <c r="E157" s="1"/>
  <c r="H131"/>
  <c r="G17" i="6" s="1"/>
  <c r="R53" i="18"/>
  <c r="Q53"/>
  <c r="T53"/>
  <c r="G17" i="15" s="1"/>
  <c r="I83" i="30"/>
  <c r="J20" i="18"/>
  <c r="J23"/>
  <c r="J17"/>
  <c r="J18"/>
  <c r="J22"/>
  <c r="J21"/>
  <c r="J16"/>
  <c r="L16" i="30"/>
  <c r="K132"/>
  <c r="J18" i="6" s="1"/>
  <c r="I219" i="30"/>
  <c r="I216"/>
  <c r="I217"/>
  <c r="I218"/>
  <c r="I215"/>
  <c r="B176"/>
  <c r="B178"/>
  <c r="I189"/>
  <c r="I156"/>
  <c r="I140"/>
  <c r="I28" i="18"/>
  <c r="I27"/>
  <c r="L19" i="30"/>
  <c r="I44"/>
  <c r="I24"/>
  <c r="G47"/>
  <c r="F60" i="6" s="1"/>
  <c r="K21" i="30"/>
  <c r="K137" s="1"/>
  <c r="J23" i="6" s="1"/>
  <c r="H21" i="30"/>
  <c r="H47" s="1"/>
  <c r="G60" i="6" s="1"/>
  <c r="L15" i="30"/>
  <c r="I26" i="18"/>
  <c r="G46" i="30"/>
  <c r="K20"/>
  <c r="K136" s="1"/>
  <c r="J22" i="6" s="1"/>
  <c r="H20" i="30"/>
  <c r="H46" s="1"/>
  <c r="G59" i="6" s="1"/>
  <c r="H26"/>
  <c r="G44" i="30"/>
  <c r="K18"/>
  <c r="K134" s="1"/>
  <c r="J20" i="6" s="1"/>
  <c r="H18" i="30"/>
  <c r="H44" s="1"/>
  <c r="G57" i="6" s="1"/>
  <c r="R59" i="18" l="1"/>
  <c r="H54"/>
  <c r="Q59"/>
  <c r="G54"/>
  <c r="D63"/>
  <c r="R28"/>
  <c r="Q28"/>
  <c r="G63" i="6"/>
  <c r="N64" i="18"/>
  <c r="N63"/>
  <c r="H26"/>
  <c r="H30" s="1"/>
  <c r="A23" i="6"/>
  <c r="A60" s="1"/>
  <c r="G27" i="18"/>
  <c r="Q26"/>
  <c r="Q30" s="1"/>
  <c r="H158" i="30"/>
  <c r="G18" i="6"/>
  <c r="H161" i="30"/>
  <c r="G21" i="6"/>
  <c r="H160" i="30"/>
  <c r="G20" i="6"/>
  <c r="H162" i="30"/>
  <c r="G22" i="6"/>
  <c r="H163" i="30"/>
  <c r="G23" i="6"/>
  <c r="B158" i="30"/>
  <c r="B191" s="1"/>
  <c r="B216" s="1"/>
  <c r="A18" i="6"/>
  <c r="A55" s="1"/>
  <c r="B160" i="30"/>
  <c r="B192" s="1"/>
  <c r="B217" s="1"/>
  <c r="A20" i="6"/>
  <c r="A57" s="1"/>
  <c r="G52" i="15"/>
  <c r="G51"/>
  <c r="G50"/>
  <c r="K44" i="30"/>
  <c r="F57" i="6"/>
  <c r="K46" i="30"/>
  <c r="F59" i="6"/>
  <c r="L74" i="30"/>
  <c r="L75"/>
  <c r="H101"/>
  <c r="H104"/>
  <c r="L80"/>
  <c r="L79"/>
  <c r="H105"/>
  <c r="B59" i="2"/>
  <c r="N19"/>
  <c r="N59" s="1"/>
  <c r="B57"/>
  <c r="N17"/>
  <c r="N57" s="1"/>
  <c r="L45" i="30"/>
  <c r="J58" i="6"/>
  <c r="L42" i="30"/>
  <c r="J55" i="6"/>
  <c r="L41" i="30"/>
  <c r="J54" i="6"/>
  <c r="L78" i="30"/>
  <c r="H106"/>
  <c r="L77"/>
  <c r="H103"/>
  <c r="K40"/>
  <c r="J53" i="6" s="1"/>
  <c r="F53"/>
  <c r="B56" i="2"/>
  <c r="N15"/>
  <c r="N56" s="1"/>
  <c r="B60"/>
  <c r="N20"/>
  <c r="N60" s="1"/>
  <c r="I50" i="30"/>
  <c r="H57" i="6"/>
  <c r="H63" s="1"/>
  <c r="G28" i="18"/>
  <c r="R27"/>
  <c r="G26"/>
  <c r="G30" s="1"/>
  <c r="G33" s="1"/>
  <c r="D62"/>
  <c r="J52"/>
  <c r="J63" s="1"/>
  <c r="N62"/>
  <c r="R26"/>
  <c r="R30" s="1"/>
  <c r="D64"/>
  <c r="Q27"/>
  <c r="H27"/>
  <c r="H28"/>
  <c r="H52"/>
  <c r="G52"/>
  <c r="K130" i="30"/>
  <c r="J16" i="6" s="1"/>
  <c r="L14" i="30"/>
  <c r="G189"/>
  <c r="G156"/>
  <c r="K156" s="1"/>
  <c r="L156" s="1"/>
  <c r="M156" s="1"/>
  <c r="N156" s="1"/>
  <c r="O156" s="1"/>
  <c r="P156" s="1"/>
  <c r="H130"/>
  <c r="T27" i="18"/>
  <c r="T28"/>
  <c r="T26"/>
  <c r="R52"/>
  <c r="Q52"/>
  <c r="T52"/>
  <c r="H73" i="30"/>
  <c r="G99"/>
  <c r="K99" s="1"/>
  <c r="L99" s="1"/>
  <c r="M99" s="1"/>
  <c r="N99" s="1"/>
  <c r="O99" s="1"/>
  <c r="P99" s="1"/>
  <c r="Q99" s="1"/>
  <c r="D99" s="1"/>
  <c r="E99" s="1"/>
  <c r="K73"/>
  <c r="G217"/>
  <c r="K217" s="1"/>
  <c r="L217" s="1"/>
  <c r="M217" s="1"/>
  <c r="N217" s="1"/>
  <c r="O217" s="1"/>
  <c r="P217" s="1"/>
  <c r="Q217" s="1"/>
  <c r="D217" s="1"/>
  <c r="E217" s="1"/>
  <c r="H192"/>
  <c r="H217" s="1"/>
  <c r="K192"/>
  <c r="L192" s="1"/>
  <c r="M192" s="1"/>
  <c r="N192" s="1"/>
  <c r="O192" s="1"/>
  <c r="P192" s="1"/>
  <c r="Q192" s="1"/>
  <c r="D192" s="1"/>
  <c r="E192" s="1"/>
  <c r="H194"/>
  <c r="H219" s="1"/>
  <c r="G219"/>
  <c r="K219" s="1"/>
  <c r="L219" s="1"/>
  <c r="M219" s="1"/>
  <c r="N219" s="1"/>
  <c r="O219" s="1"/>
  <c r="P219" s="1"/>
  <c r="Q219" s="1"/>
  <c r="D219" s="1"/>
  <c r="E219" s="1"/>
  <c r="K194"/>
  <c r="L194" s="1"/>
  <c r="M194" s="1"/>
  <c r="N194" s="1"/>
  <c r="O194" s="1"/>
  <c r="P194" s="1"/>
  <c r="Q194" s="1"/>
  <c r="D194" s="1"/>
  <c r="E194" s="1"/>
  <c r="H191"/>
  <c r="H216" s="1"/>
  <c r="G216"/>
  <c r="K216" s="1"/>
  <c r="L216" s="1"/>
  <c r="M216" s="1"/>
  <c r="N216" s="1"/>
  <c r="O216" s="1"/>
  <c r="P216" s="1"/>
  <c r="Q216" s="1"/>
  <c r="D216" s="1"/>
  <c r="E216" s="1"/>
  <c r="K191"/>
  <c r="L191" s="1"/>
  <c r="M191" s="1"/>
  <c r="N191" s="1"/>
  <c r="O191" s="1"/>
  <c r="P191" s="1"/>
  <c r="Q191" s="1"/>
  <c r="D191" s="1"/>
  <c r="E191" s="1"/>
  <c r="G218"/>
  <c r="K218" s="1"/>
  <c r="L218" s="1"/>
  <c r="M218" s="1"/>
  <c r="N218" s="1"/>
  <c r="O218" s="1"/>
  <c r="P218" s="1"/>
  <c r="Q218" s="1"/>
  <c r="D218" s="1"/>
  <c r="E218" s="1"/>
  <c r="H193"/>
  <c r="H218" s="1"/>
  <c r="K193"/>
  <c r="L193" s="1"/>
  <c r="M193" s="1"/>
  <c r="N193" s="1"/>
  <c r="O193" s="1"/>
  <c r="P193" s="1"/>
  <c r="Q193" s="1"/>
  <c r="D193" s="1"/>
  <c r="E193" s="1"/>
  <c r="H100"/>
  <c r="H157"/>
  <c r="H190"/>
  <c r="H215" s="1"/>
  <c r="G215"/>
  <c r="K215" s="1"/>
  <c r="L215" s="1"/>
  <c r="M215" s="1"/>
  <c r="N215" s="1"/>
  <c r="O215" s="1"/>
  <c r="P215" s="1"/>
  <c r="Q215" s="1"/>
  <c r="D215" s="1"/>
  <c r="E215" s="1"/>
  <c r="K190"/>
  <c r="L190" s="1"/>
  <c r="M190" s="1"/>
  <c r="N190" s="1"/>
  <c r="O190" s="1"/>
  <c r="P190" s="1"/>
  <c r="Q190" s="1"/>
  <c r="D190" s="1"/>
  <c r="E190" s="1"/>
  <c r="H38" i="44"/>
  <c r="O20" i="2" s="1"/>
  <c r="I38" i="44"/>
  <c r="J26" i="18"/>
  <c r="M15" i="30"/>
  <c r="L131"/>
  <c r="K17" i="6" s="1"/>
  <c r="I214" i="30"/>
  <c r="I196"/>
  <c r="M16"/>
  <c r="L132"/>
  <c r="K18" i="6" s="1"/>
  <c r="M19" i="30"/>
  <c r="L135"/>
  <c r="K21" i="6" s="1"/>
  <c r="I166" i="30"/>
  <c r="Q156"/>
  <c r="D156" s="1"/>
  <c r="E156" s="1"/>
  <c r="K47"/>
  <c r="L21"/>
  <c r="L18"/>
  <c r="L20"/>
  <c r="H50"/>
  <c r="H24"/>
  <c r="J27" i="18"/>
  <c r="J28"/>
  <c r="H62" l="1"/>
  <c r="H66" s="1"/>
  <c r="G62"/>
  <c r="G66" s="1"/>
  <c r="R64"/>
  <c r="L40" i="30"/>
  <c r="K53" i="6" s="1"/>
  <c r="J62" i="18"/>
  <c r="J66" s="1"/>
  <c r="R32"/>
  <c r="T63"/>
  <c r="T62"/>
  <c r="T66" s="1"/>
  <c r="H17" i="15" s="1"/>
  <c r="Q33" i="18"/>
  <c r="G32"/>
  <c r="Q32"/>
  <c r="H156" i="30"/>
  <c r="H166" s="1"/>
  <c r="G16" i="6"/>
  <c r="G26" s="1"/>
  <c r="R20" i="2"/>
  <c r="T20" s="1"/>
  <c r="W20" s="1"/>
  <c r="O60"/>
  <c r="L47" i="30"/>
  <c r="J60" i="6"/>
  <c r="M77" i="30"/>
  <c r="M78"/>
  <c r="M41"/>
  <c r="K54" i="6"/>
  <c r="M42" i="30"/>
  <c r="K55" i="6"/>
  <c r="M45" i="30"/>
  <c r="K58" i="6"/>
  <c r="M79" i="30"/>
  <c r="M80"/>
  <c r="M75"/>
  <c r="M74"/>
  <c r="L46"/>
  <c r="J59" i="6"/>
  <c r="L44" i="30"/>
  <c r="J57" i="6"/>
  <c r="H99" i="30"/>
  <c r="H109" s="1"/>
  <c r="L73"/>
  <c r="M40"/>
  <c r="H63" i="18"/>
  <c r="R63"/>
  <c r="I17" i="15"/>
  <c r="H83" i="30"/>
  <c r="G63" i="18"/>
  <c r="Q63"/>
  <c r="H64"/>
  <c r="G64"/>
  <c r="H140" i="30"/>
  <c r="T74" i="18"/>
  <c r="R33"/>
  <c r="T64"/>
  <c r="T75"/>
  <c r="H32"/>
  <c r="H33"/>
  <c r="J64"/>
  <c r="R62"/>
  <c r="R66" s="1"/>
  <c r="Q62"/>
  <c r="Q64"/>
  <c r="T30"/>
  <c r="G214" i="30"/>
  <c r="K214" s="1"/>
  <c r="L214" s="1"/>
  <c r="M214" s="1"/>
  <c r="N214" s="1"/>
  <c r="O214" s="1"/>
  <c r="P214" s="1"/>
  <c r="Q214" s="1"/>
  <c r="D214" s="1"/>
  <c r="E214" s="1"/>
  <c r="H189"/>
  <c r="H214" s="1"/>
  <c r="K189"/>
  <c r="L189" s="1"/>
  <c r="M189" s="1"/>
  <c r="N189" s="1"/>
  <c r="O189" s="1"/>
  <c r="P189" s="1"/>
  <c r="Q189" s="1"/>
  <c r="D189" s="1"/>
  <c r="E189" s="1"/>
  <c r="L130"/>
  <c r="K16" i="6" s="1"/>
  <c r="M14" i="30"/>
  <c r="M20"/>
  <c r="L136"/>
  <c r="K22" i="6" s="1"/>
  <c r="I221" i="30"/>
  <c r="N15"/>
  <c r="M131"/>
  <c r="L17" i="6" s="1"/>
  <c r="M18" i="30"/>
  <c r="L134"/>
  <c r="K20" i="6" s="1"/>
  <c r="M21" i="30"/>
  <c r="L137"/>
  <c r="K23" i="6" s="1"/>
  <c r="N19" i="30"/>
  <c r="M135"/>
  <c r="L21" i="6" s="1"/>
  <c r="N16" i="30"/>
  <c r="M132"/>
  <c r="L18" i="6" s="1"/>
  <c r="J30" i="18"/>
  <c r="H51" i="15" l="1"/>
  <c r="H50"/>
  <c r="O50" s="1"/>
  <c r="H52"/>
  <c r="O101" i="2"/>
  <c r="R101" s="1"/>
  <c r="U101" s="1"/>
  <c r="R60"/>
  <c r="T60" s="1"/>
  <c r="W60" s="1"/>
  <c r="I52" i="15"/>
  <c r="I51"/>
  <c r="I50"/>
  <c r="M44" i="30"/>
  <c r="K57" i="6"/>
  <c r="M46" i="30"/>
  <c r="K59" i="6"/>
  <c r="N74" i="30"/>
  <c r="N75"/>
  <c r="N80"/>
  <c r="N79"/>
  <c r="N45"/>
  <c r="L58" i="6"/>
  <c r="N42" i="30"/>
  <c r="L55" i="6"/>
  <c r="N41" i="30"/>
  <c r="L54" i="6"/>
  <c r="N78" i="30"/>
  <c r="N77"/>
  <c r="M47"/>
  <c r="K60" i="6"/>
  <c r="N40" i="30"/>
  <c r="L53" i="6"/>
  <c r="M73" i="30"/>
  <c r="H16" i="15"/>
  <c r="H48" s="1"/>
  <c r="Q66" i="18"/>
  <c r="N14" i="30"/>
  <c r="M130"/>
  <c r="L16" i="6" s="1"/>
  <c r="T32" i="18"/>
  <c r="T33"/>
  <c r="G68"/>
  <c r="G69"/>
  <c r="R69"/>
  <c r="R68"/>
  <c r="H69"/>
  <c r="H68"/>
  <c r="J69"/>
  <c r="J68"/>
  <c r="T77"/>
  <c r="T69"/>
  <c r="T78"/>
  <c r="T68"/>
  <c r="H37" i="44"/>
  <c r="O19" i="2" s="1"/>
  <c r="I37" i="44"/>
  <c r="O15" i="30"/>
  <c r="N131"/>
  <c r="M17" i="6" s="1"/>
  <c r="N20" i="30"/>
  <c r="M136"/>
  <c r="L22" i="6" s="1"/>
  <c r="O16" i="30"/>
  <c r="N132"/>
  <c r="M18" i="6" s="1"/>
  <c r="O19" i="30"/>
  <c r="N135"/>
  <c r="M21" i="6" s="1"/>
  <c r="N21" i="30"/>
  <c r="M137"/>
  <c r="L23" i="6" s="1"/>
  <c r="N18" i="30"/>
  <c r="M134"/>
  <c r="L20" i="6" s="1"/>
  <c r="J32" i="18"/>
  <c r="J33"/>
  <c r="R19" i="2" l="1"/>
  <c r="T19" s="1"/>
  <c r="W19" s="1"/>
  <c r="O59"/>
  <c r="H49" i="15"/>
  <c r="O78" i="30"/>
  <c r="O42"/>
  <c r="M55" i="6"/>
  <c r="O77" i="30"/>
  <c r="O41"/>
  <c r="M54" i="6"/>
  <c r="O45" i="30"/>
  <c r="M58" i="6"/>
  <c r="O80" i="30"/>
  <c r="O74"/>
  <c r="N46"/>
  <c r="L59" i="6"/>
  <c r="N44" i="30"/>
  <c r="L57" i="6"/>
  <c r="N47" i="30"/>
  <c r="L60" i="6"/>
  <c r="O79" i="30"/>
  <c r="O75"/>
  <c r="N73"/>
  <c r="O40"/>
  <c r="M53" i="6"/>
  <c r="Q68" i="18"/>
  <c r="Q69"/>
  <c r="O14" i="30"/>
  <c r="N130"/>
  <c r="M16" i="6" s="1"/>
  <c r="O18" i="30"/>
  <c r="N134"/>
  <c r="M20" i="6" s="1"/>
  <c r="O21" i="30"/>
  <c r="N137"/>
  <c r="M23" i="6" s="1"/>
  <c r="P19" i="30"/>
  <c r="O135"/>
  <c r="P16"/>
  <c r="Q16" s="1"/>
  <c r="D16" s="1"/>
  <c r="E16" s="1"/>
  <c r="O132"/>
  <c r="O20"/>
  <c r="N136"/>
  <c r="M22" i="6" s="1"/>
  <c r="P15" i="30"/>
  <c r="O131"/>
  <c r="P131" l="1"/>
  <c r="N17" i="6"/>
  <c r="P132" i="30"/>
  <c r="N18" i="6"/>
  <c r="P135" i="30"/>
  <c r="N21" i="6"/>
  <c r="O100" i="2"/>
  <c r="R100" s="1"/>
  <c r="U100" s="1"/>
  <c r="R59"/>
  <c r="T59" s="1"/>
  <c r="W59" s="1"/>
  <c r="P75" i="30"/>
  <c r="P79"/>
  <c r="O47"/>
  <c r="M60" i="6"/>
  <c r="O46" i="30"/>
  <c r="M59" i="6"/>
  <c r="P74" i="30"/>
  <c r="P80"/>
  <c r="P45"/>
  <c r="N58" i="6"/>
  <c r="P41" i="30"/>
  <c r="N54" i="6"/>
  <c r="P77" i="30"/>
  <c r="P42"/>
  <c r="N55" i="6"/>
  <c r="P78" i="30"/>
  <c r="O44"/>
  <c r="M57" i="6"/>
  <c r="P40" i="30"/>
  <c r="N53" i="6"/>
  <c r="O73" i="30"/>
  <c r="O130"/>
  <c r="P14"/>
  <c r="Q14" s="1"/>
  <c r="D14" s="1"/>
  <c r="E14" s="1"/>
  <c r="H36" i="44"/>
  <c r="O18" i="2" s="1"/>
  <c r="I36" i="44"/>
  <c r="Q15" i="30"/>
  <c r="D15" s="1"/>
  <c r="E15" s="1"/>
  <c r="P20"/>
  <c r="O136"/>
  <c r="Q19"/>
  <c r="D19" s="1"/>
  <c r="E19" s="1"/>
  <c r="P21"/>
  <c r="O137"/>
  <c r="P18"/>
  <c r="O134"/>
  <c r="P137" l="1"/>
  <c r="N23" i="6"/>
  <c r="Q135" i="30"/>
  <c r="O21" i="6"/>
  <c r="Q132" i="30"/>
  <c r="O18" i="6"/>
  <c r="Q131" i="30"/>
  <c r="O17" i="6"/>
  <c r="P134" i="30"/>
  <c r="N20" i="6"/>
  <c r="P136" i="30"/>
  <c r="N22" i="6"/>
  <c r="P130" i="30"/>
  <c r="N16" i="6"/>
  <c r="R18" i="2"/>
  <c r="T18" s="1"/>
  <c r="W18" s="1"/>
  <c r="O58"/>
  <c r="Q78" i="30"/>
  <c r="Q77"/>
  <c r="O58" i="6"/>
  <c r="Q45" i="30"/>
  <c r="Q74"/>
  <c r="P46"/>
  <c r="N59" i="6"/>
  <c r="P47" i="30"/>
  <c r="N60" i="6"/>
  <c r="Q75" i="30"/>
  <c r="P44"/>
  <c r="N57" i="6"/>
  <c r="O55"/>
  <c r="Q42" i="30"/>
  <c r="O54" i="6"/>
  <c r="Q41" i="30"/>
  <c r="Q80"/>
  <c r="Q79"/>
  <c r="P73"/>
  <c r="Q40"/>
  <c r="O53" i="6"/>
  <c r="Q18" i="30"/>
  <c r="D18" s="1"/>
  <c r="E18" s="1"/>
  <c r="Q21"/>
  <c r="D21" s="1"/>
  <c r="E21" s="1"/>
  <c r="Q20"/>
  <c r="D20" s="1"/>
  <c r="E20" s="1"/>
  <c r="Q130" l="1"/>
  <c r="O16" i="6"/>
  <c r="Q136" i="30"/>
  <c r="O22" i="6"/>
  <c r="Q134" i="30"/>
  <c r="O20" i="6"/>
  <c r="P17"/>
  <c r="C17" s="1"/>
  <c r="D17" s="1"/>
  <c r="D131" i="30"/>
  <c r="E131" s="1"/>
  <c r="P18" i="6"/>
  <c r="C18" s="1"/>
  <c r="D18" s="1"/>
  <c r="D132" i="30"/>
  <c r="E132" s="1"/>
  <c r="P21" i="6"/>
  <c r="C21" s="1"/>
  <c r="D21" s="1"/>
  <c r="D135" i="30"/>
  <c r="E135" s="1"/>
  <c r="Q137"/>
  <c r="O23" i="6"/>
  <c r="O99" i="2"/>
  <c r="R99" s="1"/>
  <c r="U99" s="1"/>
  <c r="R58"/>
  <c r="T58" s="1"/>
  <c r="W58" s="1"/>
  <c r="P54" i="6"/>
  <c r="C54" s="1"/>
  <c r="D54" s="1"/>
  <c r="D41" i="30"/>
  <c r="E41" s="1"/>
  <c r="P55" i="6"/>
  <c r="C55" s="1"/>
  <c r="D55" s="1"/>
  <c r="D42" i="30"/>
  <c r="E42" s="1"/>
  <c r="O57" i="6"/>
  <c r="Q44" i="30"/>
  <c r="D75"/>
  <c r="E75" s="1"/>
  <c r="O59" i="6"/>
  <c r="Q46" i="30"/>
  <c r="D74"/>
  <c r="E74" s="1"/>
  <c r="D77"/>
  <c r="E77" s="1"/>
  <c r="D78"/>
  <c r="E78" s="1"/>
  <c r="D79"/>
  <c r="E79" s="1"/>
  <c r="D80"/>
  <c r="E80" s="1"/>
  <c r="Q47"/>
  <c r="O60" i="6"/>
  <c r="P58"/>
  <c r="C58" s="1"/>
  <c r="D58" s="1"/>
  <c r="D45" i="30"/>
  <c r="E45" s="1"/>
  <c r="P53" i="6"/>
  <c r="D40" i="30"/>
  <c r="E40" s="1"/>
  <c r="Q73"/>
  <c r="H35" i="44"/>
  <c r="O17" i="2" s="1"/>
  <c r="I35" i="44"/>
  <c r="P23" i="6" l="1"/>
  <c r="C23" s="1"/>
  <c r="D23" s="1"/>
  <c r="D137" i="30"/>
  <c r="E137" s="1"/>
  <c r="P20" i="6"/>
  <c r="C20" s="1"/>
  <c r="D20" s="1"/>
  <c r="D134" i="30"/>
  <c r="E134" s="1"/>
  <c r="P22" i="6"/>
  <c r="C22" s="1"/>
  <c r="D22" s="1"/>
  <c r="D136" i="30"/>
  <c r="E136" s="1"/>
  <c r="P16" i="6"/>
  <c r="C16" s="1"/>
  <c r="D16" s="1"/>
  <c r="D130" i="30"/>
  <c r="E130" s="1"/>
  <c r="R17" i="2"/>
  <c r="T17" s="1"/>
  <c r="W17" s="1"/>
  <c r="O57"/>
  <c r="O97" s="1"/>
  <c r="R97" s="1"/>
  <c r="U97" s="1"/>
  <c r="P60" i="6"/>
  <c r="C60" s="1"/>
  <c r="D60" s="1"/>
  <c r="D47" i="30"/>
  <c r="E47" s="1"/>
  <c r="P59" i="6"/>
  <c r="C59" s="1"/>
  <c r="D59" s="1"/>
  <c r="D46" i="30"/>
  <c r="E46" s="1"/>
  <c r="P57" i="6"/>
  <c r="C57" s="1"/>
  <c r="D57" s="1"/>
  <c r="D44" i="30"/>
  <c r="E44" s="1"/>
  <c r="D73"/>
  <c r="E73" s="1"/>
  <c r="O98" i="2" l="1"/>
  <c r="R98" s="1"/>
  <c r="U98" s="1"/>
  <c r="R57"/>
  <c r="T57" s="1"/>
  <c r="W57" s="1"/>
  <c r="C53" i="6" l="1"/>
  <c r="D53" s="1"/>
  <c r="H33" i="44"/>
  <c r="O15" i="2" s="1"/>
  <c r="R15" l="1"/>
  <c r="T15" s="1"/>
  <c r="W15" s="1"/>
  <c r="O56"/>
  <c r="H32" i="44"/>
  <c r="O14" i="2" s="1"/>
  <c r="I33" i="44"/>
  <c r="I32"/>
  <c r="O96" i="2" l="1"/>
  <c r="R96" s="1"/>
  <c r="U96" s="1"/>
  <c r="R56"/>
  <c r="T56" s="1"/>
  <c r="W56" s="1"/>
  <c r="R14"/>
  <c r="T14" s="1"/>
  <c r="W14" s="1"/>
  <c r="O55"/>
  <c r="E79" i="18"/>
  <c r="D79"/>
  <c r="C79"/>
  <c r="O95" i="2" l="1"/>
  <c r="R95" s="1"/>
  <c r="U95" s="1"/>
  <c r="R55"/>
  <c r="T55" s="1"/>
  <c r="W55" s="1"/>
  <c r="AA20" i="14"/>
  <c r="AA17"/>
  <c r="AA14"/>
  <c r="I19" i="43"/>
  <c r="I17"/>
  <c r="I14"/>
  <c r="B85" i="18"/>
  <c r="B83"/>
  <c r="B81"/>
  <c r="E80"/>
  <c r="D80"/>
  <c r="B80"/>
  <c r="AA13" i="14"/>
  <c r="I18" i="43"/>
  <c r="I16"/>
  <c r="I13"/>
  <c r="B86" i="18"/>
  <c r="AA18" i="14"/>
  <c r="B84" i="18"/>
  <c r="AA16" i="14"/>
  <c r="B82" i="18"/>
  <c r="E86"/>
  <c r="E85"/>
  <c r="E84"/>
  <c r="E83"/>
  <c r="E82"/>
  <c r="E81"/>
  <c r="D86"/>
  <c r="D85"/>
  <c r="D84"/>
  <c r="D83"/>
  <c r="D82"/>
  <c r="D81"/>
  <c r="C83"/>
  <c r="C84"/>
  <c r="C82"/>
  <c r="C85"/>
  <c r="C86"/>
  <c r="C81"/>
  <c r="C80"/>
  <c r="I22" i="43" l="1"/>
  <c r="I23"/>
  <c r="I81" i="18"/>
  <c r="I85"/>
  <c r="J83"/>
  <c r="AA22" i="14"/>
  <c r="B88" i="18"/>
  <c r="C88"/>
  <c r="J86"/>
  <c r="J82"/>
  <c r="I84"/>
  <c r="E89"/>
  <c r="D89"/>
  <c r="J80"/>
  <c r="I80"/>
  <c r="D88"/>
  <c r="B89"/>
  <c r="C89"/>
  <c r="J81"/>
  <c r="I82"/>
  <c r="I83"/>
  <c r="J84"/>
  <c r="J85"/>
  <c r="I86"/>
  <c r="E88"/>
  <c r="F79" l="1"/>
  <c r="F88" s="1"/>
  <c r="F42" i="44"/>
  <c r="J12" i="43"/>
  <c r="J23" l="1"/>
  <c r="J22"/>
  <c r="I79" i="18"/>
  <c r="I89" s="1"/>
  <c r="F89"/>
  <c r="I31" i="44"/>
  <c r="J79" i="18"/>
  <c r="F41" i="44"/>
  <c r="H31"/>
  <c r="O13" i="2" s="1"/>
  <c r="I88" i="18" l="1"/>
  <c r="O23" i="2"/>
  <c r="O25"/>
  <c r="O106" s="1"/>
  <c r="R13"/>
  <c r="O54"/>
  <c r="H42" i="44"/>
  <c r="H41"/>
  <c r="I42"/>
  <c r="I41"/>
  <c r="J88" i="18"/>
  <c r="J89"/>
  <c r="R25" i="2" l="1"/>
  <c r="R23"/>
  <c r="R27" s="1"/>
  <c r="R24"/>
  <c r="O94"/>
  <c r="R94" s="1"/>
  <c r="O62"/>
  <c r="O102" s="1"/>
  <c r="R102" s="1"/>
  <c r="U102" s="1"/>
  <c r="R54"/>
  <c r="O64"/>
  <c r="O74"/>
  <c r="O104"/>
  <c r="T13"/>
  <c r="R29" l="1"/>
  <c r="R104"/>
  <c r="R108" s="1"/>
  <c r="R106"/>
  <c r="T24"/>
  <c r="T25"/>
  <c r="T23"/>
  <c r="R30"/>
  <c r="W13"/>
  <c r="R74"/>
  <c r="T74" s="1"/>
  <c r="W74" s="1"/>
  <c r="O75"/>
  <c r="T54"/>
  <c r="R64"/>
  <c r="R62"/>
  <c r="R66" s="1"/>
  <c r="R63"/>
  <c r="U94"/>
  <c r="R105"/>
  <c r="O36"/>
  <c r="R36" s="1"/>
  <c r="T36" s="1"/>
  <c r="W36" s="1"/>
  <c r="O116"/>
  <c r="R116" s="1"/>
  <c r="U116" s="1"/>
  <c r="T29" l="1"/>
  <c r="U106"/>
  <c r="U105"/>
  <c r="U104"/>
  <c r="W25"/>
  <c r="W24"/>
  <c r="W23"/>
  <c r="O117"/>
  <c r="R117" s="1"/>
  <c r="U117" s="1"/>
  <c r="R110"/>
  <c r="R111"/>
  <c r="O76"/>
  <c r="R75"/>
  <c r="T75" s="1"/>
  <c r="W75" s="1"/>
  <c r="T27"/>
  <c r="T30"/>
  <c r="O37"/>
  <c r="R37" s="1"/>
  <c r="T37" s="1"/>
  <c r="W37" s="1"/>
  <c r="R68"/>
  <c r="R69"/>
  <c r="W54"/>
  <c r="T64"/>
  <c r="T62"/>
  <c r="T63"/>
  <c r="W29" l="1"/>
  <c r="W30"/>
  <c r="W27"/>
  <c r="T69"/>
  <c r="T68"/>
  <c r="T66"/>
  <c r="W64"/>
  <c r="W62"/>
  <c r="W63"/>
  <c r="O38"/>
  <c r="O118"/>
  <c r="R118" s="1"/>
  <c r="U118" s="1"/>
  <c r="U111"/>
  <c r="U108"/>
  <c r="U110"/>
  <c r="O77"/>
  <c r="R76"/>
  <c r="T76" s="1"/>
  <c r="W76" s="1"/>
  <c r="O39" l="1"/>
  <c r="R39" s="1"/>
  <c r="T39" s="1"/>
  <c r="W39" s="1"/>
  <c r="R38"/>
  <c r="T38" s="1"/>
  <c r="W38" s="1"/>
  <c r="W69"/>
  <c r="W68"/>
  <c r="W66"/>
  <c r="O78"/>
  <c r="R77"/>
  <c r="T77" s="1"/>
  <c r="W77" s="1"/>
  <c r="O79" l="1"/>
  <c r="R79" s="1"/>
  <c r="T79" s="1"/>
  <c r="W79" s="1"/>
  <c r="R78"/>
  <c r="T78" s="1"/>
  <c r="W78" s="1"/>
  <c r="O40"/>
  <c r="R40" s="1"/>
  <c r="T40" s="1"/>
  <c r="W40" s="1"/>
  <c r="O41"/>
  <c r="R41" s="1"/>
  <c r="T41" s="1"/>
  <c r="W41" s="1"/>
</calcChain>
</file>

<file path=xl/sharedStrings.xml><?xml version="1.0" encoding="utf-8"?>
<sst xmlns="http://schemas.openxmlformats.org/spreadsheetml/2006/main" count="3605" uniqueCount="863">
  <si>
    <t>E &amp; P operations and other non-reg dominate</t>
  </si>
  <si>
    <t>Ratio</t>
  </si>
  <si>
    <t>20-Year</t>
  </si>
  <si>
    <t>Company Name</t>
  </si>
  <si>
    <t>Stock Price</t>
  </si>
  <si>
    <t>AGL Resources</t>
  </si>
  <si>
    <t>B++</t>
  </si>
  <si>
    <t>Atmos Energy</t>
  </si>
  <si>
    <t>ATO</t>
  </si>
  <si>
    <t>B+</t>
  </si>
  <si>
    <t>Laclede Group</t>
  </si>
  <si>
    <t>LG</t>
  </si>
  <si>
    <t>New Jersey Resources</t>
  </si>
  <si>
    <t>A</t>
  </si>
  <si>
    <t>Northwest Nat. Gas</t>
  </si>
  <si>
    <t>NWN</t>
  </si>
  <si>
    <t>Piedmont Natural Gas</t>
  </si>
  <si>
    <t>PNY</t>
  </si>
  <si>
    <t>South Jersey Inds.</t>
  </si>
  <si>
    <t>SJI</t>
  </si>
  <si>
    <t>Ticker</t>
  </si>
  <si>
    <t>Median</t>
  </si>
  <si>
    <t>Indicated</t>
  </si>
  <si>
    <t>Dividend</t>
  </si>
  <si>
    <t>Equity</t>
  </si>
  <si>
    <t>Total</t>
  </si>
  <si>
    <t>Growth</t>
  </si>
  <si>
    <t>Projected</t>
  </si>
  <si>
    <t xml:space="preserve">Earnings Growth Forecasts </t>
  </si>
  <si>
    <t>Line</t>
  </si>
  <si>
    <t>Zacks</t>
  </si>
  <si>
    <t>Yahoo!</t>
  </si>
  <si>
    <t>Finance</t>
  </si>
  <si>
    <t>Reuters</t>
  </si>
  <si>
    <t>3-5 Year</t>
  </si>
  <si>
    <t>Financial</t>
  </si>
  <si>
    <t>Strength</t>
  </si>
  <si>
    <t>Price</t>
  </si>
  <si>
    <t>Average</t>
  </si>
  <si>
    <t>75-25 Wtd.</t>
  </si>
  <si>
    <t>Divd Yield</t>
  </si>
  <si>
    <t>on Current</t>
  </si>
  <si>
    <t>DCF Model Results</t>
  </si>
  <si>
    <t>Standard Deviation</t>
  </si>
  <si>
    <t>Calculated</t>
  </si>
  <si>
    <t>Estimated</t>
  </si>
  <si>
    <t>Year 1</t>
  </si>
  <si>
    <t>Year 2</t>
  </si>
  <si>
    <t>Year 3</t>
  </si>
  <si>
    <t>Year 4</t>
  </si>
  <si>
    <t>Year 5</t>
  </si>
  <si>
    <t>Terminal</t>
  </si>
  <si>
    <t>Value</t>
  </si>
  <si>
    <t>Difference</t>
  </si>
  <si>
    <t>V.L.</t>
  </si>
  <si>
    <t>S &amp; P</t>
  </si>
  <si>
    <t>Bond</t>
  </si>
  <si>
    <t>Rating</t>
  </si>
  <si>
    <t>BBB</t>
  </si>
  <si>
    <t>A-</t>
  </si>
  <si>
    <t>EPS Growth</t>
  </si>
  <si>
    <t>Divd. Growth</t>
  </si>
  <si>
    <t>Divd Growth</t>
  </si>
  <si>
    <t xml:space="preserve">Cost of </t>
  </si>
  <si>
    <t>5-Yr. EPS</t>
  </si>
  <si>
    <t>5-Yr. Divd.</t>
  </si>
  <si>
    <t>Capital Asset Pricing Model</t>
  </si>
  <si>
    <t>V.L. Beta</t>
  </si>
  <si>
    <t>T-Bill</t>
  </si>
  <si>
    <t>CAPM</t>
  </si>
  <si>
    <t>CAPM Results</t>
  </si>
  <si>
    <t>Two-Stage Discounted Cash Flow Models</t>
  </si>
  <si>
    <t>Single-Stage Discounted Cash Flow Models</t>
  </si>
  <si>
    <t>Symbol</t>
  </si>
  <si>
    <t>Comments</t>
  </si>
  <si>
    <t>Summary of Model Results</t>
  </si>
  <si>
    <t>Questar Gas</t>
  </si>
  <si>
    <t>Mean</t>
  </si>
  <si>
    <t>Revenues</t>
  </si>
  <si>
    <t>na</t>
  </si>
  <si>
    <t>Forecast</t>
  </si>
  <si>
    <t>Moody's</t>
  </si>
  <si>
    <t>A3</t>
  </si>
  <si>
    <t>Baa1</t>
  </si>
  <si>
    <t>Net</t>
  </si>
  <si>
    <t>Plant</t>
  </si>
  <si>
    <t>Questar Gas Company</t>
  </si>
  <si>
    <t>National Fuel Gas</t>
  </si>
  <si>
    <t>NFG</t>
  </si>
  <si>
    <t>Preliminary Selected Natural Gas Distribution Guideline Companies</t>
  </si>
  <si>
    <t>( $ millions)</t>
  </si>
  <si>
    <t>BBB-</t>
  </si>
  <si>
    <t>Mean All Companies</t>
  </si>
  <si>
    <t>Cost of Equity</t>
  </si>
  <si>
    <t>Wtd. Growth</t>
  </si>
  <si>
    <t xml:space="preserve">Weighted Average Growth (75% EPS / 25% Divd) </t>
  </si>
  <si>
    <t xml:space="preserve">Yields As Of </t>
  </si>
  <si>
    <t>Adjusted</t>
  </si>
  <si>
    <t>Beta</t>
  </si>
  <si>
    <t>GAS</t>
  </si>
  <si>
    <t xml:space="preserve">           Discounted using mid-year convention.</t>
  </si>
  <si>
    <t>WGL</t>
  </si>
  <si>
    <t>Sources: Value Line for Betas.  WSJ for current interest rates, Ibbotson &amp; Assoc. for historical data.</t>
  </si>
  <si>
    <t>Nicor</t>
  </si>
  <si>
    <t>WGL Holdings</t>
  </si>
  <si>
    <t>Total Capital</t>
  </si>
  <si>
    <t>Historical</t>
  </si>
  <si>
    <t>Net Income</t>
  </si>
  <si>
    <t>Note: dividend growth rates used for dividend forecasts, first year assumed 1/2 year rate;</t>
  </si>
  <si>
    <t xml:space="preserve"> terminal value based upon  75% EPS and 25% Divd. weighted growth rate.</t>
  </si>
  <si>
    <t>N/A</t>
  </si>
  <si>
    <t>B</t>
  </si>
  <si>
    <t>Model Using Forecast Dividend Growth Rates, Then 75% Earnings, 25 % Dividend Growth Rates</t>
  </si>
  <si>
    <t>Southwest Gas</t>
  </si>
  <si>
    <t>SWX</t>
  </si>
  <si>
    <t>Questar Gas Weighted Average Cost of Capital</t>
  </si>
  <si>
    <t>Capital</t>
  </si>
  <si>
    <t>Weighted</t>
  </si>
  <si>
    <t>Rate</t>
  </si>
  <si>
    <t>Structure</t>
  </si>
  <si>
    <t>Common Stock</t>
  </si>
  <si>
    <t>Preferred Stock</t>
  </si>
  <si>
    <t>Long-term Debt</t>
  </si>
  <si>
    <t>WACC</t>
  </si>
  <si>
    <t>Common Equity</t>
  </si>
  <si>
    <t>Northwest Natural Gas</t>
  </si>
  <si>
    <t>Other Regulated</t>
  </si>
  <si>
    <t>Income</t>
  </si>
  <si>
    <t>Mean Selected Companies</t>
  </si>
  <si>
    <t>65 percent natural gas operations plus mostly gas-related non-reg businesses, SELECTED</t>
  </si>
  <si>
    <t>57 percent natural gas operations plus mostly gas-related non-reg businesses, SELECTED</t>
  </si>
  <si>
    <t>57 percent natrual gas revenues; plus mostly gas-related non-reg businesses, SELECTED</t>
  </si>
  <si>
    <t>Nearly 100 percent natural gas operations. SELECTED</t>
  </si>
  <si>
    <t>67 percent natural gas utility, other gas-related operations;  SELECTED</t>
  </si>
  <si>
    <t>80 percent natural gas operations; construction co., SELECTED</t>
  </si>
  <si>
    <t>70 percent natural gas operations, SELECTED</t>
  </si>
  <si>
    <t>Beta Estimates</t>
  </si>
  <si>
    <t>Page 3 of 3</t>
  </si>
  <si>
    <t>Page 2 of 3</t>
  </si>
  <si>
    <t>Page 1 of 3</t>
  </si>
  <si>
    <t>Value Line</t>
  </si>
  <si>
    <t>Note: dividend growth rates used for dividend forecasts, first year assumed 1/2 year rate; terminal value based upon  75% EPS and 25% Divd. weighted growth rate.</t>
  </si>
  <si>
    <t>Note: average of divd. and  EPS growth rates used for dividend forecasts, first year assumed 1/2 year rate; terminal value based upon   EPS growth rate.</t>
  </si>
  <si>
    <t>AGL</t>
  </si>
  <si>
    <t>Chesapeake Utility</t>
  </si>
  <si>
    <t>CPK</t>
  </si>
  <si>
    <t>EGAS</t>
  </si>
  <si>
    <t>Nisource Inc Hldg Co</t>
  </si>
  <si>
    <t>NI</t>
  </si>
  <si>
    <t>Market</t>
  </si>
  <si>
    <t>Cap</t>
  </si>
  <si>
    <t>Revenue</t>
  </si>
  <si>
    <t>Earnings</t>
  </si>
  <si>
    <t>Per Share</t>
  </si>
  <si>
    <t>Yield</t>
  </si>
  <si>
    <t xml:space="preserve">S &amp; P </t>
  </si>
  <si>
    <t>Credit</t>
  </si>
  <si>
    <t>ROE</t>
  </si>
  <si>
    <t>(Million)</t>
  </si>
  <si>
    <t>Payout</t>
  </si>
  <si>
    <t>Analysts</t>
  </si>
  <si>
    <t xml:space="preserve">Estimated </t>
  </si>
  <si>
    <t>Property</t>
  </si>
  <si>
    <t>Preferred</t>
  </si>
  <si>
    <t xml:space="preserve">% Total </t>
  </si>
  <si>
    <t>Common</t>
  </si>
  <si>
    <t>LTD</t>
  </si>
  <si>
    <t>NA</t>
  </si>
  <si>
    <t>Relative</t>
  </si>
  <si>
    <t>Growth Rate</t>
  </si>
  <si>
    <t xml:space="preserve">Historical </t>
  </si>
  <si>
    <t xml:space="preserve"> Dividend</t>
  </si>
  <si>
    <t>Forecast  Dividend Growth</t>
  </si>
  <si>
    <t>Check projection against payout ratio in future years</t>
  </si>
  <si>
    <t>RETURN ON COMMON EQUITY</t>
  </si>
  <si>
    <t>Return on Equity Comparison</t>
  </si>
  <si>
    <t>Ba2</t>
  </si>
  <si>
    <t>Customers</t>
  </si>
  <si>
    <t>Baa2</t>
  </si>
  <si>
    <t>RGC Resources</t>
  </si>
  <si>
    <t>RGCO</t>
  </si>
  <si>
    <t>BBB+</t>
  </si>
  <si>
    <t>Total Revenues</t>
  </si>
  <si>
    <t>Net Plant</t>
  </si>
  <si>
    <t>Market Cap</t>
  </si>
  <si>
    <t>Earnings Per Share</t>
  </si>
  <si>
    <t>Payout Ratio</t>
  </si>
  <si>
    <t>-</t>
  </si>
  <si>
    <t xml:space="preserve">10 Year </t>
  </si>
  <si>
    <t>Treasury</t>
  </si>
  <si>
    <t>NJR</t>
  </si>
  <si>
    <t>Nicor Inc.</t>
  </si>
  <si>
    <t>South Jersey Industries</t>
  </si>
  <si>
    <t>WGL Holdings Inc.</t>
  </si>
  <si>
    <t>Value Line Summary Information</t>
  </si>
  <si>
    <t>Financial Strength</t>
  </si>
  <si>
    <t>Mkt Cap</t>
  </si>
  <si>
    <t>Compare</t>
  </si>
  <si>
    <t>to Questar</t>
  </si>
  <si>
    <t>Earnings Predictability</t>
  </si>
  <si>
    <t>TOTAL RETURN</t>
  </si>
  <si>
    <t>Historical1 Yr</t>
  </si>
  <si>
    <t>Historical3 Yr</t>
  </si>
  <si>
    <t>Historical 5 Yr</t>
  </si>
  <si>
    <t>Projected  3 Yr High</t>
  </si>
  <si>
    <t>Projected 3 Yr Low</t>
  </si>
  <si>
    <t>Projected Dividend Growth</t>
  </si>
  <si>
    <t>EARNINGS</t>
  </si>
  <si>
    <t>DIVIDEND</t>
  </si>
  <si>
    <t>Historical 5 Yr Growth</t>
  </si>
  <si>
    <t>Projected Growth</t>
  </si>
  <si>
    <t>Projected 3 year</t>
  </si>
  <si>
    <t>Projected Payout Ratio</t>
  </si>
  <si>
    <t>Long Term Debt Ratio</t>
  </si>
  <si>
    <t>Common Equity Ratio</t>
  </si>
  <si>
    <t>CAPITAL</t>
  </si>
  <si>
    <t>Return on Equity</t>
  </si>
  <si>
    <t>Projected Return on Equity</t>
  </si>
  <si>
    <t>VL Forecast</t>
  </si>
  <si>
    <t>Model Using Value Line Forecast Growth Rates</t>
  </si>
  <si>
    <t>+ / - Comparable Average</t>
  </si>
  <si>
    <t>5 years</t>
  </si>
  <si>
    <t xml:space="preserve">     </t>
  </si>
  <si>
    <t>Risk Premium</t>
  </si>
  <si>
    <t>Estimates</t>
  </si>
  <si>
    <t>Ibbotson</t>
  </si>
  <si>
    <t>Expected</t>
  </si>
  <si>
    <t>Return</t>
  </si>
  <si>
    <t>VL Beta</t>
  </si>
  <si>
    <t>10 Year Treasury</t>
  </si>
  <si>
    <t>10 Year Average</t>
  </si>
  <si>
    <t>Regulated Gas Utility</t>
  </si>
  <si>
    <t>%</t>
  </si>
  <si>
    <t>Change</t>
  </si>
  <si>
    <t>VL Projected</t>
  </si>
  <si>
    <t>Model Using Value Line Dividend  and Earnings Growth Rates</t>
  </si>
  <si>
    <t>Excluding</t>
  </si>
  <si>
    <t xml:space="preserve">Median </t>
  </si>
  <si>
    <t xml:space="preserve">Average </t>
  </si>
  <si>
    <t>Retention  Ratio</t>
  </si>
  <si>
    <t>Allowed</t>
  </si>
  <si>
    <t>Order</t>
  </si>
  <si>
    <t>Date</t>
  </si>
  <si>
    <t>20 Yr Bond</t>
  </si>
  <si>
    <t>10 Yr Bond</t>
  </si>
  <si>
    <t>20 Yr Treasury</t>
  </si>
  <si>
    <t>Demodoran</t>
  </si>
  <si>
    <t>30 Year Average</t>
  </si>
  <si>
    <t>50 Year Average</t>
  </si>
  <si>
    <t>20 Year Average</t>
  </si>
  <si>
    <t>40 Year Average</t>
  </si>
  <si>
    <t>Range = Results +/- 1 Std Deviation</t>
  </si>
  <si>
    <t>Model Using The Average of Reuters, Zacks and Yahoo Forecast Growth Rates</t>
  </si>
  <si>
    <t>Premium</t>
  </si>
  <si>
    <t>Risk</t>
  </si>
  <si>
    <t>Industry</t>
  </si>
  <si>
    <t>Premia</t>
  </si>
  <si>
    <t>Returns</t>
  </si>
  <si>
    <t>Decile</t>
  </si>
  <si>
    <t>Size</t>
  </si>
  <si>
    <t xml:space="preserve">Investor </t>
  </si>
  <si>
    <t>Expectation</t>
  </si>
  <si>
    <t>Avg Size</t>
  </si>
  <si>
    <t xml:space="preserve">30 Day </t>
  </si>
  <si>
    <t>Model Using Forecast Dividend and Earnings Growth Rates</t>
  </si>
  <si>
    <t>% Total Capital</t>
  </si>
  <si>
    <t>LT Debt</t>
  </si>
  <si>
    <t>Common  Equity</t>
  </si>
  <si>
    <t>Model Using Value Line Forecast - 75% Earnings -  25 % Dividend Growth Rates</t>
  </si>
  <si>
    <t>10 Yr</t>
  </si>
  <si>
    <t>20 Yr</t>
  </si>
  <si>
    <t>30 Yr</t>
  </si>
  <si>
    <t>AGL and NICOR merged</t>
  </si>
  <si>
    <t>A+</t>
  </si>
  <si>
    <t>Fitch</t>
  </si>
  <si>
    <t>Gas Natural Inc.</t>
  </si>
  <si>
    <t>5 Yr</t>
  </si>
  <si>
    <t>Avg ROE</t>
  </si>
  <si>
    <t xml:space="preserve">3 Yr </t>
  </si>
  <si>
    <t>Questar in Wyoming</t>
  </si>
  <si>
    <t>9.5 / 10.1</t>
  </si>
  <si>
    <t xml:space="preserve">3 Year </t>
  </si>
  <si>
    <t>Comparable Earnings</t>
  </si>
  <si>
    <t>3 Yr average</t>
  </si>
  <si>
    <t>Northwest &amp; Piedmont Comparison to Questar</t>
  </si>
  <si>
    <t>RECOMMENDED COST OF CAPITAL</t>
  </si>
  <si>
    <t>Average Dividend Yield</t>
  </si>
  <si>
    <t>xxxxxxxx</t>
  </si>
  <si>
    <t>Docket No. 13-057-05</t>
  </si>
  <si>
    <t>Test Year Ending December 31, 2012</t>
  </si>
  <si>
    <t>2012 Gas Utility</t>
  </si>
  <si>
    <t>Corning Natural Gas</t>
  </si>
  <si>
    <t>CNIG.OE</t>
  </si>
  <si>
    <t>Delta Natural Gas</t>
  </si>
  <si>
    <t>DGAS</t>
  </si>
  <si>
    <t>EQT</t>
  </si>
  <si>
    <t>EQT Corp</t>
  </si>
  <si>
    <t>Intergy Energy Group</t>
  </si>
  <si>
    <t>TEG</t>
  </si>
  <si>
    <t>ONEOK</t>
  </si>
  <si>
    <t>OKE</t>
  </si>
  <si>
    <t>Questar</t>
  </si>
  <si>
    <t>STR</t>
  </si>
  <si>
    <t>Sempra</t>
  </si>
  <si>
    <t>SRE</t>
  </si>
  <si>
    <t>Capital Expenditures</t>
  </si>
  <si>
    <t>Interest Coverage</t>
  </si>
  <si>
    <t>LOW</t>
  </si>
  <si>
    <t>HIGH</t>
  </si>
  <si>
    <t>Std Deviation</t>
  </si>
  <si>
    <t>AVG</t>
  </si>
  <si>
    <t>AVERAGE OF CALCULATED METHODS</t>
  </si>
  <si>
    <t>QUESTAR GAS</t>
  </si>
  <si>
    <t>AVERAGE INCLUDING 2012 AVERAGE ALLOWED ROE</t>
  </si>
  <si>
    <t>30 Year Treasury</t>
  </si>
  <si>
    <t>MY FORMULA</t>
  </si>
  <si>
    <t>Page 38 of Article</t>
  </si>
  <si>
    <t>30 Yr Treasury</t>
  </si>
  <si>
    <t>15 Year Average</t>
  </si>
  <si>
    <t>Ibbotson Market Risk Premium - Table A-1              page 147</t>
  </si>
  <si>
    <t>Did not use 75% 25%</t>
  </si>
  <si>
    <t>84 Year Average</t>
  </si>
  <si>
    <t>Equity Risk Premiums (ERP): Determinants, Estimation and Implications - Aswath Damodaran - March 2013 Edition  p. 29</t>
  </si>
  <si>
    <t>Damodaran - Historical Risk Premium to 30 Yr Treasury</t>
  </si>
  <si>
    <t>Selected Natural Gas Distribution Guideline Companies</t>
  </si>
  <si>
    <t>30 Year Treasury Rate</t>
  </si>
  <si>
    <t>Note: average of divd. and  EPS growth rates used for dividend forecasts, first year assumed 1/2 year rate; terminal value based upon Value Line EPS growth rate.</t>
  </si>
  <si>
    <t xml:space="preserve">       30 Day Avg Stock Price</t>
  </si>
  <si>
    <t>.</t>
  </si>
  <si>
    <t>Model Using Value Line Dividend  and Yahoo Earnings Growth Rates</t>
  </si>
  <si>
    <t>DPU</t>
  </si>
  <si>
    <t>5 Year</t>
  </si>
  <si>
    <t>5 Year Avg</t>
  </si>
  <si>
    <t xml:space="preserve">AVERAGE </t>
  </si>
  <si>
    <t>+ / - Average</t>
  </si>
  <si>
    <t>DPU 1.7A</t>
  </si>
  <si>
    <t>DPU 1.7B</t>
  </si>
  <si>
    <t>Forecast Growth Rates - Reuters, Zacks &amp; Yahoo</t>
  </si>
  <si>
    <t>Forecast Growth Rates - Value Line</t>
  </si>
  <si>
    <t>Model Using Average Forecast Dividend Growth Rates, Then 75% Earnings, 25 % Dividend Growth Rates</t>
  </si>
  <si>
    <t>Model Using Average Forecast Growth Rates and Valueline Dividend Growth Rates</t>
  </si>
  <si>
    <t>Model Using Value Line Dividend  and Earnings Growth Rates, Then 75% Earnings, 25% Dividend Growth Rates</t>
  </si>
  <si>
    <t>AVERAGE INCLUDING AVG YTD 2013 ALLOWED ROE</t>
  </si>
  <si>
    <t>Ibbottson Risk Premium - No Adjustments</t>
  </si>
  <si>
    <t>1.9C</t>
  </si>
  <si>
    <t>1.9D</t>
  </si>
  <si>
    <t>Historical Risk Premium Period: 87 Years</t>
  </si>
  <si>
    <t>87 Year Average</t>
  </si>
  <si>
    <t>State</t>
  </si>
  <si>
    <t>Company</t>
  </si>
  <si>
    <t>Rate Increase
($M)</t>
  </si>
  <si>
    <t>Return on
Equity
(%)</t>
  </si>
  <si>
    <t>Ohio</t>
  </si>
  <si>
    <t>Michigan</t>
  </si>
  <si>
    <t>Michigan Gas Utilities Corp</t>
  </si>
  <si>
    <t>Massachusetts</t>
  </si>
  <si>
    <t>New England Gas Company</t>
  </si>
  <si>
    <t>Kentucky</t>
  </si>
  <si>
    <t>Louisville Gas &amp; Electric Co.</t>
  </si>
  <si>
    <t>Pennsylvania</t>
  </si>
  <si>
    <t>Tennessee</t>
  </si>
  <si>
    <t>Atmos Energy Corp.</t>
  </si>
  <si>
    <t>Illinois</t>
  </si>
  <si>
    <t>New York</t>
  </si>
  <si>
    <t>Niagara Mohawk Power Corp.</t>
  </si>
  <si>
    <t>New Hampshire</t>
  </si>
  <si>
    <t>EnergyNorth Natural Gas Inc.</t>
  </si>
  <si>
    <t>Iowa</t>
  </si>
  <si>
    <t>Black Hills Iowa Gas Utility</t>
  </si>
  <si>
    <t>Minnesota</t>
  </si>
  <si>
    <t>Minnesota Energy Resources</t>
  </si>
  <si>
    <t>Connecticut</t>
  </si>
  <si>
    <t>Idaho</t>
  </si>
  <si>
    <t>Avista Corp.</t>
  </si>
  <si>
    <t>UGI Central Penn Gas</t>
  </si>
  <si>
    <t>Columbia Gas of Kentucky Inc</t>
  </si>
  <si>
    <t>Oregon</t>
  </si>
  <si>
    <t>Nevada</t>
  </si>
  <si>
    <t>Southwest Gas Corp.</t>
  </si>
  <si>
    <t>West Virginia</t>
  </si>
  <si>
    <t>Oklahoma</t>
  </si>
  <si>
    <t>ONEOK Inc.</t>
  </si>
  <si>
    <t>Wisconsin</t>
  </si>
  <si>
    <t>Wisconsin Electric Power Co.</t>
  </si>
  <si>
    <t>Wisconsin Gas LLC</t>
  </si>
  <si>
    <t>Wisconsin Power and Light Co</t>
  </si>
  <si>
    <t>Washington</t>
  </si>
  <si>
    <t>Madison Gas and Electric Co.</t>
  </si>
  <si>
    <t>CenterPoint Energy Resources</t>
  </si>
  <si>
    <t>Missouri</t>
  </si>
  <si>
    <t>North Shore Gas Co.</t>
  </si>
  <si>
    <t>Peoples Gas Light &amp; Coke Co.</t>
  </si>
  <si>
    <t>Texas</t>
  </si>
  <si>
    <t>Missouri Gas Energy</t>
  </si>
  <si>
    <t>Nebraska</t>
  </si>
  <si>
    <t>SourceGas Distribution LLC</t>
  </si>
  <si>
    <t>Mountaineer Gas Company</t>
  </si>
  <si>
    <t>Arizona</t>
  </si>
  <si>
    <t>UNS Gas Inc.</t>
  </si>
  <si>
    <t>Puget Sound Energy Inc.</t>
  </si>
  <si>
    <t>Ameren Illinois</t>
  </si>
  <si>
    <t>Consumers Energy Co.</t>
  </si>
  <si>
    <t>Kansas</t>
  </si>
  <si>
    <t>Laclede Gas Co.</t>
  </si>
  <si>
    <t>Columbia Gas of Pennsylvania</t>
  </si>
  <si>
    <t>Colorado</t>
  </si>
  <si>
    <t>Maryland</t>
  </si>
  <si>
    <t>Baltimore Gas and Electric Co.</t>
  </si>
  <si>
    <t>Montana</t>
  </si>
  <si>
    <t>Virginia</t>
  </si>
  <si>
    <t>Columbia Gas of Virginia Inc</t>
  </si>
  <si>
    <t>Sierra Pacific Power Co.</t>
  </si>
  <si>
    <t>Wyoming</t>
  </si>
  <si>
    <t>SEMCO Energy Inc.</t>
  </si>
  <si>
    <t>Union Electric Co.</t>
  </si>
  <si>
    <t>California</t>
  </si>
  <si>
    <t>Pacific Gas and Electric Co.</t>
  </si>
  <si>
    <t>Peoples Natural Gas Co. LLC</t>
  </si>
  <si>
    <t>Delaware</t>
  </si>
  <si>
    <t>Delmarva Power &amp; Light Co.</t>
  </si>
  <si>
    <t>Yankee Gas Services Co.</t>
  </si>
  <si>
    <t>Fitchburg Gas &amp; Electric Light</t>
  </si>
  <si>
    <t>Public Service Co. of CO</t>
  </si>
  <si>
    <t>Piedmont Natural Gas Co.</t>
  </si>
  <si>
    <t>New Mexico</t>
  </si>
  <si>
    <t>Cheyenne Light Fuel Power Co.</t>
  </si>
  <si>
    <t>South Carolina</t>
  </si>
  <si>
    <t>Bay State Gas Company</t>
  </si>
  <si>
    <t>Rhode Island</t>
  </si>
  <si>
    <t>District of Columbia</t>
  </si>
  <si>
    <t>Brooklyn Union Gas Co.</t>
  </si>
  <si>
    <t>Rate Case History</t>
  </si>
  <si>
    <t>Past Rate Cases</t>
  </si>
  <si>
    <t>Increase Requested</t>
  </si>
  <si>
    <t>Increase Authorized</t>
  </si>
  <si>
    <t>Parent
Company
Ticker</t>
  </si>
  <si>
    <t>Case Identification</t>
  </si>
  <si>
    <t>Service</t>
  </si>
  <si>
    <t>Rate
Increase
($M)</t>
  </si>
  <si>
    <t>Return on
Rate Base
(%)</t>
  </si>
  <si>
    <t>Common Equity
/Total Cap
(%)</t>
  </si>
  <si>
    <t>Rate Base
($M)</t>
  </si>
  <si>
    <t>Return on
Rate Base(%)</t>
  </si>
  <si>
    <t>Test Year End</t>
  </si>
  <si>
    <t>Rate Base ($M)</t>
  </si>
  <si>
    <t>Rate Base
 Valuation Method</t>
  </si>
  <si>
    <t>Lag
(months)</t>
  </si>
  <si>
    <t>Columbia Gas of Maryland Inc</t>
  </si>
  <si>
    <t>C-9316</t>
  </si>
  <si>
    <t>Natural Gas</t>
  </si>
  <si>
    <t>2/28/2013</t>
  </si>
  <si>
    <t>9/23/2013</t>
  </si>
  <si>
    <t>03/2013</t>
  </si>
  <si>
    <t>MGEE</t>
  </si>
  <si>
    <t>D-3270-UR-119 (Gas)</t>
  </si>
  <si>
    <t>4/15/2013</t>
  </si>
  <si>
    <t>7/26/2013</t>
  </si>
  <si>
    <t>12/2014</t>
  </si>
  <si>
    <t>C-GR-2013-0171</t>
  </si>
  <si>
    <t>12/21/2012</t>
  </si>
  <si>
    <t>6/26/2013</t>
  </si>
  <si>
    <t>D-UG-130138</t>
  </si>
  <si>
    <t>2/1/2013</t>
  </si>
  <si>
    <t>6/25/2013</t>
  </si>
  <si>
    <t>06/2012</t>
  </si>
  <si>
    <t>Year-end</t>
  </si>
  <si>
    <t>D-12-0511</t>
  </si>
  <si>
    <t>7/31/2012</t>
  </si>
  <si>
    <t>6/18/2013</t>
  </si>
  <si>
    <t>12/2013</t>
  </si>
  <si>
    <t>D-12-0512</t>
  </si>
  <si>
    <t>C-12-G-0544</t>
  </si>
  <si>
    <t>2/22/2013</t>
  </si>
  <si>
    <t>6/13/2013</t>
  </si>
  <si>
    <t>D-R-2012-2321748</t>
  </si>
  <si>
    <t>9/28/2012</t>
  </si>
  <si>
    <t>5/23/2013</t>
  </si>
  <si>
    <t>Washington Gas Light Co.</t>
  </si>
  <si>
    <t>FC-1093</t>
  </si>
  <si>
    <t>2/29/2012</t>
  </si>
  <si>
    <t>5/10/2013</t>
  </si>
  <si>
    <t>09/2011</t>
  </si>
  <si>
    <t>San Diego Gas &amp; Electric Co.</t>
  </si>
  <si>
    <t>AP-10-12-005 (gas)</t>
  </si>
  <si>
    <t>12/15/2010</t>
  </si>
  <si>
    <t>5/9/2013</t>
  </si>
  <si>
    <t>12/2012</t>
  </si>
  <si>
    <t>Southern California Gas Co.</t>
  </si>
  <si>
    <t>AP-10-12-006</t>
  </si>
  <si>
    <t>C-GO-2013-0391 (ISRS)</t>
  </si>
  <si>
    <t>2/8/2013</t>
  </si>
  <si>
    <t>5/1/2013</t>
  </si>
  <si>
    <t>NorthWestern Corp.</t>
  </si>
  <si>
    <t>NWE</t>
  </si>
  <si>
    <t>D-D2012.9.94</t>
  </si>
  <si>
    <t>4/23/2013</t>
  </si>
  <si>
    <t>AVA</t>
  </si>
  <si>
    <t>C-AVU-G-12-07</t>
  </si>
  <si>
    <t>10/10/2012</t>
  </si>
  <si>
    <t>3/27/2013</t>
  </si>
  <si>
    <t>D-12-G-0202</t>
  </si>
  <si>
    <t>4/27/2012</t>
  </si>
  <si>
    <t>3/14/2013</t>
  </si>
  <si>
    <t>03/2014</t>
  </si>
  <si>
    <t>C-GO-2013-0352 (ISRS)</t>
  </si>
  <si>
    <t>1/11/2013</t>
  </si>
  <si>
    <t>3/13/2013</t>
  </si>
  <si>
    <t>D-30022-192-GI-12</t>
  </si>
  <si>
    <t>9/17/2012</t>
  </si>
  <si>
    <t>3/5/2013</t>
  </si>
  <si>
    <t>EXC</t>
  </si>
  <si>
    <t>C-9299 (gas)</t>
  </si>
  <si>
    <t>7/27/2012</t>
  </si>
  <si>
    <t>09/2012</t>
  </si>
  <si>
    <t>D-UG-120437</t>
  </si>
  <si>
    <t>4/2/2012</t>
  </si>
  <si>
    <t>12/26/2012</t>
  </si>
  <si>
    <t>12/2011</t>
  </si>
  <si>
    <t>PCG</t>
  </si>
  <si>
    <t>Ap-12-04-018 (Gas)</t>
  </si>
  <si>
    <t>4/20/2012</t>
  </si>
  <si>
    <t>12/20/2012</t>
  </si>
  <si>
    <t>Ap-12-04-016 (Gas)</t>
  </si>
  <si>
    <t>Ap-12-04-017</t>
  </si>
  <si>
    <t>PPL</t>
  </si>
  <si>
    <t>C-2012-00222 (gas)</t>
  </si>
  <si>
    <t>6/29/2012</t>
  </si>
  <si>
    <t>03/2012</t>
  </si>
  <si>
    <t>DTE Gas Co.</t>
  </si>
  <si>
    <t>DTE</t>
  </si>
  <si>
    <t>C-U-16999</t>
  </si>
  <si>
    <t>10/2013</t>
  </si>
  <si>
    <t>Narragansett Electric Co.</t>
  </si>
  <si>
    <t>D-4323 (gas)</t>
  </si>
  <si>
    <t>Northern States Power Co - WI</t>
  </si>
  <si>
    <t>XEL</t>
  </si>
  <si>
    <t>D-4220-UR-118 (gas)</t>
  </si>
  <si>
    <t>6/1/2012</t>
  </si>
  <si>
    <t>12/14/2012</t>
  </si>
  <si>
    <t>D-12-KGSG-835-RTS</t>
  </si>
  <si>
    <t>5/18/2012</t>
  </si>
  <si>
    <t>12/5/2012</t>
  </si>
  <si>
    <t>D-GUD-10170</t>
  </si>
  <si>
    <t>5/31/2012</t>
  </si>
  <si>
    <t>12/4/2012</t>
  </si>
  <si>
    <t>CNP</t>
  </si>
  <si>
    <t>D-GUD-10182</t>
  </si>
  <si>
    <t>7/2/2012</t>
  </si>
  <si>
    <t>WEC</t>
  </si>
  <si>
    <t>D-05-UR-106 (WEP-Gas)</t>
  </si>
  <si>
    <t>3/23/2012</t>
  </si>
  <si>
    <t>11/28/2012</t>
  </si>
  <si>
    <t>D-05-UR-106 (WG)</t>
  </si>
  <si>
    <t>Interstate Power &amp; Light Co.</t>
  </si>
  <si>
    <t>LNT</t>
  </si>
  <si>
    <t>D-RPU-2012-0002</t>
  </si>
  <si>
    <t>5/25/2012</t>
  </si>
  <si>
    <t>11/26/2012</t>
  </si>
  <si>
    <t>D-3270-UR-118 (gas)</t>
  </si>
  <si>
    <t>11/9/2012</t>
  </si>
  <si>
    <t>D-12-00064</t>
  </si>
  <si>
    <t>6/22/2012</t>
  </si>
  <si>
    <t>11/8/2012</t>
  </si>
  <si>
    <t>11/2013</t>
  </si>
  <si>
    <t>DPU 12-25</t>
  </si>
  <si>
    <t>4/13/2012</t>
  </si>
  <si>
    <t>11/1/2012</t>
  </si>
  <si>
    <t>D-12-04005 (Northern)</t>
  </si>
  <si>
    <t>4/4/2012</t>
  </si>
  <si>
    <t>10/31/2012</t>
  </si>
  <si>
    <t>11/2011</t>
  </si>
  <si>
    <t>D-12-04005 (Southern)</t>
  </si>
  <si>
    <t>C-11-1627-G-42T</t>
  </si>
  <si>
    <t>11/4/2011</t>
  </si>
  <si>
    <t>Northwest Natural Gas Co.</t>
  </si>
  <si>
    <t>D-UG-221</t>
  </si>
  <si>
    <t>12/30/2011</t>
  </si>
  <si>
    <t>10/26/2012</t>
  </si>
  <si>
    <t>Wisconsin Public Service Corp.</t>
  </si>
  <si>
    <t>D-6690-UR-121 (Gas)</t>
  </si>
  <si>
    <t>3/30/2012</t>
  </si>
  <si>
    <t>10/24/2012</t>
  </si>
  <si>
    <t>South Carolina Electric &amp; Gas</t>
  </si>
  <si>
    <t>SCG</t>
  </si>
  <si>
    <t>D-2012-6-G</t>
  </si>
  <si>
    <t>6/15/2012</t>
  </si>
  <si>
    <t>10/11/2012</t>
  </si>
  <si>
    <t>D-GUD 10174</t>
  </si>
  <si>
    <t>6/6/2012</t>
  </si>
  <si>
    <t>10/2/2012</t>
  </si>
  <si>
    <t>D-R-2012-2285985</t>
  </si>
  <si>
    <t>2/28/2012</t>
  </si>
  <si>
    <t>9/27/2012</t>
  </si>
  <si>
    <t>10/2012</t>
  </si>
  <si>
    <t>D-12-ATMG-564-RTS</t>
  </si>
  <si>
    <t>1/26/2012</t>
  </si>
  <si>
    <t>8/22/2012</t>
  </si>
  <si>
    <t>Ca-PUD201200029</t>
  </si>
  <si>
    <t>3/1/2012</t>
  </si>
  <si>
    <t>7/19/2012</t>
  </si>
  <si>
    <t>C-PUE-2010-00139</t>
  </si>
  <si>
    <t>1/31/2011</t>
  </si>
  <si>
    <t>09/2010</t>
  </si>
  <si>
    <t>BKH</t>
  </si>
  <si>
    <t>D-30005-157-GR-11 (gas)</t>
  </si>
  <si>
    <t>12/1/2011</t>
  </si>
  <si>
    <t>6/18/2012</t>
  </si>
  <si>
    <t>08/2011</t>
  </si>
  <si>
    <t>D-6680-UR-118 (gas)</t>
  </si>
  <si>
    <t>5/3/2012</t>
  </si>
  <si>
    <t>CMS</t>
  </si>
  <si>
    <t>C-U-16855</t>
  </si>
  <si>
    <t>9/2/2011</t>
  </si>
  <si>
    <t>6/7/2012</t>
  </si>
  <si>
    <t>D-G-007,011/GR-10-977</t>
  </si>
  <si>
    <t>11/30/2010</t>
  </si>
  <si>
    <t>5/24/2012</t>
  </si>
  <si>
    <t>D-NG-0067</t>
  </si>
  <si>
    <t>9/30/2011</t>
  </si>
  <si>
    <t>5/22/2012</t>
  </si>
  <si>
    <t>03/2011</t>
  </si>
  <si>
    <t>D-UG-111049</t>
  </si>
  <si>
    <t>6/13/2011</t>
  </si>
  <si>
    <t>5/7/2012</t>
  </si>
  <si>
    <t>12/2010</t>
  </si>
  <si>
    <t>UNS</t>
  </si>
  <si>
    <t>D-G-04204A-11-0158</t>
  </si>
  <si>
    <t>4/8/2011</t>
  </si>
  <si>
    <t>4/24/2012</t>
  </si>
  <si>
    <t>Northern Utilities Inc.</t>
  </si>
  <si>
    <t>UTL</t>
  </si>
  <si>
    <t>D-DG-11-069</t>
  </si>
  <si>
    <t>5/4/2011</t>
  </si>
  <si>
    <t>New Mexico Gas Company</t>
  </si>
  <si>
    <t>C-11-00042-UT</t>
  </si>
  <si>
    <t>3/25/2011</t>
  </si>
  <si>
    <t>1/31/2012</t>
  </si>
  <si>
    <t>D-11-00144</t>
  </si>
  <si>
    <t>1/23/2012</t>
  </si>
  <si>
    <t>02/2013</t>
  </si>
  <si>
    <t>AEE</t>
  </si>
  <si>
    <t>D-11-0282 (gas)</t>
  </si>
  <si>
    <t>2/18/2011</t>
  </si>
  <si>
    <t>1/10/2012</t>
  </si>
  <si>
    <t>D-11-0280</t>
  </si>
  <si>
    <t>2/15/2011</t>
  </si>
  <si>
    <t>D-11-0281</t>
  </si>
  <si>
    <t>Average 2013</t>
  </si>
  <si>
    <t>High 2013</t>
  </si>
  <si>
    <t>Low 2013</t>
  </si>
  <si>
    <t>DPU Exhibit 1.4a DIR</t>
  </si>
  <si>
    <t>Average Allowed ROE 2012 (QGC Exhibit 2.10)</t>
  </si>
  <si>
    <t>Ibbotson Market Risk Premium - Table A-1       page 147</t>
  </si>
  <si>
    <t>LAWTON</t>
  </si>
  <si>
    <t>OCS</t>
  </si>
  <si>
    <t>Lag
months</t>
  </si>
  <si>
    <t>Requested vs Authorized ROE</t>
  </si>
  <si>
    <t>12/12/2012</t>
  </si>
  <si>
    <t>12/23/2013</t>
  </si>
  <si>
    <t>4/30/2013</t>
  </si>
  <si>
    <t>12/19/2013</t>
  </si>
  <si>
    <t>01/2015</t>
  </si>
  <si>
    <t>1/25/2013</t>
  </si>
  <si>
    <t>12/18/2013</t>
  </si>
  <si>
    <t>5/31/2013</t>
  </si>
  <si>
    <t>12/17/2013</t>
  </si>
  <si>
    <t>6/3/2013</t>
  </si>
  <si>
    <t>12/16/2013</t>
  </si>
  <si>
    <t>5/29/2013</t>
  </si>
  <si>
    <t>12/13/2013</t>
  </si>
  <si>
    <t>5/17/2013</t>
  </si>
  <si>
    <t>07/2013</t>
  </si>
  <si>
    <t>12/6/2013</t>
  </si>
  <si>
    <t>06/2014</t>
  </si>
  <si>
    <t>12/5/2013</t>
  </si>
  <si>
    <t>4/26/2013</t>
  </si>
  <si>
    <t>11/22/2013</t>
  </si>
  <si>
    <t>6/7/2013</t>
  </si>
  <si>
    <t>11/14/2013</t>
  </si>
  <si>
    <t>7/9/2012</t>
  </si>
  <si>
    <t>11/13/2013</t>
  </si>
  <si>
    <t>Date Certain</t>
  </si>
  <si>
    <t>3/29/2013</t>
  </si>
  <si>
    <t>11/6/2013</t>
  </si>
  <si>
    <t>12/7/2012</t>
  </si>
  <si>
    <t>10/22/2013</t>
  </si>
  <si>
    <t>7/2/2013</t>
  </si>
  <si>
    <t>10/16/2013</t>
  </si>
  <si>
    <t>2013 Average</t>
  </si>
  <si>
    <t>2013 High</t>
  </si>
  <si>
    <t>2013 Low</t>
  </si>
  <si>
    <t>6/1/2011</t>
  </si>
  <si>
    <t>12/22/2011</t>
  </si>
  <si>
    <t>2/8/2011</t>
  </si>
  <si>
    <t>12/20/2011</t>
  </si>
  <si>
    <t>5/16/2011</t>
  </si>
  <si>
    <t>12/16/2011</t>
  </si>
  <si>
    <t>11/12/2010</t>
  </si>
  <si>
    <t>12/13/2011</t>
  </si>
  <si>
    <t>06/2010</t>
  </si>
  <si>
    <t>11/28/2011</t>
  </si>
  <si>
    <t>12/2016</t>
  </si>
  <si>
    <t>4/15/2011</t>
  </si>
  <si>
    <t>11/14/2011</t>
  </si>
  <si>
    <t>5/6/2011</t>
  </si>
  <si>
    <t>11/8/2011</t>
  </si>
  <si>
    <t>1/14/2011</t>
  </si>
  <si>
    <t>10/14/2011</t>
  </si>
  <si>
    <t>6/15/2011</t>
  </si>
  <si>
    <t>10/13/2011</t>
  </si>
  <si>
    <t>5/26/2011</t>
  </si>
  <si>
    <t>10/6/2011</t>
  </si>
  <si>
    <t>7/5/2011</t>
  </si>
  <si>
    <t>12/17/2010</t>
  </si>
  <si>
    <t>9/1/2011</t>
  </si>
  <si>
    <t>8/11/2011</t>
  </si>
  <si>
    <t>8/1/2011</t>
  </si>
  <si>
    <t>12/2009</t>
  </si>
  <si>
    <t>1/7/2011</t>
  </si>
  <si>
    <t>6/29/2011</t>
  </si>
  <si>
    <t>7/2/2010</t>
  </si>
  <si>
    <t>6/21/2011</t>
  </si>
  <si>
    <t>10/28/2010</t>
  </si>
  <si>
    <t>6/9/2011</t>
  </si>
  <si>
    <t>06/2011</t>
  </si>
  <si>
    <t>8/13/2010</t>
  </si>
  <si>
    <t>12/21/2009</t>
  </si>
  <si>
    <t>5/13/2011</t>
  </si>
  <si>
    <t>8/4/2010</t>
  </si>
  <si>
    <t>4/21/2011</t>
  </si>
  <si>
    <t>12/3/2010</t>
  </si>
  <si>
    <t>4/18/2011</t>
  </si>
  <si>
    <t>9/16/2010</t>
  </si>
  <si>
    <t>3/31/2011</t>
  </si>
  <si>
    <t>10/1/2010</t>
  </si>
  <si>
    <t>3/15/2011</t>
  </si>
  <si>
    <t>2/26/2010</t>
  </si>
  <si>
    <t>3/10/2011</t>
  </si>
  <si>
    <t>06/2009</t>
  </si>
  <si>
    <t>9/30/2010</t>
  </si>
  <si>
    <t>6/8/2010</t>
  </si>
  <si>
    <t>2/10/2011</t>
  </si>
  <si>
    <t>6/11/2010</t>
  </si>
  <si>
    <t>1/19/2011</t>
  </si>
  <si>
    <t>4/1/2010</t>
  </si>
  <si>
    <t>1/13/2011</t>
  </si>
  <si>
    <t>4/22/2010</t>
  </si>
  <si>
    <t>1/12/2011</t>
  </si>
  <si>
    <t>6/29/2010</t>
  </si>
  <si>
    <t>1/6/2011</t>
  </si>
  <si>
    <t>2012 Average</t>
  </si>
  <si>
    <t>2012 High</t>
  </si>
  <si>
    <t>2012 Low</t>
  </si>
  <si>
    <t>D-12AL-1268G</t>
  </si>
  <si>
    <t>Peoples TWP LLC</t>
  </si>
  <si>
    <t>D-R-2013-2355886</t>
  </si>
  <si>
    <t>D-13-0192</t>
  </si>
  <si>
    <t>North Carolina</t>
  </si>
  <si>
    <t>D-G-9, Sub 631</t>
  </si>
  <si>
    <t>BRK.A</t>
  </si>
  <si>
    <t>D-13-06003</t>
  </si>
  <si>
    <t>C-2013-00167</t>
  </si>
  <si>
    <t>C-9326 (gas)</t>
  </si>
  <si>
    <t>C-U-17197</t>
  </si>
  <si>
    <t>D-4220-UR-119 (Gas)</t>
  </si>
  <si>
    <t>C-9322</t>
  </si>
  <si>
    <t>C-U-17273</t>
  </si>
  <si>
    <t>Duke Energy Ohio Inc.</t>
  </si>
  <si>
    <t>DUK</t>
  </si>
  <si>
    <t>C-12-1685-GA-AIR</t>
  </si>
  <si>
    <t>D-6690-UR-122 (Gas)</t>
  </si>
  <si>
    <t>POM</t>
  </si>
  <si>
    <t>D-12-546</t>
  </si>
  <si>
    <t>Liberty Energy (Midstates)</t>
  </si>
  <si>
    <t>AQN</t>
  </si>
  <si>
    <t>C-GO-2014-0006 (ISRS)</t>
  </si>
  <si>
    <t>D-4220-UR-117 (gas)</t>
  </si>
  <si>
    <t>Virginia Natural Gas Inc.</t>
  </si>
  <si>
    <t>C-PUE-2010-00142</t>
  </si>
  <si>
    <t>D-UG-110877</t>
  </si>
  <si>
    <t>D-G-01551A-10-0458</t>
  </si>
  <si>
    <t>C-PUE-2011-00049</t>
  </si>
  <si>
    <t>C-9267</t>
  </si>
  <si>
    <t>Maine</t>
  </si>
  <si>
    <t>D-2011-92</t>
  </si>
  <si>
    <t>D-R-2010-2215623</t>
  </si>
  <si>
    <t>D-2011-6-G</t>
  </si>
  <si>
    <t>D-5-UR-105 (WEP-GAS)</t>
  </si>
  <si>
    <t>D-5-UR-105 (WG)</t>
  </si>
  <si>
    <t>C-AVU-G-11-01</t>
  </si>
  <si>
    <t>D-10AL-963G</t>
  </si>
  <si>
    <t>UGI</t>
  </si>
  <si>
    <t>D-R-2010-2214415</t>
  </si>
  <si>
    <t>DPU 11-02</t>
  </si>
  <si>
    <t>NU</t>
  </si>
  <si>
    <t>D-10-12-02</t>
  </si>
  <si>
    <t>D-10-237</t>
  </si>
  <si>
    <t>D-R-2010-2201702</t>
  </si>
  <si>
    <t>C-U-16418</t>
  </si>
  <si>
    <t>AP-09-12-020 (gas)</t>
  </si>
  <si>
    <t>C-PUE-2010-00087</t>
  </si>
  <si>
    <t>D-GUD-10038</t>
  </si>
  <si>
    <t>DPU 10-114</t>
  </si>
  <si>
    <t>D-UG 101644</t>
  </si>
  <si>
    <t>D-DG-10-017</t>
  </si>
  <si>
    <t>D-UG 201</t>
  </si>
  <si>
    <t>D-RPU-2010-0002</t>
  </si>
  <si>
    <t>C-GR-2010-0363</t>
  </si>
  <si>
    <t>D-6690-UR-120 (gas)</t>
  </si>
  <si>
    <t>D-3270-UR-117 (gas)</t>
  </si>
  <si>
    <t>ALA</t>
  </si>
  <si>
    <t>C-U-16169</t>
  </si>
  <si>
    <t>DPU Exhibit 1.1  SR</t>
  </si>
  <si>
    <t>DPU Exhibit 1.3a SR</t>
  </si>
  <si>
    <t>DPU Exhibit 1.3b SR</t>
  </si>
  <si>
    <t>DPU Exhibit 1.5b SR</t>
  </si>
  <si>
    <t>DPU Exhibit 1.5d SR</t>
  </si>
  <si>
    <t>DPU Exhibit 1.5a SR</t>
  </si>
  <si>
    <t>DPU Exhibit 1.5c SR</t>
  </si>
  <si>
    <t>Average Allowed ROE 2013 (DPU Exhibit 1.2 SR)</t>
  </si>
  <si>
    <t>DPU Exhibit 1.2 SR</t>
  </si>
  <si>
    <t>DPU Exhibit 1.4a SR</t>
  </si>
  <si>
    <t>DPU Exhibit 1.4b SR</t>
  </si>
  <si>
    <t>2011 Average</t>
  </si>
  <si>
    <t>2011 High</t>
  </si>
  <si>
    <t>2011 Low</t>
  </si>
  <si>
    <t>New Jersey Resources Corp</t>
  </si>
  <si>
    <t>Operating Revenues</t>
  </si>
  <si>
    <t>Natural Gas Distribution</t>
  </si>
  <si>
    <t>Clean Energy Ventures</t>
  </si>
  <si>
    <t xml:space="preserve">Energy Services </t>
  </si>
  <si>
    <t>Intercompany</t>
  </si>
  <si>
    <t>Retail and Other</t>
  </si>
  <si>
    <t xml:space="preserve">     TOTAL</t>
  </si>
  <si>
    <t>Net Financial Earnings</t>
  </si>
  <si>
    <t>Energy Holdings</t>
  </si>
  <si>
    <t>Eliminations</t>
  </si>
  <si>
    <t>Utility</t>
  </si>
  <si>
    <t>Non-Utility</t>
  </si>
  <si>
    <t>Net Income by Segment</t>
  </si>
  <si>
    <t>WGL Holdings, Inc.</t>
  </si>
  <si>
    <t>Non Utility</t>
  </si>
  <si>
    <t>COG</t>
  </si>
  <si>
    <t>O &amp; M</t>
  </si>
  <si>
    <t>Depreciation</t>
  </si>
  <si>
    <t xml:space="preserve">General </t>
  </si>
  <si>
    <t>TOTAL</t>
  </si>
  <si>
    <t>Operating Income</t>
  </si>
  <si>
    <t>BUILDUP METHOD</t>
  </si>
  <si>
    <t>Risk Free Rate</t>
  </si>
  <si>
    <t>Size Premium</t>
  </si>
  <si>
    <t>Industry Premium</t>
  </si>
  <si>
    <t>Investor Expectation</t>
  </si>
  <si>
    <t xml:space="preserve">REBUTTAL TESTIMONY </t>
  </si>
  <si>
    <t xml:space="preserve">SURREBUTTAL TESTIMONY </t>
  </si>
  <si>
    <t>DPU Exhibit 1.6 SR</t>
  </si>
  <si>
    <t>6 Year</t>
  </si>
  <si>
    <t>7 Year</t>
  </si>
  <si>
    <t>8 Year</t>
  </si>
  <si>
    <t>9 Year</t>
  </si>
  <si>
    <t>Std. Dev.</t>
  </si>
  <si>
    <t>Analyst Growth Estimates - QGC 2.1 R page 1</t>
  </si>
  <si>
    <t>Company Growth Estimates - QGC 2.1 R page 2</t>
  </si>
</sst>
</file>

<file path=xl/styles.xml><?xml version="1.0" encoding="utf-8"?>
<styleSheet xmlns="http://schemas.openxmlformats.org/spreadsheetml/2006/main">
  <numFmts count="22">
    <numFmt numFmtId="7" formatCode="&quot;$&quot;#,##0.00_);\(&quot;$&quot;#,##0.00\)"/>
    <numFmt numFmtId="43" formatCode="_(* #,##0.00_);_(* \(#,##0.00\);_(* &quot;-&quot;??_);_(@_)"/>
    <numFmt numFmtId="164" formatCode="&quot;$&quot;#,##0.0_);\(&quot;$&quot;#,##0.0\)"/>
    <numFmt numFmtId="165" formatCode="[$-409]mmmm\ d\,\ yyyy;@"/>
    <numFmt numFmtId="166" formatCode="[$-409]d\-mmm\-yy;@"/>
    <numFmt numFmtId="167" formatCode="#,##0.0_);\(#,##0.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#,##0.0000_);\(#,##0.0000\)"/>
    <numFmt numFmtId="172" formatCode="#,##0.0_);[Red]\(#,##0.0\)"/>
    <numFmt numFmtId="173" formatCode="#,##0.0"/>
    <numFmt numFmtId="174" formatCode="[$-409]dd\-mmm\-yy;@"/>
    <numFmt numFmtId="175" formatCode="[$-409]mmm\-yy;@"/>
    <numFmt numFmtId="176" formatCode="0.000%"/>
    <numFmt numFmtId="177" formatCode="#,##0.00000_);\(#,##0.00000\)"/>
    <numFmt numFmtId="178" formatCode="###,##0.0;\-###,##0.0"/>
    <numFmt numFmtId="179" formatCode="###,##0.00;\-###,##0.00"/>
    <numFmt numFmtId="180" formatCode="###,##0;\ \-###,##0"/>
    <numFmt numFmtId="181" formatCode="m/d/yyyy;@"/>
    <numFmt numFmtId="182" formatCode="_(* #,##0.000_);_(* \(#,##0.000\);_(* &quot;-&quot;??_);_(@_)"/>
    <numFmt numFmtId="183" formatCode="#,##0.000_);\(#,##0.000\)"/>
  </numFmts>
  <fonts count="26"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39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</cellStyleXfs>
  <cellXfs count="803">
    <xf numFmtId="39" fontId="0" fillId="0" borderId="0" xfId="0"/>
    <xf numFmtId="39" fontId="2" fillId="0" borderId="0" xfId="0" applyFont="1"/>
    <xf numFmtId="39" fontId="4" fillId="0" borderId="0" xfId="0" applyFont="1"/>
    <xf numFmtId="39" fontId="0" fillId="0" borderId="1" xfId="0" applyBorder="1"/>
    <xf numFmtId="39" fontId="5" fillId="0" borderId="0" xfId="0" applyFont="1"/>
    <xf numFmtId="39" fontId="0" fillId="0" borderId="0" xfId="0" applyAlignment="1">
      <alignment horizontal="right"/>
    </xf>
    <xf numFmtId="10" fontId="0" fillId="0" borderId="0" xfId="0" applyNumberFormat="1"/>
    <xf numFmtId="10" fontId="4" fillId="0" borderId="0" xfId="0" applyNumberFormat="1" applyFont="1"/>
    <xf numFmtId="39" fontId="5" fillId="0" borderId="0" xfId="0" applyFont="1" applyAlignment="1">
      <alignment horizontal="right"/>
    </xf>
    <xf numFmtId="10" fontId="5" fillId="0" borderId="0" xfId="0" applyNumberFormat="1" applyFont="1"/>
    <xf numFmtId="39" fontId="6" fillId="0" borderId="0" xfId="0" applyFont="1" applyAlignment="1">
      <alignment horizontal="left"/>
    </xf>
    <xf numFmtId="10" fontId="0" fillId="0" borderId="1" xfId="0" applyNumberFormat="1" applyBorder="1"/>
    <xf numFmtId="39" fontId="0" fillId="0" borderId="0" xfId="0" applyNumberFormat="1"/>
    <xf numFmtId="39" fontId="4" fillId="0" borderId="0" xfId="0" applyNumberFormat="1" applyFont="1"/>
    <xf numFmtId="39" fontId="0" fillId="0" borderId="1" xfId="0" applyNumberFormat="1" applyBorder="1"/>
    <xf numFmtId="39" fontId="4" fillId="0" borderId="0" xfId="0" applyFont="1" applyAlignment="1">
      <alignment horizontal="center"/>
    </xf>
    <xf numFmtId="39" fontId="4" fillId="0" borderId="0" xfId="0" quotePrefix="1" applyFont="1" applyAlignment="1">
      <alignment horizontal="center"/>
    </xf>
    <xf numFmtId="39" fontId="0" fillId="0" borderId="0" xfId="0" applyAlignment="1">
      <alignment horizontal="center"/>
    </xf>
    <xf numFmtId="39" fontId="0" fillId="0" borderId="0" xfId="0" quotePrefix="1" applyAlignment="1">
      <alignment horizontal="right"/>
    </xf>
    <xf numFmtId="10" fontId="7" fillId="0" borderId="1" xfId="0" applyNumberFormat="1" applyFont="1" applyBorder="1"/>
    <xf numFmtId="39" fontId="7" fillId="0" borderId="0" xfId="0" applyFont="1" applyAlignment="1">
      <alignment horizontal="center"/>
    </xf>
    <xf numFmtId="10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/>
    <xf numFmtId="39" fontId="4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Alignment="1">
      <alignment horizontal="left"/>
    </xf>
    <xf numFmtId="39" fontId="8" fillId="0" borderId="0" xfId="0" applyFont="1"/>
    <xf numFmtId="39" fontId="2" fillId="0" borderId="0" xfId="0" applyFont="1" applyAlignment="1">
      <alignment horizontal="centerContinuous"/>
    </xf>
    <xf numFmtId="39" fontId="0" fillId="0" borderId="0" xfId="0" applyAlignment="1">
      <alignment horizontal="centerContinuous"/>
    </xf>
    <xf numFmtId="39" fontId="0" fillId="0" borderId="0" xfId="0" applyNumberFormat="1" applyAlignment="1">
      <alignment horizontal="centerContinuous"/>
    </xf>
    <xf numFmtId="39" fontId="5" fillId="0" borderId="0" xfId="0" applyFont="1" applyAlignment="1">
      <alignment horizontal="centerContinuous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Continuous"/>
    </xf>
    <xf numFmtId="7" fontId="0" fillId="0" borderId="0" xfId="0" applyNumberFormat="1"/>
    <xf numFmtId="39" fontId="7" fillId="0" borderId="0" xfId="0" quotePrefix="1" applyFont="1" applyAlignment="1">
      <alignment horizontal="center"/>
    </xf>
    <xf numFmtId="39" fontId="0" fillId="0" borderId="0" xfId="0" applyBorder="1"/>
    <xf numFmtId="39" fontId="0" fillId="0" borderId="0" xfId="0" quotePrefix="1" applyAlignment="1">
      <alignment horizontal="left"/>
    </xf>
    <xf numFmtId="39" fontId="0" fillId="0" borderId="0" xfId="0" applyAlignme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0" fillId="0" borderId="1" xfId="0" applyNumberFormat="1" applyBorder="1" applyAlignme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Continuous"/>
    </xf>
    <xf numFmtId="39" fontId="4" fillId="0" borderId="0" xfId="0" quotePrefix="1" applyFont="1" applyAlignment="1">
      <alignment horizontal="left"/>
    </xf>
    <xf numFmtId="10" fontId="4" fillId="0" borderId="0" xfId="0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6" fontId="4" fillId="0" borderId="0" xfId="0" quotePrefix="1" applyNumberFormat="1" applyFont="1" applyAlignment="1">
      <alignment horizontal="center"/>
    </xf>
    <xf numFmtId="2" fontId="0" fillId="0" borderId="0" xfId="0" applyNumberFormat="1"/>
    <xf numFmtId="39" fontId="9" fillId="0" borderId="0" xfId="0" applyFont="1" applyAlignment="1">
      <alignment horizontal="right"/>
    </xf>
    <xf numFmtId="39" fontId="0" fillId="0" borderId="0" xfId="0" quotePrefix="1" applyBorder="1" applyAlignment="1">
      <alignment horizontal="left"/>
    </xf>
    <xf numFmtId="9" fontId="2" fillId="0" borderId="0" xfId="0" applyNumberFormat="1" applyFont="1" applyAlignment="1">
      <alignment horizontal="centerContinuous"/>
    </xf>
    <xf numFmtId="9" fontId="0" fillId="0" borderId="0" xfId="0" applyNumberFormat="1" applyAlignment="1">
      <alignment horizontal="centerContinuous"/>
    </xf>
    <xf numFmtId="9" fontId="4" fillId="0" borderId="0" xfId="0" applyNumberFormat="1" applyFont="1" applyAlignment="1">
      <alignment horizontal="center"/>
    </xf>
    <xf numFmtId="9" fontId="7" fillId="0" borderId="1" xfId="0" applyNumberFormat="1" applyFont="1" applyBorder="1"/>
    <xf numFmtId="9" fontId="7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quotePrefix="1" applyNumberFormat="1" applyAlignment="1">
      <alignment horizontal="center"/>
    </xf>
    <xf numFmtId="10" fontId="0" fillId="0" borderId="0" xfId="0" quotePrefix="1" applyNumberFormat="1" applyAlignment="1">
      <alignment horizontal="left"/>
    </xf>
    <xf numFmtId="10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39" fontId="6" fillId="0" borderId="0" xfId="0" quotePrefix="1" applyFont="1" applyAlignment="1">
      <alignment horizontal="left"/>
    </xf>
    <xf numFmtId="10" fontId="0" fillId="0" borderId="0" xfId="0" applyNumberFormat="1" applyBorder="1" applyAlignment="1">
      <alignment horizontal="center"/>
    </xf>
    <xf numFmtId="10" fontId="4" fillId="0" borderId="0" xfId="0" applyNumberFormat="1" applyFont="1" applyBorder="1"/>
    <xf numFmtId="39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Continuous"/>
    </xf>
    <xf numFmtId="9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37" fontId="0" fillId="0" borderId="0" xfId="0" applyNumberFormat="1"/>
    <xf numFmtId="10" fontId="9" fillId="0" borderId="0" xfId="0" applyNumberFormat="1" applyFont="1" applyAlignment="1">
      <alignment horizontal="right"/>
    </xf>
    <xf numFmtId="10" fontId="10" fillId="0" borderId="0" xfId="0" quotePrefix="1" applyNumberFormat="1" applyFont="1" applyAlignment="1">
      <alignment horizontal="right"/>
    </xf>
    <xf numFmtId="39" fontId="11" fillId="0" borderId="0" xfId="0" applyFont="1" applyAlignment="1">
      <alignment horizontal="centerContinuous"/>
    </xf>
    <xf numFmtId="39" fontId="12" fillId="0" borderId="0" xfId="0" applyFont="1" applyAlignment="1">
      <alignment horizontal="centerContinuous"/>
    </xf>
    <xf numFmtId="39" fontId="13" fillId="0" borderId="0" xfId="0" applyFont="1"/>
    <xf numFmtId="39" fontId="0" fillId="0" borderId="0" xfId="0" applyFill="1"/>
    <xf numFmtId="10" fontId="0" fillId="0" borderId="0" xfId="0" applyNumberFormat="1" applyFill="1" applyAlignment="1">
      <alignment horizontal="center"/>
    </xf>
    <xf numFmtId="39" fontId="0" fillId="0" borderId="1" xfId="0" applyFill="1" applyBorder="1"/>
    <xf numFmtId="10" fontId="0" fillId="0" borderId="1" xfId="0" applyNumberFormat="1" applyFill="1" applyBorder="1"/>
    <xf numFmtId="39" fontId="0" fillId="0" borderId="0" xfId="0" quotePrefix="1" applyFill="1" applyAlignment="1">
      <alignment horizontal="left"/>
    </xf>
    <xf numFmtId="10" fontId="0" fillId="0" borderId="0" xfId="0" applyNumberFormat="1" applyFill="1"/>
    <xf numFmtId="10" fontId="0" fillId="0" borderId="0" xfId="0" applyNumberFormat="1" applyAlignment="1"/>
    <xf numFmtId="39" fontId="9" fillId="0" borderId="0" xfId="0" quotePrefix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39" fontId="0" fillId="0" borderId="0" xfId="0" applyFill="1" applyBorder="1"/>
    <xf numFmtId="10" fontId="12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39" fontId="0" fillId="0" borderId="0" xfId="0" applyAlignment="1">
      <alignment horizontal="center" wrapText="1"/>
    </xf>
    <xf numFmtId="39" fontId="9" fillId="0" borderId="0" xfId="0" applyNumberFormat="1" applyFont="1" applyAlignment="1">
      <alignment horizontal="right"/>
    </xf>
    <xf numFmtId="39" fontId="7" fillId="0" borderId="0" xfId="0" applyFont="1" applyAlignment="1">
      <alignment horizontal="right"/>
    </xf>
    <xf numFmtId="10" fontId="0" fillId="0" borderId="0" xfId="1" applyNumberFormat="1" applyFont="1"/>
    <xf numFmtId="167" fontId="0" fillId="0" borderId="0" xfId="0" applyNumberFormat="1"/>
    <xf numFmtId="168" fontId="0" fillId="0" borderId="0" xfId="2" applyNumberFormat="1" applyFont="1"/>
    <xf numFmtId="169" fontId="0" fillId="0" borderId="0" xfId="2" applyNumberFormat="1" applyFont="1"/>
    <xf numFmtId="9" fontId="0" fillId="0" borderId="0" xfId="1" applyFont="1"/>
    <xf numFmtId="170" fontId="0" fillId="0" borderId="0" xfId="1" applyNumberFormat="1" applyFont="1"/>
    <xf numFmtId="39" fontId="0" fillId="2" borderId="0" xfId="0" applyFill="1"/>
    <xf numFmtId="37" fontId="0" fillId="0" borderId="0" xfId="0" applyNumberFormat="1" applyAlignment="1">
      <alignment horizontal="center"/>
    </xf>
    <xf numFmtId="170" fontId="0" fillId="0" borderId="0" xfId="0" applyNumberFormat="1"/>
    <xf numFmtId="10" fontId="4" fillId="0" borderId="0" xfId="0" applyNumberFormat="1" applyFont="1" applyAlignment="1">
      <alignment horizontal="right"/>
    </xf>
    <xf numFmtId="168" fontId="4" fillId="0" borderId="0" xfId="2" applyNumberFormat="1" applyFont="1"/>
    <xf numFmtId="167" fontId="4" fillId="0" borderId="0" xfId="0" applyNumberFormat="1" applyFont="1"/>
    <xf numFmtId="169" fontId="4" fillId="0" borderId="0" xfId="2" applyNumberFormat="1" applyFont="1"/>
    <xf numFmtId="164" fontId="4" fillId="0" borderId="0" xfId="0" applyNumberFormat="1" applyFont="1" applyAlignment="1">
      <alignment horizontal="right"/>
    </xf>
    <xf numFmtId="43" fontId="4" fillId="0" borderId="0" xfId="2" applyNumberFormat="1" applyFont="1"/>
    <xf numFmtId="170" fontId="4" fillId="0" borderId="0" xfId="1" applyNumberFormat="1" applyFont="1"/>
    <xf numFmtId="37" fontId="4" fillId="0" borderId="0" xfId="0" applyNumberFormat="1" applyFont="1" applyAlignment="1">
      <alignment horizontal="center"/>
    </xf>
    <xf numFmtId="37" fontId="4" fillId="0" borderId="0" xfId="0" applyNumberFormat="1" applyFont="1"/>
    <xf numFmtId="10" fontId="0" fillId="2" borderId="0" xfId="0" applyNumberFormat="1" applyFill="1"/>
    <xf numFmtId="39" fontId="0" fillId="0" borderId="0" xfId="0" applyNumberFormat="1" applyFill="1"/>
    <xf numFmtId="39" fontId="0" fillId="0" borderId="0" xfId="0" applyNumberFormat="1" applyFill="1" applyBorder="1"/>
    <xf numFmtId="39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0" applyNumberFormat="1" applyFill="1" applyAlignment="1">
      <alignment horizontal="right"/>
    </xf>
    <xf numFmtId="39" fontId="0" fillId="0" borderId="2" xfId="0" applyBorder="1" applyAlignment="1">
      <alignment horizontal="right"/>
    </xf>
    <xf numFmtId="171" fontId="0" fillId="0" borderId="0" xfId="0" applyNumberFormat="1"/>
    <xf numFmtId="0" fontId="0" fillId="0" borderId="0" xfId="0" applyNumberFormat="1" applyBorder="1"/>
    <xf numFmtId="10" fontId="9" fillId="0" borderId="0" xfId="0" applyNumberFormat="1" applyFont="1" applyAlignment="1"/>
    <xf numFmtId="39" fontId="0" fillId="0" borderId="0" xfId="0" applyAlignment="1">
      <alignment horizontal="center"/>
    </xf>
    <xf numFmtId="10" fontId="0" fillId="2" borderId="0" xfId="0" applyNumberFormat="1" applyFill="1" applyBorder="1"/>
    <xf numFmtId="39" fontId="4" fillId="0" borderId="0" xfId="0" applyFont="1" applyAlignment="1">
      <alignment horizontal="right"/>
    </xf>
    <xf numFmtId="39" fontId="4" fillId="0" borderId="0" xfId="0" quotePrefix="1" applyFont="1" applyAlignment="1">
      <alignment horizontal="right"/>
    </xf>
    <xf numFmtId="9" fontId="0" fillId="0" borderId="0" xfId="1" applyFont="1" applyFill="1"/>
    <xf numFmtId="10" fontId="0" fillId="0" borderId="0" xfId="1" applyNumberFormat="1" applyFont="1" applyFill="1"/>
    <xf numFmtId="39" fontId="0" fillId="0" borderId="0" xfId="0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39" fontId="7" fillId="0" borderId="0" xfId="0" applyFont="1" applyFill="1" applyAlignment="1">
      <alignment horizontal="center"/>
    </xf>
    <xf numFmtId="39" fontId="4" fillId="0" borderId="0" xfId="0" applyFont="1" applyFill="1" applyAlignment="1">
      <alignment horizontal="center"/>
    </xf>
    <xf numFmtId="39" fontId="0" fillId="0" borderId="0" xfId="0" applyFill="1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7" fillId="0" borderId="9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8" fontId="0" fillId="0" borderId="5" xfId="2" applyNumberFormat="1" applyFont="1" applyBorder="1"/>
    <xf numFmtId="168" fontId="0" fillId="0" borderId="6" xfId="2" applyNumberFormat="1" applyFont="1" applyBorder="1"/>
    <xf numFmtId="168" fontId="0" fillId="0" borderId="8" xfId="2" applyNumberFormat="1" applyFont="1" applyBorder="1"/>
    <xf numFmtId="168" fontId="4" fillId="0" borderId="0" xfId="2" applyNumberFormat="1" applyFont="1" applyAlignment="1">
      <alignment horizontal="right"/>
    </xf>
    <xf numFmtId="168" fontId="0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center"/>
    </xf>
    <xf numFmtId="39" fontId="0" fillId="0" borderId="6" xfId="0" applyBorder="1"/>
    <xf numFmtId="39" fontId="0" fillId="0" borderId="5" xfId="0" applyBorder="1"/>
    <xf numFmtId="9" fontId="0" fillId="0" borderId="5" xfId="1" applyFont="1" applyBorder="1"/>
    <xf numFmtId="9" fontId="0" fillId="0" borderId="6" xfId="1" applyFont="1" applyBorder="1"/>
    <xf numFmtId="39" fontId="0" fillId="0" borderId="7" xfId="0" applyBorder="1" applyAlignment="1">
      <alignment horizontal="center"/>
    </xf>
    <xf numFmtId="39" fontId="0" fillId="0" borderId="8" xfId="0" applyBorder="1" applyAlignment="1">
      <alignment horizontal="center"/>
    </xf>
    <xf numFmtId="168" fontId="0" fillId="0" borderId="5" xfId="2" applyNumberFormat="1" applyFont="1" applyFill="1" applyBorder="1"/>
    <xf numFmtId="168" fontId="0" fillId="0" borderId="6" xfId="2" applyNumberFormat="1" applyFont="1" applyFill="1" applyBorder="1"/>
    <xf numFmtId="39" fontId="0" fillId="0" borderId="6" xfId="0" applyFill="1" applyBorder="1"/>
    <xf numFmtId="39" fontId="0" fillId="0" borderId="5" xfId="0" applyFill="1" applyBorder="1"/>
    <xf numFmtId="170" fontId="0" fillId="0" borderId="5" xfId="1" applyNumberFormat="1" applyFont="1" applyFill="1" applyBorder="1"/>
    <xf numFmtId="170" fontId="0" fillId="0" borderId="6" xfId="1" applyNumberFormat="1" applyFont="1" applyFill="1" applyBorder="1"/>
    <xf numFmtId="167" fontId="0" fillId="0" borderId="6" xfId="0" applyNumberFormat="1" applyFill="1" applyBorder="1"/>
    <xf numFmtId="170" fontId="0" fillId="0" borderId="0" xfId="1" applyNumberFormat="1" applyFont="1" applyFill="1" applyBorder="1"/>
    <xf numFmtId="168" fontId="0" fillId="0" borderId="0" xfId="2" applyNumberFormat="1" applyFont="1" applyFill="1" applyBorder="1"/>
    <xf numFmtId="168" fontId="0" fillId="0" borderId="0" xfId="2" applyNumberFormat="1" applyFont="1" applyFill="1"/>
    <xf numFmtId="170" fontId="0" fillId="0" borderId="0" xfId="1" applyNumberFormat="1" applyFont="1" applyFill="1"/>
    <xf numFmtId="170" fontId="0" fillId="0" borderId="0" xfId="0" applyNumberFormat="1" applyFill="1"/>
    <xf numFmtId="170" fontId="0" fillId="0" borderId="0" xfId="0" applyNumberFormat="1" applyFill="1" applyAlignment="1">
      <alignment horizontal="center"/>
    </xf>
    <xf numFmtId="168" fontId="4" fillId="0" borderId="0" xfId="2" applyNumberFormat="1" applyFont="1" applyFill="1" applyAlignment="1">
      <alignment horizontal="right"/>
    </xf>
    <xf numFmtId="43" fontId="4" fillId="0" borderId="0" xfId="2" applyNumberFormat="1" applyFont="1" applyFill="1" applyAlignment="1">
      <alignment horizontal="right"/>
    </xf>
    <xf numFmtId="170" fontId="4" fillId="0" borderId="0" xfId="1" applyNumberFormat="1" applyFont="1" applyFill="1"/>
    <xf numFmtId="168" fontId="4" fillId="0" borderId="0" xfId="2" applyNumberFormat="1" applyFont="1" applyFill="1" applyAlignment="1">
      <alignment horizontal="center"/>
    </xf>
    <xf numFmtId="43" fontId="4" fillId="0" borderId="0" xfId="2" applyNumberFormat="1" applyFont="1" applyFill="1" applyAlignment="1">
      <alignment horizontal="center"/>
    </xf>
    <xf numFmtId="170" fontId="4" fillId="0" borderId="0" xfId="1" applyNumberFormat="1" applyFont="1" applyFill="1" applyAlignment="1">
      <alignment horizontal="right"/>
    </xf>
    <xf numFmtId="39" fontId="4" fillId="0" borderId="0" xfId="0" applyFont="1" applyBorder="1" applyAlignment="1">
      <alignment horizontal="right"/>
    </xf>
    <xf numFmtId="39" fontId="4" fillId="0" borderId="2" xfId="0" applyFont="1" applyBorder="1" applyAlignment="1">
      <alignment horizontal="right"/>
    </xf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37" fontId="0" fillId="0" borderId="0" xfId="0" applyNumberFormat="1" applyAlignment="1">
      <alignment horizontal="left" indent="1"/>
    </xf>
    <xf numFmtId="39" fontId="2" fillId="0" borderId="0" xfId="0" applyFont="1" applyAlignment="1">
      <alignment horizontal="center"/>
    </xf>
    <xf numFmtId="39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0" fillId="0" borderId="5" xfId="0" applyNumberFormat="1" applyBorder="1"/>
    <xf numFmtId="172" fontId="0" fillId="0" borderId="0" xfId="0" applyNumberFormat="1" applyBorder="1"/>
    <xf numFmtId="172" fontId="0" fillId="0" borderId="5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9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0" fontId="0" fillId="0" borderId="0" xfId="1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1" applyNumberFormat="1" applyFont="1" applyBorder="1"/>
    <xf numFmtId="167" fontId="0" fillId="0" borderId="6" xfId="0" applyNumberFormat="1" applyBorder="1"/>
    <xf numFmtId="172" fontId="0" fillId="0" borderId="9" xfId="0" applyNumberFormat="1" applyBorder="1"/>
    <xf numFmtId="172" fontId="0" fillId="0" borderId="1" xfId="0" applyNumberFormat="1" applyBorder="1"/>
    <xf numFmtId="39" fontId="0" fillId="0" borderId="10" xfId="0" applyBorder="1"/>
    <xf numFmtId="39" fontId="0" fillId="0" borderId="0" xfId="0" applyBorder="1" applyAlignment="1">
      <alignment horizontal="center" wrapText="1"/>
    </xf>
    <xf numFmtId="37" fontId="0" fillId="0" borderId="5" xfId="0" applyNumberForma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70" fontId="0" fillId="0" borderId="6" xfId="1" applyNumberFormat="1" applyFont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170" fontId="0" fillId="0" borderId="0" xfId="1" applyNumberFormat="1" applyFont="1" applyFill="1" applyBorder="1" applyAlignment="1">
      <alignment horizontal="center"/>
    </xf>
    <xf numFmtId="170" fontId="0" fillId="0" borderId="6" xfId="1" applyNumberFormat="1" applyFont="1" applyFill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170" fontId="0" fillId="0" borderId="2" xfId="1" applyNumberFormat="1" applyFont="1" applyBorder="1" applyAlignment="1">
      <alignment horizontal="center"/>
    </xf>
    <xf numFmtId="170" fontId="0" fillId="0" borderId="8" xfId="1" applyNumberFormat="1" applyFont="1" applyBorder="1" applyAlignment="1">
      <alignment horizontal="center"/>
    </xf>
    <xf numFmtId="170" fontId="0" fillId="0" borderId="5" xfId="1" applyNumberFormat="1" applyFont="1" applyBorder="1" applyAlignment="1">
      <alignment horizontal="center"/>
    </xf>
    <xf numFmtId="170" fontId="0" fillId="0" borderId="5" xfId="1" applyNumberFormat="1" applyFont="1" applyFill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NumberFormat="1" applyFont="1" applyFill="1" applyBorder="1" applyAlignment="1">
      <alignment horizontal="center"/>
    </xf>
    <xf numFmtId="9" fontId="0" fillId="0" borderId="0" xfId="1" applyNumberFormat="1" applyFont="1"/>
    <xf numFmtId="9" fontId="0" fillId="0" borderId="0" xfId="1" applyNumberFormat="1" applyFont="1" applyBorder="1"/>
    <xf numFmtId="170" fontId="0" fillId="0" borderId="9" xfId="1" applyNumberFormat="1" applyFont="1" applyBorder="1"/>
    <xf numFmtId="170" fontId="0" fillId="0" borderId="1" xfId="1" applyNumberFormat="1" applyFont="1" applyBorder="1"/>
    <xf numFmtId="168" fontId="0" fillId="0" borderId="10" xfId="2" applyNumberFormat="1" applyFont="1" applyBorder="1"/>
    <xf numFmtId="37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 horizontal="left" indent="1"/>
    </xf>
    <xf numFmtId="39" fontId="0" fillId="0" borderId="0" xfId="0" quotePrefix="1"/>
    <xf numFmtId="164" fontId="4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0" fontId="4" fillId="0" borderId="0" xfId="1" applyNumberFormat="1" applyFont="1"/>
    <xf numFmtId="39" fontId="4" fillId="0" borderId="0" xfId="0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39" fontId="4" fillId="0" borderId="14" xfId="0" applyFont="1" applyBorder="1" applyAlignment="1">
      <alignment horizontal="center"/>
    </xf>
    <xf numFmtId="39" fontId="4" fillId="0" borderId="12" xfId="0" applyFont="1" applyBorder="1" applyAlignment="1">
      <alignment horizontal="center"/>
    </xf>
    <xf numFmtId="39" fontId="0" fillId="0" borderId="9" xfId="0" applyBorder="1"/>
    <xf numFmtId="39" fontId="0" fillId="0" borderId="13" xfId="0" applyBorder="1"/>
    <xf numFmtId="10" fontId="0" fillId="0" borderId="14" xfId="0" applyNumberFormat="1" applyBorder="1"/>
    <xf numFmtId="39" fontId="5" fillId="0" borderId="0" xfId="0" applyFont="1" applyFill="1"/>
    <xf numFmtId="39" fontId="16" fillId="0" borderId="0" xfId="0" applyFont="1"/>
    <xf numFmtId="170" fontId="4" fillId="0" borderId="0" xfId="0" applyNumberFormat="1" applyFont="1"/>
    <xf numFmtId="14" fontId="0" fillId="0" borderId="0" xfId="0" applyNumberFormat="1"/>
    <xf numFmtId="10" fontId="0" fillId="0" borderId="0" xfId="0" applyNumberFormat="1" applyAlignment="1">
      <alignment horizontal="left"/>
    </xf>
    <xf numFmtId="170" fontId="4" fillId="0" borderId="0" xfId="1" applyNumberFormat="1" applyFont="1" applyAlignment="1">
      <alignment horizontal="right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0" fontId="0" fillId="0" borderId="2" xfId="0" applyNumberFormat="1" applyBorder="1" applyAlignment="1">
      <alignment horizontal="center"/>
    </xf>
    <xf numFmtId="39" fontId="0" fillId="0" borderId="2" xfId="0" applyFill="1" applyBorder="1" applyAlignment="1">
      <alignment horizontal="right"/>
    </xf>
    <xf numFmtId="168" fontId="0" fillId="0" borderId="0" xfId="2" applyNumberFormat="1" applyFont="1" applyBorder="1"/>
    <xf numFmtId="164" fontId="0" fillId="0" borderId="0" xfId="0" applyNumberFormat="1" applyBorder="1" applyAlignment="1"/>
    <xf numFmtId="0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4" fontId="0" fillId="0" borderId="5" xfId="0" applyNumberFormat="1" applyBorder="1" applyAlignment="1"/>
    <xf numFmtId="164" fontId="0" fillId="0" borderId="6" xfId="0" applyNumberFormat="1" applyBorder="1" applyAlignment="1"/>
    <xf numFmtId="170" fontId="0" fillId="0" borderId="6" xfId="1" applyNumberFormat="1" applyFont="1" applyBorder="1"/>
    <xf numFmtId="10" fontId="0" fillId="0" borderId="2" xfId="0" applyNumberFormat="1" applyBorder="1" applyAlignment="1">
      <alignment horizontal="center"/>
    </xf>
    <xf numFmtId="10" fontId="4" fillId="0" borderId="0" xfId="0" applyNumberFormat="1" applyFont="1" applyBorder="1" applyAlignment="1"/>
    <xf numFmtId="39" fontId="4" fillId="0" borderId="0" xfId="0" applyFont="1" applyBorder="1" applyAlignment="1"/>
    <xf numFmtId="40" fontId="0" fillId="0" borderId="0" xfId="1" applyNumberFormat="1" applyFont="1"/>
    <xf numFmtId="10" fontId="0" fillId="0" borderId="0" xfId="0" quotePrefix="1" applyNumberFormat="1" applyBorder="1" applyAlignment="1">
      <alignment horizontal="center"/>
    </xf>
    <xf numFmtId="39" fontId="0" fillId="0" borderId="0" xfId="0" applyNumberFormat="1" applyBorder="1"/>
    <xf numFmtId="39" fontId="0" fillId="0" borderId="5" xfId="0" applyBorder="1" applyAlignment="1">
      <alignment horizontal="center" wrapText="1"/>
    </xf>
    <xf numFmtId="39" fontId="0" fillId="0" borderId="6" xfId="0" applyBorder="1" applyAlignment="1">
      <alignment horizontal="center" wrapText="1"/>
    </xf>
    <xf numFmtId="39" fontId="0" fillId="0" borderId="0" xfId="0" applyFill="1" applyBorder="1" applyAlignment="1">
      <alignment horizontal="center" wrapText="1"/>
    </xf>
    <xf numFmtId="170" fontId="0" fillId="0" borderId="7" xfId="1" applyNumberFormat="1" applyFont="1" applyBorder="1" applyAlignment="1">
      <alignment horizontal="center"/>
    </xf>
    <xf numFmtId="39" fontId="0" fillId="0" borderId="7" xfId="0" applyBorder="1" applyAlignment="1">
      <alignment horizontal="center" wrapText="1"/>
    </xf>
    <xf numFmtId="39" fontId="0" fillId="0" borderId="8" xfId="0" applyBorder="1" applyAlignment="1">
      <alignment horizontal="center" wrapText="1"/>
    </xf>
    <xf numFmtId="170" fontId="0" fillId="0" borderId="9" xfId="1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0" xfId="0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39" fontId="17" fillId="0" borderId="0" xfId="0" applyFont="1"/>
    <xf numFmtId="170" fontId="17" fillId="0" borderId="0" xfId="1" applyNumberFormat="1" applyFont="1"/>
    <xf numFmtId="170" fontId="17" fillId="0" borderId="0" xfId="1" applyNumberFormat="1" applyFont="1" applyAlignment="1">
      <alignment horizontal="center"/>
    </xf>
    <xf numFmtId="168" fontId="17" fillId="0" borderId="0" xfId="2" applyNumberFormat="1" applyFont="1"/>
    <xf numFmtId="37" fontId="0" fillId="0" borderId="9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3" fontId="0" fillId="0" borderId="10" xfId="0" applyNumberFormat="1" applyBorder="1" applyAlignment="1">
      <alignment horizontal="right"/>
    </xf>
    <xf numFmtId="9" fontId="0" fillId="0" borderId="1" xfId="0" applyNumberFormat="1" applyBorder="1"/>
    <xf numFmtId="9" fontId="0" fillId="0" borderId="10" xfId="0" applyNumberFormat="1" applyBorder="1"/>
    <xf numFmtId="39" fontId="0" fillId="0" borderId="0" xfId="0" applyBorder="1" applyAlignment="1">
      <alignment horizontal="center"/>
    </xf>
    <xf numFmtId="39" fontId="4" fillId="0" borderId="6" xfId="0" applyFont="1" applyFill="1" applyBorder="1" applyAlignment="1">
      <alignment horizontal="center"/>
    </xf>
    <xf numFmtId="39" fontId="0" fillId="0" borderId="2" xfId="0" applyBorder="1" applyAlignment="1">
      <alignment horizontal="center"/>
    </xf>
    <xf numFmtId="39" fontId="4" fillId="0" borderId="8" xfId="0" applyFont="1" applyFill="1" applyBorder="1" applyAlignment="1">
      <alignment horizontal="center"/>
    </xf>
    <xf numFmtId="164" fontId="0" fillId="0" borderId="9" xfId="0" applyNumberFormat="1" applyBorder="1"/>
    <xf numFmtId="10" fontId="0" fillId="0" borderId="0" xfId="1" applyNumberFormat="1" applyFont="1" applyBorder="1"/>
    <xf numFmtId="39" fontId="17" fillId="0" borderId="0" xfId="0" applyFont="1" applyFill="1"/>
    <xf numFmtId="39" fontId="18" fillId="0" borderId="0" xfId="0" applyFont="1"/>
    <xf numFmtId="39" fontId="18" fillId="0" borderId="0" xfId="0" applyFont="1" applyAlignment="1">
      <alignment horizontal="center"/>
    </xf>
    <xf numFmtId="39" fontId="17" fillId="0" borderId="0" xfId="0" applyFont="1" applyAlignment="1">
      <alignment horizontal="center"/>
    </xf>
    <xf numFmtId="39" fontId="17" fillId="0" borderId="2" xfId="0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37" fontId="1" fillId="0" borderId="5" xfId="0" applyNumberFormat="1" applyFont="1" applyBorder="1"/>
    <xf numFmtId="37" fontId="1" fillId="0" borderId="7" xfId="0" applyNumberFormat="1" applyFont="1" applyBorder="1"/>
    <xf numFmtId="10" fontId="0" fillId="0" borderId="2" xfId="1" applyNumberFormat="1" applyFont="1" applyBorder="1"/>
    <xf numFmtId="39" fontId="0" fillId="0" borderId="2" xfId="0" applyBorder="1"/>
    <xf numFmtId="39" fontId="0" fillId="0" borderId="0" xfId="0" applyAlignment="1">
      <alignment horizontal="center"/>
    </xf>
    <xf numFmtId="39" fontId="0" fillId="3" borderId="0" xfId="0" applyNumberFormat="1" applyFill="1"/>
    <xf numFmtId="170" fontId="0" fillId="0" borderId="5" xfId="1" applyNumberFormat="1" applyFont="1" applyBorder="1"/>
    <xf numFmtId="10" fontId="7" fillId="0" borderId="9" xfId="0" applyNumberFormat="1" applyFont="1" applyBorder="1"/>
    <xf numFmtId="10" fontId="7" fillId="0" borderId="10" xfId="0" applyNumberFormat="1" applyFont="1" applyFill="1" applyBorder="1"/>
    <xf numFmtId="39" fontId="7" fillId="0" borderId="5" xfId="0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7" fillId="0" borderId="0" xfId="0" applyFont="1" applyBorder="1" applyAlignment="1">
      <alignment horizontal="center"/>
    </xf>
    <xf numFmtId="39" fontId="0" fillId="0" borderId="6" xfId="0" applyFill="1" applyBorder="1" applyAlignment="1">
      <alignment horizontal="center"/>
    </xf>
    <xf numFmtId="39" fontId="0" fillId="0" borderId="6" xfId="0" applyBorder="1" applyAlignment="1">
      <alignment horizontal="center"/>
    </xf>
    <xf numFmtId="39" fontId="4" fillId="0" borderId="5" xfId="0" applyFont="1" applyBorder="1"/>
    <xf numFmtId="37" fontId="0" fillId="0" borderId="6" xfId="0" applyNumberFormat="1" applyBorder="1"/>
    <xf numFmtId="10" fontId="17" fillId="0" borderId="0" xfId="1" applyNumberFormat="1" applyFont="1"/>
    <xf numFmtId="10" fontId="0" fillId="0" borderId="2" xfId="0" applyNumberFormat="1" applyBorder="1"/>
    <xf numFmtId="10" fontId="5" fillId="0" borderId="0" xfId="1" applyNumberFormat="1" applyFont="1"/>
    <xf numFmtId="10" fontId="4" fillId="0" borderId="0" xfId="1" applyNumberFormat="1" applyFont="1" applyBorder="1"/>
    <xf numFmtId="39" fontId="0" fillId="0" borderId="0" xfId="0" applyAlignment="1">
      <alignment horizontal="center"/>
    </xf>
    <xf numFmtId="10" fontId="4" fillId="2" borderId="0" xfId="1" applyNumberFormat="1" applyFont="1" applyFill="1"/>
    <xf numFmtId="39" fontId="0" fillId="0" borderId="0" xfId="0" applyFill="1" applyAlignment="1">
      <alignment horizontal="right"/>
    </xf>
    <xf numFmtId="39" fontId="0" fillId="0" borderId="2" xfId="0" applyFill="1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10" fontId="0" fillId="0" borderId="6" xfId="1" applyNumberFormat="1" applyFont="1" applyBorder="1"/>
    <xf numFmtId="10" fontId="0" fillId="0" borderId="8" xfId="1" applyNumberFormat="1" applyFont="1" applyBorder="1"/>
    <xf numFmtId="37" fontId="0" fillId="0" borderId="9" xfId="0" applyNumberFormat="1" applyBorder="1"/>
    <xf numFmtId="37" fontId="0" fillId="0" borderId="1" xfId="0" applyNumberFormat="1" applyBorder="1"/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173" fontId="0" fillId="0" borderId="0" xfId="1" applyNumberFormat="1" applyFont="1"/>
    <xf numFmtId="4" fontId="0" fillId="0" borderId="0" xfId="1" applyNumberFormat="1" applyFont="1" applyAlignment="1">
      <alignment horizontal="center"/>
    </xf>
    <xf numFmtId="39" fontId="0" fillId="0" borderId="0" xfId="0" applyAlignment="1">
      <alignment horizontal="center"/>
    </xf>
    <xf numFmtId="39" fontId="17" fillId="0" borderId="0" xfId="0" applyFont="1" applyAlignment="1">
      <alignment horizontal="center"/>
    </xf>
    <xf numFmtId="39" fontId="0" fillId="0" borderId="0" xfId="0" applyAlignment="1">
      <alignment horizontal="center"/>
    </xf>
    <xf numFmtId="170" fontId="4" fillId="0" borderId="0" xfId="1" applyNumberFormat="1" applyFont="1" applyBorder="1"/>
    <xf numFmtId="39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2" fillId="0" borderId="0" xfId="0" applyFont="1" applyAlignment="1">
      <alignment horizontal="center"/>
    </xf>
    <xf numFmtId="39" fontId="5" fillId="0" borderId="0" xfId="0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39" fontId="0" fillId="0" borderId="0" xfId="0" applyAlignment="1">
      <alignment horizontal="center"/>
    </xf>
    <xf numFmtId="168" fontId="0" fillId="2" borderId="0" xfId="2" applyNumberFormat="1" applyFont="1" applyFill="1"/>
    <xf numFmtId="167" fontId="0" fillId="2" borderId="0" xfId="0" applyNumberFormat="1" applyFill="1"/>
    <xf numFmtId="170" fontId="0" fillId="2" borderId="0" xfId="1" applyNumberFormat="1" applyFont="1" applyFill="1"/>
    <xf numFmtId="39" fontId="0" fillId="4" borderId="0" xfId="0" applyFill="1"/>
    <xf numFmtId="39" fontId="0" fillId="4" borderId="5" xfId="0" applyFill="1" applyBorder="1"/>
    <xf numFmtId="37" fontId="0" fillId="4" borderId="6" xfId="0" applyNumberFormat="1" applyFill="1" applyBorder="1"/>
    <xf numFmtId="39" fontId="7" fillId="4" borderId="5" xfId="0" applyFont="1" applyFill="1" applyBorder="1" applyAlignment="1">
      <alignment horizontal="center"/>
    </xf>
    <xf numFmtId="9" fontId="7" fillId="4" borderId="5" xfId="0" applyNumberFormat="1" applyFont="1" applyFill="1" applyBorder="1" applyAlignment="1">
      <alignment horizontal="center"/>
    </xf>
    <xf numFmtId="9" fontId="7" fillId="4" borderId="0" xfId="0" applyNumberFormat="1" applyFont="1" applyFill="1" applyBorder="1" applyAlignment="1">
      <alignment horizontal="center"/>
    </xf>
    <xf numFmtId="10" fontId="0" fillId="4" borderId="14" xfId="0" applyNumberFormat="1" applyFill="1" applyBorder="1"/>
    <xf numFmtId="168" fontId="0" fillId="4" borderId="5" xfId="2" applyNumberFormat="1" applyFont="1" applyFill="1" applyBorder="1"/>
    <xf numFmtId="168" fontId="0" fillId="4" borderId="0" xfId="2" applyNumberFormat="1" applyFont="1" applyFill="1" applyBorder="1"/>
    <xf numFmtId="170" fontId="0" fillId="4" borderId="6" xfId="1" applyNumberFormat="1" applyFont="1" applyFill="1" applyBorder="1"/>
    <xf numFmtId="168" fontId="0" fillId="4" borderId="6" xfId="2" applyNumberFormat="1" applyFont="1" applyFill="1" applyBorder="1"/>
    <xf numFmtId="167" fontId="0" fillId="4" borderId="6" xfId="0" applyNumberFormat="1" applyFill="1" applyBorder="1"/>
    <xf numFmtId="39" fontId="0" fillId="4" borderId="6" xfId="0" applyFill="1" applyBorder="1"/>
    <xf numFmtId="170" fontId="0" fillId="4" borderId="5" xfId="1" applyNumberFormat="1" applyFont="1" applyFill="1" applyBorder="1"/>
    <xf numFmtId="170" fontId="0" fillId="4" borderId="0" xfId="1" applyNumberFormat="1" applyFont="1" applyFill="1" applyBorder="1"/>
    <xf numFmtId="0" fontId="0" fillId="0" borderId="0" xfId="0" applyNumberFormat="1" applyFill="1" applyBorder="1"/>
    <xf numFmtId="9" fontId="0" fillId="0" borderId="0" xfId="1" applyFont="1" applyBorder="1"/>
    <xf numFmtId="0" fontId="4" fillId="0" borderId="2" xfId="0" applyNumberFormat="1" applyFont="1" applyBorder="1" applyAlignment="1">
      <alignment horizontal="center"/>
    </xf>
    <xf numFmtId="167" fontId="0" fillId="0" borderId="0" xfId="0" applyNumberFormat="1" applyFill="1" applyBorder="1"/>
    <xf numFmtId="39" fontId="4" fillId="0" borderId="8" xfId="0" applyFont="1" applyBorder="1" applyAlignment="1"/>
    <xf numFmtId="39" fontId="4" fillId="0" borderId="2" xfId="0" applyFont="1" applyBorder="1" applyAlignment="1"/>
    <xf numFmtId="10" fontId="0" fillId="0" borderId="5" xfId="1" applyNumberFormat="1" applyFont="1" applyFill="1" applyBorder="1"/>
    <xf numFmtId="10" fontId="0" fillId="0" borderId="6" xfId="1" applyNumberFormat="1" applyFont="1" applyFill="1" applyBorder="1"/>
    <xf numFmtId="10" fontId="0" fillId="0" borderId="0" xfId="1" applyNumberFormat="1" applyFont="1" applyFill="1" applyBorder="1"/>
    <xf numFmtId="10" fontId="7" fillId="0" borderId="1" xfId="0" applyNumberFormat="1" applyFont="1" applyFill="1" applyBorder="1"/>
    <xf numFmtId="169" fontId="0" fillId="2" borderId="0" xfId="2" applyNumberFormat="1" applyFont="1" applyFill="1"/>
    <xf numFmtId="43" fontId="0" fillId="2" borderId="0" xfId="2" applyFont="1" applyFill="1"/>
    <xf numFmtId="43" fontId="0" fillId="0" borderId="0" xfId="2" applyFont="1" applyFill="1" applyBorder="1"/>
    <xf numFmtId="43" fontId="0" fillId="0" borderId="0" xfId="2" applyFont="1" applyFill="1"/>
    <xf numFmtId="170" fontId="0" fillId="2" borderId="0" xfId="1" applyNumberFormat="1" applyFont="1" applyFill="1" applyBorder="1"/>
    <xf numFmtId="9" fontId="0" fillId="4" borderId="0" xfId="0" applyNumberFormat="1" applyFill="1" applyBorder="1" applyAlignment="1">
      <alignment horizontal="center"/>
    </xf>
    <xf numFmtId="10" fontId="0" fillId="4" borderId="0" xfId="1" applyNumberFormat="1" applyFont="1" applyFill="1" applyBorder="1"/>
    <xf numFmtId="0" fontId="4" fillId="0" borderId="0" xfId="0" applyNumberFormat="1" applyFont="1" applyAlignment="1">
      <alignment horizontal="center"/>
    </xf>
    <xf numFmtId="169" fontId="2" fillId="0" borderId="0" xfId="2" applyNumberFormat="1" applyFont="1" applyAlignment="1">
      <alignment horizontal="center"/>
    </xf>
    <xf numFmtId="169" fontId="5" fillId="0" borderId="0" xfId="2" applyNumberFormat="1" applyFont="1" applyAlignment="1">
      <alignment horizontal="center"/>
    </xf>
    <xf numFmtId="169" fontId="5" fillId="0" borderId="0" xfId="2" quotePrefix="1" applyNumberFormat="1" applyFont="1" applyAlignment="1">
      <alignment horizontal="center"/>
    </xf>
    <xf numFmtId="169" fontId="0" fillId="0" borderId="0" xfId="2" applyNumberFormat="1" applyFont="1" applyFill="1"/>
    <xf numFmtId="169" fontId="0" fillId="0" borderId="0" xfId="2" applyNumberFormat="1" applyFont="1" applyAlignment="1">
      <alignment horizontal="right"/>
    </xf>
    <xf numFmtId="169" fontId="0" fillId="0" borderId="0" xfId="2" applyNumberFormat="1" applyFont="1" applyBorder="1"/>
    <xf numFmtId="169" fontId="0" fillId="0" borderId="5" xfId="2" applyNumberFormat="1" applyFont="1" applyBorder="1"/>
    <xf numFmtId="169" fontId="4" fillId="0" borderId="0" xfId="2" applyNumberFormat="1" applyFont="1" applyBorder="1" applyAlignment="1">
      <alignment horizontal="center"/>
    </xf>
    <xf numFmtId="169" fontId="4" fillId="0" borderId="6" xfId="2" applyNumberFormat="1" applyFont="1" applyBorder="1" applyAlignment="1">
      <alignment horizontal="center"/>
    </xf>
    <xf numFmtId="169" fontId="4" fillId="0" borderId="5" xfId="2" applyNumberFormat="1" applyFont="1" applyBorder="1" applyAlignment="1">
      <alignment horizontal="center"/>
    </xf>
    <xf numFmtId="169" fontId="0" fillId="0" borderId="6" xfId="2" applyNumberFormat="1" applyFont="1" applyBorder="1"/>
    <xf numFmtId="169" fontId="0" fillId="4" borderId="5" xfId="2" applyNumberFormat="1" applyFont="1" applyFill="1" applyBorder="1"/>
    <xf numFmtId="169" fontId="0" fillId="2" borderId="0" xfId="2" applyNumberFormat="1" applyFont="1" applyFill="1" applyBorder="1"/>
    <xf numFmtId="169" fontId="0" fillId="2" borderId="6" xfId="2" applyNumberFormat="1" applyFont="1" applyFill="1" applyBorder="1"/>
    <xf numFmtId="169" fontId="0" fillId="2" borderId="5" xfId="2" applyNumberFormat="1" applyFont="1" applyFill="1" applyBorder="1"/>
    <xf numFmtId="169" fontId="0" fillId="0" borderId="7" xfId="2" applyNumberFormat="1" applyFont="1" applyBorder="1"/>
    <xf numFmtId="169" fontId="0" fillId="0" borderId="2" xfId="2" applyNumberFormat="1" applyFont="1" applyBorder="1"/>
    <xf numFmtId="169" fontId="0" fillId="0" borderId="8" xfId="2" applyNumberFormat="1" applyFont="1" applyBorder="1"/>
    <xf numFmtId="169" fontId="4" fillId="0" borderId="0" xfId="2" applyNumberFormat="1" applyFont="1" applyAlignment="1">
      <alignment horizontal="right"/>
    </xf>
    <xf numFmtId="169" fontId="4" fillId="0" borderId="0" xfId="2" applyNumberFormat="1" applyFont="1" applyFill="1" applyAlignment="1">
      <alignment horizontal="right"/>
    </xf>
    <xf numFmtId="169" fontId="5" fillId="0" borderId="0" xfId="2" applyNumberFormat="1" applyFont="1"/>
    <xf numFmtId="0" fontId="4" fillId="0" borderId="5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4" fillId="0" borderId="6" xfId="2" applyNumberFormat="1" applyFont="1" applyBorder="1" applyAlignment="1">
      <alignment horizontal="center"/>
    </xf>
    <xf numFmtId="37" fontId="0" fillId="0" borderId="6" xfId="0" applyNumberFormat="1" applyFill="1" applyBorder="1"/>
    <xf numFmtId="2" fontId="7" fillId="0" borderId="5" xfId="0" quotePrefix="1" applyNumberFormat="1" applyFont="1" applyFill="1" applyBorder="1" applyAlignment="1">
      <alignment horizontal="center"/>
    </xf>
    <xf numFmtId="175" fontId="7" fillId="0" borderId="6" xfId="0" quotePrefix="1" applyNumberFormat="1" applyFont="1" applyFill="1" applyBorder="1" applyAlignment="1">
      <alignment horizontal="center"/>
    </xf>
    <xf numFmtId="167" fontId="0" fillId="5" borderId="0" xfId="0" applyNumberFormat="1" applyFill="1" applyBorder="1"/>
    <xf numFmtId="9" fontId="7" fillId="0" borderId="0" xfId="0" applyNumberFormat="1" applyFont="1" applyFill="1" applyBorder="1" applyAlignment="1">
      <alignment horizontal="center"/>
    </xf>
    <xf numFmtId="37" fontId="0" fillId="5" borderId="0" xfId="0" applyNumberFormat="1" applyFill="1" applyBorder="1" applyAlignment="1">
      <alignment horizontal="center"/>
    </xf>
    <xf numFmtId="39" fontId="4" fillId="0" borderId="2" xfId="0" applyFont="1" applyBorder="1" applyAlignment="1">
      <alignment horizontal="center"/>
    </xf>
    <xf numFmtId="2" fontId="0" fillId="0" borderId="0" xfId="2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39" fontId="4" fillId="2" borderId="0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39" fontId="0" fillId="2" borderId="0" xfId="0" applyFill="1" applyBorder="1"/>
    <xf numFmtId="170" fontId="0" fillId="2" borderId="0" xfId="0" applyNumberFormat="1" applyFill="1"/>
    <xf numFmtId="10" fontId="4" fillId="0" borderId="0" xfId="1" applyNumberFormat="1" applyFont="1" applyFill="1"/>
    <xf numFmtId="10" fontId="4" fillId="0" borderId="0" xfId="1" applyNumberFormat="1" applyFont="1" applyFill="1" applyAlignment="1">
      <alignment horizontal="right"/>
    </xf>
    <xf numFmtId="10" fontId="4" fillId="2" borderId="0" xfId="1" applyNumberFormat="1" applyFont="1" applyFill="1" applyAlignment="1">
      <alignment horizontal="right"/>
    </xf>
    <xf numFmtId="43" fontId="0" fillId="4" borderId="0" xfId="2" applyFont="1" applyFill="1" applyBorder="1"/>
    <xf numFmtId="0" fontId="0" fillId="0" borderId="2" xfId="0" applyNumberFormat="1" applyBorder="1"/>
    <xf numFmtId="39" fontId="7" fillId="0" borderId="5" xfId="0" applyFont="1" applyFill="1" applyBorder="1" applyAlignment="1">
      <alignment horizontal="center"/>
    </xf>
    <xf numFmtId="10" fontId="0" fillId="0" borderId="14" xfId="0" applyNumberFormat="1" applyFill="1" applyBorder="1"/>
    <xf numFmtId="167" fontId="0" fillId="0" borderId="5" xfId="0" applyNumberFormat="1" applyFill="1" applyBorder="1"/>
    <xf numFmtId="167" fontId="0" fillId="5" borderId="5" xfId="0" applyNumberFormat="1" applyFill="1" applyBorder="1"/>
    <xf numFmtId="9" fontId="0" fillId="0" borderId="9" xfId="1" applyFont="1" applyBorder="1"/>
    <xf numFmtId="10" fontId="0" fillId="4" borderId="5" xfId="1" applyNumberFormat="1" applyFont="1" applyFill="1" applyBorder="1"/>
    <xf numFmtId="39" fontId="0" fillId="4" borderId="0" xfId="0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39" fontId="17" fillId="4" borderId="0" xfId="0" applyFont="1" applyFill="1"/>
    <xf numFmtId="39" fontId="17" fillId="4" borderId="0" xfId="0" applyFont="1" applyFill="1" applyAlignment="1">
      <alignment horizontal="center"/>
    </xf>
    <xf numFmtId="2" fontId="17" fillId="4" borderId="0" xfId="1" applyNumberFormat="1" applyFont="1" applyFill="1" applyAlignment="1">
      <alignment horizontal="center"/>
    </xf>
    <xf numFmtId="39" fontId="0" fillId="0" borderId="8" xfId="0" applyFill="1" applyBorder="1" applyAlignment="1">
      <alignment horizontal="center" wrapText="1"/>
    </xf>
    <xf numFmtId="37" fontId="4" fillId="0" borderId="5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6" xfId="0" applyNumberFormat="1" applyFont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7" xfId="0" applyNumberFormat="1" applyFont="1" applyBorder="1" applyAlignment="1">
      <alignment horizontal="center"/>
    </xf>
    <xf numFmtId="172" fontId="4" fillId="0" borderId="7" xfId="0" applyNumberFormat="1" applyFont="1" applyBorder="1" applyAlignment="1">
      <alignment horizontal="right"/>
    </xf>
    <xf numFmtId="173" fontId="4" fillId="0" borderId="8" xfId="0" applyNumberFormat="1" applyFont="1" applyBorder="1" applyAlignment="1">
      <alignment horizontal="right"/>
    </xf>
    <xf numFmtId="39" fontId="0" fillId="6" borderId="0" xfId="0" applyFill="1"/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39" fontId="0" fillId="0" borderId="0" xfId="0" applyAlignment="1">
      <alignment horizontal="center"/>
    </xf>
    <xf numFmtId="9" fontId="4" fillId="0" borderId="0" xfId="1" applyFont="1"/>
    <xf numFmtId="39" fontId="0" fillId="0" borderId="0" xfId="0" applyFont="1"/>
    <xf numFmtId="4" fontId="0" fillId="0" borderId="0" xfId="1" applyNumberFormat="1" applyFont="1"/>
    <xf numFmtId="9" fontId="0" fillId="0" borderId="0" xfId="0" applyNumberFormat="1" applyFill="1"/>
    <xf numFmtId="164" fontId="7" fillId="0" borderId="0" xfId="0" applyNumberFormat="1" applyFont="1" applyFill="1"/>
    <xf numFmtId="39" fontId="17" fillId="0" borderId="9" xfId="0" applyFont="1" applyBorder="1" applyAlignment="1">
      <alignment horizontal="center"/>
    </xf>
    <xf numFmtId="39" fontId="17" fillId="0" borderId="10" xfId="0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39" fontId="0" fillId="0" borderId="5" xfId="0" applyBorder="1" applyAlignment="1">
      <alignment horizontal="center"/>
    </xf>
    <xf numFmtId="39" fontId="0" fillId="4" borderId="5" xfId="0" applyFill="1" applyBorder="1" applyAlignment="1">
      <alignment horizontal="center"/>
    </xf>
    <xf numFmtId="39" fontId="0" fillId="4" borderId="6" xfId="0" applyFill="1" applyBorder="1" applyAlignment="1">
      <alignment horizontal="center"/>
    </xf>
    <xf numFmtId="39" fontId="17" fillId="0" borderId="5" xfId="0" applyFont="1" applyBorder="1" applyAlignment="1">
      <alignment horizontal="center"/>
    </xf>
    <xf numFmtId="39" fontId="17" fillId="0" borderId="6" xfId="0" applyFont="1" applyBorder="1" applyAlignment="1">
      <alignment horizontal="center"/>
    </xf>
    <xf numFmtId="39" fontId="17" fillId="4" borderId="5" xfId="0" applyFont="1" applyFill="1" applyBorder="1" applyAlignment="1">
      <alignment horizontal="center"/>
    </xf>
    <xf numFmtId="39" fontId="17" fillId="4" borderId="6" xfId="0" applyFont="1" applyFill="1" applyBorder="1" applyAlignment="1">
      <alignment horizontal="center"/>
    </xf>
    <xf numFmtId="9" fontId="0" fillId="2" borderId="0" xfId="1" applyFont="1" applyFill="1"/>
    <xf numFmtId="166" fontId="4" fillId="0" borderId="11" xfId="0" applyNumberFormat="1" applyFont="1" applyBorder="1" applyAlignment="1">
      <alignment horizontal="center"/>
    </xf>
    <xf numFmtId="39" fontId="0" fillId="0" borderId="0" xfId="0" applyAlignment="1">
      <alignment horizontal="center"/>
    </xf>
    <xf numFmtId="10" fontId="5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center"/>
    </xf>
    <xf numFmtId="39" fontId="19" fillId="0" borderId="0" xfId="0" applyFont="1" applyAlignment="1">
      <alignment horizontal="right"/>
    </xf>
    <xf numFmtId="10" fontId="19" fillId="0" borderId="0" xfId="1" applyNumberFormat="1" applyFont="1"/>
    <xf numFmtId="37" fontId="0" fillId="0" borderId="0" xfId="0" applyNumberForma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39" fontId="0" fillId="0" borderId="0" xfId="0" applyAlignment="1">
      <alignment horizontal="center"/>
    </xf>
    <xf numFmtId="39" fontId="0" fillId="0" borderId="2" xfId="0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39" fontId="0" fillId="0" borderId="0" xfId="0" applyAlignment="1">
      <alignment horizontal="center"/>
    </xf>
    <xf numFmtId="40" fontId="0" fillId="0" borderId="0" xfId="1" applyNumberFormat="1" applyFont="1" applyFill="1" applyBorder="1"/>
    <xf numFmtId="40" fontId="0" fillId="0" borderId="0" xfId="1" applyNumberFormat="1" applyFont="1" applyFill="1"/>
    <xf numFmtId="39" fontId="0" fillId="5" borderId="0" xfId="0" applyNumberFormat="1" applyFill="1"/>
    <xf numFmtId="165" fontId="5" fillId="0" borderId="0" xfId="0" applyNumberFormat="1" applyFont="1" applyFill="1" applyAlignment="1">
      <alignment horizontal="centerContinuous"/>
    </xf>
    <xf numFmtId="39" fontId="0" fillId="0" borderId="0" xfId="0" applyFill="1" applyAlignment="1">
      <alignment horizontal="centerContinuous"/>
    </xf>
    <xf numFmtId="10" fontId="0" fillId="0" borderId="0" xfId="0" applyNumberFormat="1" applyFill="1" applyAlignment="1">
      <alignment horizontal="centerContinuous"/>
    </xf>
    <xf numFmtId="14" fontId="0" fillId="0" borderId="0" xfId="0" applyNumberFormat="1" applyFill="1"/>
    <xf numFmtId="39" fontId="20" fillId="0" borderId="2" xfId="0" applyFont="1" applyBorder="1"/>
    <xf numFmtId="10" fontId="17" fillId="0" borderId="0" xfId="0" applyNumberFormat="1" applyFont="1"/>
    <xf numFmtId="10" fontId="17" fillId="0" borderId="0" xfId="0" applyNumberFormat="1" applyFont="1" applyBorder="1" applyAlignment="1">
      <alignment horizontal="center"/>
    </xf>
    <xf numFmtId="10" fontId="7" fillId="0" borderId="0" xfId="1" applyNumberFormat="1" applyFont="1" applyBorder="1"/>
    <xf numFmtId="39" fontId="0" fillId="0" borderId="2" xfId="0" applyFill="1" applyBorder="1"/>
    <xf numFmtId="14" fontId="0" fillId="0" borderId="0" xfId="0" applyNumberFormat="1" applyFill="1" applyAlignment="1">
      <alignment horizontal="center"/>
    </xf>
    <xf numFmtId="37" fontId="14" fillId="0" borderId="5" xfId="0" applyNumberFormat="1" applyFont="1" applyBorder="1"/>
    <xf numFmtId="39" fontId="4" fillId="0" borderId="0" xfId="0" applyFont="1" applyBorder="1"/>
    <xf numFmtId="10" fontId="4" fillId="0" borderId="6" xfId="1" applyNumberFormat="1" applyFont="1" applyBorder="1"/>
    <xf numFmtId="10" fontId="7" fillId="0" borderId="2" xfId="1" applyNumberFormat="1" applyFont="1" applyBorder="1"/>
    <xf numFmtId="39" fontId="0" fillId="0" borderId="7" xfId="0" applyBorder="1"/>
    <xf numFmtId="39" fontId="0" fillId="0" borderId="0" xfId="0" applyFill="1" applyBorder="1" applyAlignment="1">
      <alignment horizontal="center"/>
    </xf>
    <xf numFmtId="39" fontId="0" fillId="0" borderId="2" xfId="0" applyFont="1" applyBorder="1"/>
    <xf numFmtId="10" fontId="0" fillId="0" borderId="2" xfId="0" applyNumberFormat="1" applyFont="1" applyBorder="1"/>
    <xf numFmtId="10" fontId="7" fillId="0" borderId="0" xfId="1" applyNumberFormat="1" applyFont="1" applyFill="1" applyBorder="1"/>
    <xf numFmtId="39" fontId="0" fillId="0" borderId="2" xfId="0" applyFill="1" applyBorder="1" applyAlignment="1">
      <alignment horizontal="left"/>
    </xf>
    <xf numFmtId="10" fontId="4" fillId="0" borderId="6" xfId="1" applyNumberFormat="1" applyFont="1" applyFill="1" applyBorder="1"/>
    <xf numFmtId="10" fontId="7" fillId="0" borderId="8" xfId="1" applyNumberFormat="1" applyFont="1" applyFill="1" applyBorder="1"/>
    <xf numFmtId="39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39" fontId="4" fillId="0" borderId="2" xfId="0" applyFont="1" applyBorder="1" applyAlignment="1">
      <alignment horizontal="center"/>
    </xf>
    <xf numFmtId="39" fontId="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Fill="1"/>
    <xf numFmtId="37" fontId="1" fillId="0" borderId="5" xfId="0" applyNumberFormat="1" applyFont="1" applyFill="1" applyBorder="1"/>
    <xf numFmtId="37" fontId="14" fillId="0" borderId="5" xfId="0" applyNumberFormat="1" applyFont="1" applyFill="1" applyBorder="1"/>
    <xf numFmtId="39" fontId="4" fillId="0" borderId="0" xfId="0" applyFont="1" applyFill="1" applyBorder="1"/>
    <xf numFmtId="10" fontId="4" fillId="0" borderId="0" xfId="1" applyNumberFormat="1" applyFont="1" applyFill="1" applyBorder="1"/>
    <xf numFmtId="10" fontId="4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7" xfId="0" applyNumberFormat="1" applyFont="1" applyFill="1" applyBorder="1"/>
    <xf numFmtId="10" fontId="0" fillId="0" borderId="2" xfId="1" applyNumberFormat="1" applyFont="1" applyFill="1" applyBorder="1"/>
    <xf numFmtId="10" fontId="7" fillId="0" borderId="2" xfId="1" applyNumberFormat="1" applyFont="1" applyFill="1" applyBorder="1"/>
    <xf numFmtId="10" fontId="0" fillId="0" borderId="2" xfId="0" applyNumberFormat="1" applyFill="1" applyBorder="1"/>
    <xf numFmtId="10" fontId="0" fillId="0" borderId="8" xfId="1" applyNumberFormat="1" applyFont="1" applyFill="1" applyBorder="1"/>
    <xf numFmtId="39" fontId="4" fillId="0" borderId="2" xfId="0" applyFont="1" applyBorder="1"/>
    <xf numFmtId="14" fontId="0" fillId="0" borderId="0" xfId="0" applyNumberFormat="1" applyFont="1"/>
    <xf numFmtId="9" fontId="7" fillId="0" borderId="0" xfId="0" applyNumberFormat="1" applyFont="1" applyFill="1" applyAlignment="1">
      <alignment horizontal="center"/>
    </xf>
    <xf numFmtId="164" fontId="0" fillId="0" borderId="0" xfId="0" applyNumberFormat="1" applyFill="1"/>
    <xf numFmtId="167" fontId="0" fillId="0" borderId="0" xfId="0" applyNumberFormat="1" applyFill="1"/>
    <xf numFmtId="37" fontId="0" fillId="0" borderId="0" xfId="0" applyNumberFormat="1" applyFill="1"/>
    <xf numFmtId="39" fontId="7" fillId="4" borderId="0" xfId="0" applyFont="1" applyFill="1" applyBorder="1" applyAlignment="1">
      <alignment horizontal="center"/>
    </xf>
    <xf numFmtId="165" fontId="5" fillId="0" borderId="0" xfId="0" quotePrefix="1" applyNumberFormat="1" applyFont="1" applyAlignment="1"/>
    <xf numFmtId="39" fontId="0" fillId="0" borderId="2" xfId="0" applyFill="1" applyBorder="1" applyAlignment="1"/>
    <xf numFmtId="43" fontId="0" fillId="4" borderId="0" xfId="2" applyFont="1" applyFill="1"/>
    <xf numFmtId="39" fontId="4" fillId="0" borderId="2" xfId="0" applyFont="1" applyFill="1" applyBorder="1" applyAlignment="1"/>
    <xf numFmtId="0" fontId="4" fillId="0" borderId="2" xfId="0" applyNumberFormat="1" applyFont="1" applyFill="1" applyBorder="1" applyAlignment="1">
      <alignment horizontal="center"/>
    </xf>
    <xf numFmtId="175" fontId="7" fillId="4" borderId="6" xfId="0" quotePrefix="1" applyNumberFormat="1" applyFont="1" applyFill="1" applyBorder="1" applyAlignment="1">
      <alignment horizontal="center"/>
    </xf>
    <xf numFmtId="168" fontId="4" fillId="0" borderId="0" xfId="2" applyNumberFormat="1" applyFont="1" applyFill="1"/>
    <xf numFmtId="39" fontId="4" fillId="0" borderId="0" xfId="0" applyFont="1" applyFill="1"/>
    <xf numFmtId="175" fontId="4" fillId="0" borderId="0" xfId="0" applyNumberFormat="1" applyFont="1" applyAlignment="1">
      <alignment horizontal="center" vertical="center"/>
    </xf>
    <xf numFmtId="39" fontId="6" fillId="0" borderId="0" xfId="0" quotePrefix="1" applyFont="1" applyFill="1" applyAlignment="1">
      <alignment horizontal="left"/>
    </xf>
    <xf numFmtId="39" fontId="6" fillId="0" borderId="0" xfId="0" applyFont="1" applyFill="1" applyAlignment="1">
      <alignment horizontal="left"/>
    </xf>
    <xf numFmtId="166" fontId="4" fillId="0" borderId="0" xfId="0" quotePrefix="1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10" fontId="5" fillId="0" borderId="0" xfId="0" applyNumberFormat="1" applyFont="1" applyFill="1"/>
    <xf numFmtId="165" fontId="5" fillId="0" borderId="0" xfId="0" applyNumberFormat="1" applyFont="1" applyAlignment="1"/>
    <xf numFmtId="39" fontId="0" fillId="0" borderId="18" xfId="0" applyBorder="1"/>
    <xf numFmtId="39" fontId="0" fillId="0" borderId="19" xfId="0" applyBorder="1"/>
    <xf numFmtId="10" fontId="0" fillId="0" borderId="18" xfId="1" applyNumberFormat="1" applyFont="1" applyBorder="1"/>
    <xf numFmtId="10" fontId="0" fillId="0" borderId="19" xfId="1" applyNumberFormat="1" applyFont="1" applyBorder="1"/>
    <xf numFmtId="10" fontId="5" fillId="0" borderId="0" xfId="1" applyNumberFormat="1" applyFont="1" applyBorder="1"/>
    <xf numFmtId="39" fontId="0" fillId="0" borderId="20" xfId="0" applyBorder="1"/>
    <xf numFmtId="39" fontId="16" fillId="0" borderId="21" xfId="0" applyFont="1" applyBorder="1"/>
    <xf numFmtId="39" fontId="0" fillId="0" borderId="22" xfId="0" applyBorder="1"/>
    <xf numFmtId="10" fontId="0" fillId="0" borderId="20" xfId="1" applyNumberFormat="1" applyFont="1" applyBorder="1"/>
    <xf numFmtId="10" fontId="5" fillId="0" borderId="21" xfId="1" applyNumberFormat="1" applyFont="1" applyBorder="1"/>
    <xf numFmtId="10" fontId="0" fillId="0" borderId="22" xfId="1" applyNumberFormat="1" applyFont="1" applyBorder="1"/>
    <xf numFmtId="10" fontId="18" fillId="0" borderId="0" xfId="0" applyNumberFormat="1" applyFont="1"/>
    <xf numFmtId="39" fontId="18" fillId="0" borderId="0" xfId="0" applyFont="1" applyFill="1"/>
    <xf numFmtId="39" fontId="18" fillId="0" borderId="23" xfId="0" applyFont="1" applyBorder="1" applyAlignment="1">
      <alignment horizontal="center"/>
    </xf>
    <xf numFmtId="39" fontId="18" fillId="0" borderId="24" xfId="0" applyFont="1" applyBorder="1" applyAlignment="1">
      <alignment horizontal="center"/>
    </xf>
    <xf numFmtId="39" fontId="18" fillId="0" borderId="18" xfId="0" applyFont="1" applyBorder="1"/>
    <xf numFmtId="39" fontId="17" fillId="0" borderId="0" xfId="0" applyFont="1" applyBorder="1"/>
    <xf numFmtId="39" fontId="18" fillId="0" borderId="19" xfId="0" applyFont="1" applyBorder="1"/>
    <xf numFmtId="39" fontId="18" fillId="0" borderId="0" xfId="0" applyFont="1" applyBorder="1"/>
    <xf numFmtId="10" fontId="18" fillId="0" borderId="0" xfId="1" applyNumberFormat="1" applyFont="1"/>
    <xf numFmtId="10" fontId="18" fillId="0" borderId="18" xfId="1" applyNumberFormat="1" applyFont="1" applyBorder="1"/>
    <xf numFmtId="10" fontId="17" fillId="0" borderId="0" xfId="1" applyNumberFormat="1" applyFont="1" applyBorder="1"/>
    <xf numFmtId="10" fontId="18" fillId="0" borderId="19" xfId="1" applyNumberFormat="1" applyFont="1" applyBorder="1"/>
    <xf numFmtId="10" fontId="18" fillId="0" borderId="0" xfId="0" applyNumberFormat="1" applyFont="1" applyBorder="1"/>
    <xf numFmtId="10" fontId="18" fillId="0" borderId="19" xfId="0" applyNumberFormat="1" applyFont="1" applyBorder="1"/>
    <xf numFmtId="10" fontId="17" fillId="0" borderId="0" xfId="0" applyNumberFormat="1" applyFont="1" applyBorder="1"/>
    <xf numFmtId="10" fontId="18" fillId="0" borderId="18" xfId="1" applyNumberFormat="1" applyFont="1" applyBorder="1" applyAlignment="1">
      <alignment horizontal="center"/>
    </xf>
    <xf numFmtId="10" fontId="18" fillId="0" borderId="19" xfId="0" applyNumberFormat="1" applyFont="1" applyBorder="1" applyAlignment="1">
      <alignment horizontal="center"/>
    </xf>
    <xf numFmtId="39" fontId="18" fillId="0" borderId="0" xfId="0" applyFont="1" applyAlignment="1">
      <alignment horizontal="right"/>
    </xf>
    <xf numFmtId="176" fontId="18" fillId="0" borderId="0" xfId="1" applyNumberFormat="1" applyFont="1"/>
    <xf numFmtId="14" fontId="18" fillId="0" borderId="0" xfId="1" applyNumberFormat="1" applyFont="1"/>
    <xf numFmtId="177" fontId="18" fillId="0" borderId="0" xfId="0" applyNumberFormat="1" applyFont="1" applyBorder="1"/>
    <xf numFmtId="39" fontId="18" fillId="0" borderId="0" xfId="0" quotePrefix="1" applyFont="1" applyBorder="1" applyAlignment="1">
      <alignment horizontal="left"/>
    </xf>
    <xf numFmtId="10" fontId="18" fillId="0" borderId="0" xfId="1" applyNumberFormat="1" applyFont="1" applyBorder="1"/>
    <xf numFmtId="39" fontId="18" fillId="0" borderId="0" xfId="0" applyFont="1" applyBorder="1" applyAlignment="1">
      <alignment horizontal="left"/>
    </xf>
    <xf numFmtId="10" fontId="18" fillId="0" borderId="0" xfId="0" applyNumberFormat="1" applyFont="1" applyAlignment="1">
      <alignment horizontal="right"/>
    </xf>
    <xf numFmtId="10" fontId="18" fillId="0" borderId="0" xfId="0" applyNumberFormat="1" applyFont="1" applyFill="1" applyBorder="1" applyAlignment="1">
      <alignment horizontal="left"/>
    </xf>
    <xf numFmtId="39" fontId="18" fillId="0" borderId="0" xfId="0" applyFont="1" applyAlignment="1">
      <alignment horizontal="left"/>
    </xf>
    <xf numFmtId="39" fontId="4" fillId="0" borderId="0" xfId="0" applyFont="1" applyFill="1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39" fontId="0" fillId="0" borderId="0" xfId="0" applyAlignment="1">
      <alignment horizontal="center"/>
    </xf>
    <xf numFmtId="39" fontId="0" fillId="7" borderId="0" xfId="0" applyFill="1"/>
    <xf numFmtId="39" fontId="0" fillId="7" borderId="0" xfId="0" quotePrefix="1" applyFill="1" applyAlignment="1">
      <alignment horizontal="left"/>
    </xf>
    <xf numFmtId="39" fontId="7" fillId="7" borderId="0" xfId="0" applyFont="1" applyFill="1" applyAlignment="1">
      <alignment horizontal="center"/>
    </xf>
    <xf numFmtId="39" fontId="0" fillId="7" borderId="0" xfId="0" applyFill="1" applyAlignment="1">
      <alignment horizontal="center"/>
    </xf>
    <xf numFmtId="9" fontId="7" fillId="7" borderId="0" xfId="0" applyNumberFormat="1" applyFont="1" applyFill="1" applyAlignment="1">
      <alignment horizontal="center"/>
    </xf>
    <xf numFmtId="164" fontId="0" fillId="7" borderId="0" xfId="0" applyNumberFormat="1" applyFill="1"/>
    <xf numFmtId="9" fontId="0" fillId="0" borderId="0" xfId="1" applyFont="1" applyFill="1" applyAlignment="1">
      <alignment horizontal="center"/>
    </xf>
    <xf numFmtId="9" fontId="0" fillId="0" borderId="0" xfId="1" applyNumberFormat="1" applyFont="1" applyFill="1" applyAlignment="1">
      <alignment horizontal="center"/>
    </xf>
    <xf numFmtId="0" fontId="17" fillId="0" borderId="8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/>
    <xf numFmtId="39" fontId="17" fillId="0" borderId="0" xfId="0" applyFont="1" applyBorder="1" applyAlignment="1">
      <alignment horizontal="center"/>
    </xf>
    <xf numFmtId="39" fontId="0" fillId="0" borderId="0" xfId="0" applyAlignment="1">
      <alignment horizontal="center"/>
    </xf>
    <xf numFmtId="39" fontId="18" fillId="0" borderId="15" xfId="0" applyFont="1" applyBorder="1"/>
    <xf numFmtId="39" fontId="18" fillId="0" borderId="16" xfId="0" applyFont="1" applyBorder="1"/>
    <xf numFmtId="39" fontId="18" fillId="0" borderId="17" xfId="0" applyFont="1" applyBorder="1"/>
    <xf numFmtId="10" fontId="0" fillId="0" borderId="0" xfId="1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center"/>
    </xf>
    <xf numFmtId="37" fontId="0" fillId="0" borderId="9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0" fillId="0" borderId="0" xfId="1" applyNumberFormat="1" applyFont="1" applyFill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2" fontId="0" fillId="0" borderId="9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0" fontId="0" fillId="0" borderId="9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right"/>
    </xf>
    <xf numFmtId="37" fontId="0" fillId="0" borderId="5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2" fontId="0" fillId="0" borderId="5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0" fontId="0" fillId="0" borderId="5" xfId="0" applyNumberFormat="1" applyFill="1" applyBorder="1" applyAlignment="1">
      <alignment horizontal="center"/>
    </xf>
    <xf numFmtId="173" fontId="0" fillId="0" borderId="6" xfId="0" applyNumberFormat="1" applyFill="1" applyBorder="1" applyAlignment="1">
      <alignment horizontal="right"/>
    </xf>
    <xf numFmtId="0" fontId="22" fillId="0" borderId="0" xfId="0" applyNumberFormat="1" applyFont="1"/>
    <xf numFmtId="0" fontId="21" fillId="0" borderId="0" xfId="0" applyNumberFormat="1" applyFont="1" applyAlignment="1">
      <alignment horizontal="left"/>
    </xf>
    <xf numFmtId="0" fontId="23" fillId="8" borderId="0" xfId="4" applyFont="1" applyAlignment="1">
      <alignment horizontal="left"/>
    </xf>
    <xf numFmtId="0" fontId="23" fillId="8" borderId="0" xfId="4" applyFont="1" applyAlignment="1">
      <alignment horizontal="left" wrapText="1"/>
    </xf>
    <xf numFmtId="0" fontId="23" fillId="8" borderId="0" xfId="4" applyFont="1" applyAlignment="1">
      <alignment horizontal="center" wrapText="1"/>
    </xf>
    <xf numFmtId="0" fontId="0" fillId="0" borderId="0" xfId="0" applyNumberFormat="1" applyAlignment="1">
      <alignment horizontal="left" vertical="top" wrapText="1"/>
    </xf>
    <xf numFmtId="178" fontId="0" fillId="0" borderId="0" xfId="0" applyNumberFormat="1" applyAlignment="1">
      <alignment horizontal="right" vertical="top" wrapText="1"/>
    </xf>
    <xf numFmtId="179" fontId="0" fillId="0" borderId="0" xfId="0" applyNumberFormat="1" applyAlignment="1">
      <alignment horizontal="right" vertical="top" wrapText="1"/>
    </xf>
    <xf numFmtId="179" fontId="0" fillId="2" borderId="0" xfId="0" applyNumberFormat="1" applyFill="1" applyAlignment="1">
      <alignment horizontal="right" vertical="top" wrapText="1"/>
    </xf>
    <xf numFmtId="180" fontId="0" fillId="0" borderId="0" xfId="0" applyNumberFormat="1" applyAlignment="1">
      <alignment horizontal="right" vertical="top" wrapText="1"/>
    </xf>
    <xf numFmtId="43" fontId="24" fillId="2" borderId="0" xfId="2" applyFont="1" applyFill="1"/>
    <xf numFmtId="0" fontId="14" fillId="2" borderId="0" xfId="0" applyNumberFormat="1" applyFont="1" applyFill="1" applyAlignment="1">
      <alignment horizontal="left" vertical="top"/>
    </xf>
    <xf numFmtId="0" fontId="0" fillId="2" borderId="0" xfId="0" applyNumberFormat="1" applyFill="1" applyAlignment="1">
      <alignment horizontal="left"/>
    </xf>
    <xf numFmtId="0" fontId="14" fillId="2" borderId="0" xfId="0" applyNumberFormat="1" applyFont="1" applyFill="1" applyAlignment="1">
      <alignment horizontal="left"/>
    </xf>
    <xf numFmtId="37" fontId="14" fillId="0" borderId="7" xfId="0" applyNumberFormat="1" applyFont="1" applyBorder="1" applyAlignment="1">
      <alignment horizontal="center"/>
    </xf>
    <xf numFmtId="174" fontId="19" fillId="0" borderId="0" xfId="0" applyNumberFormat="1" applyFont="1" applyAlignment="1">
      <alignment horizontal="center"/>
    </xf>
    <xf numFmtId="39" fontId="4" fillId="0" borderId="7" xfId="0" applyFont="1" applyBorder="1" applyAlignment="1">
      <alignment horizontal="center"/>
    </xf>
    <xf numFmtId="39" fontId="4" fillId="0" borderId="5" xfId="0" applyFont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39" fontId="9" fillId="0" borderId="0" xfId="0" applyFont="1" applyFill="1" applyAlignment="1">
      <alignment horizontal="right"/>
    </xf>
    <xf numFmtId="39" fontId="4" fillId="0" borderId="0" xfId="0" applyNumberFormat="1" applyFont="1" applyFill="1"/>
    <xf numFmtId="39" fontId="0" fillId="0" borderId="1" xfId="0" applyNumberFormat="1" applyFill="1" applyBorder="1"/>
    <xf numFmtId="39" fontId="5" fillId="0" borderId="0" xfId="0" applyFont="1" applyFill="1" applyAlignment="1">
      <alignment horizontal="right"/>
    </xf>
    <xf numFmtId="39" fontId="2" fillId="0" borderId="0" xfId="0" applyFont="1" applyFill="1" applyAlignment="1">
      <alignment horizontal="centerContinuous"/>
    </xf>
    <xf numFmtId="39" fontId="0" fillId="0" borderId="0" xfId="0" applyNumberFormat="1" applyFill="1" applyAlignment="1">
      <alignment horizontal="centerContinuous"/>
    </xf>
    <xf numFmtId="39" fontId="5" fillId="0" borderId="0" xfId="0" applyFont="1" applyFill="1" applyAlignment="1">
      <alignment horizontal="centerContinuous"/>
    </xf>
    <xf numFmtId="39" fontId="0" fillId="0" borderId="2" xfId="0" applyNumberFormat="1" applyFill="1" applyBorder="1"/>
    <xf numFmtId="39" fontId="4" fillId="7" borderId="0" xfId="0" applyFont="1" applyFill="1" applyAlignment="1">
      <alignment horizontal="center"/>
    </xf>
    <xf numFmtId="39" fontId="4" fillId="7" borderId="0" xfId="0" applyFont="1" applyFill="1"/>
    <xf numFmtId="7" fontId="4" fillId="7" borderId="0" xfId="0" applyNumberFormat="1" applyFont="1" applyFill="1"/>
    <xf numFmtId="10" fontId="4" fillId="7" borderId="0" xfId="0" applyNumberFormat="1" applyFont="1" applyFill="1"/>
    <xf numFmtId="10" fontId="4" fillId="7" borderId="0" xfId="0" applyNumberFormat="1" applyFont="1" applyFill="1" applyAlignment="1">
      <alignment horizontal="right"/>
    </xf>
    <xf numFmtId="9" fontId="4" fillId="7" borderId="0" xfId="1" applyFont="1" applyFill="1" applyAlignment="1">
      <alignment horizontal="center"/>
    </xf>
    <xf numFmtId="9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/>
    <xf numFmtId="37" fontId="14" fillId="0" borderId="5" xfId="0" applyNumberFormat="1" applyFont="1" applyBorder="1" applyAlignment="1">
      <alignment horizontal="center"/>
    </xf>
    <xf numFmtId="39" fontId="0" fillId="0" borderId="0" xfId="0" applyFont="1" applyBorder="1"/>
    <xf numFmtId="39" fontId="0" fillId="0" borderId="0" xfId="0" applyFont="1" applyBorder="1" applyAlignment="1">
      <alignment horizontal="center"/>
    </xf>
    <xf numFmtId="39" fontId="0" fillId="0" borderId="6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39" fontId="0" fillId="0" borderId="2" xfId="0" applyFont="1" applyBorder="1" applyAlignment="1">
      <alignment horizontal="center"/>
    </xf>
    <xf numFmtId="39" fontId="0" fillId="0" borderId="8" xfId="0" applyFont="1" applyBorder="1" applyAlignment="1">
      <alignment horizontal="center"/>
    </xf>
    <xf numFmtId="39" fontId="20" fillId="0" borderId="2" xfId="0" applyFont="1" applyBorder="1" applyAlignment="1">
      <alignment horizontal="center"/>
    </xf>
    <xf numFmtId="39" fontId="0" fillId="0" borderId="2" xfId="0" applyFont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21" fillId="0" borderId="0" xfId="0" applyNumberFormat="1" applyFont="1" applyAlignment="1">
      <alignment horizontal="right"/>
    </xf>
    <xf numFmtId="0" fontId="14" fillId="2" borderId="0" xfId="0" applyNumberFormat="1" applyFont="1" applyFill="1" applyAlignment="1">
      <alignment horizontal="center" wrapText="1"/>
    </xf>
    <xf numFmtId="179" fontId="0" fillId="2" borderId="0" xfId="0" applyNumberFormat="1" applyFill="1"/>
    <xf numFmtId="179" fontId="0" fillId="0" borderId="0" xfId="0" applyNumberFormat="1" applyFill="1" applyAlignment="1">
      <alignment horizontal="right" vertical="top" wrapText="1"/>
    </xf>
    <xf numFmtId="0" fontId="0" fillId="0" borderId="0" xfId="0" applyNumberFormat="1" applyFill="1" applyAlignment="1">
      <alignment horizontal="left" vertical="top" wrapText="1"/>
    </xf>
    <xf numFmtId="180" fontId="0" fillId="0" borderId="0" xfId="0" applyNumberFormat="1" applyFill="1" applyAlignment="1">
      <alignment horizontal="right" vertical="top" wrapText="1"/>
    </xf>
    <xf numFmtId="179" fontId="0" fillId="0" borderId="0" xfId="0" applyNumberFormat="1" applyFill="1"/>
    <xf numFmtId="0" fontId="25" fillId="2" borderId="0" xfId="0" applyNumberFormat="1" applyFont="1" applyFill="1"/>
    <xf numFmtId="0" fontId="24" fillId="2" borderId="0" xfId="0" applyNumberFormat="1" applyFont="1" applyFill="1" applyAlignment="1">
      <alignment horizontal="right"/>
    </xf>
    <xf numFmtId="179" fontId="24" fillId="2" borderId="0" xfId="0" applyNumberFormat="1" applyFont="1" applyFill="1"/>
    <xf numFmtId="0" fontId="25" fillId="0" borderId="0" xfId="0" applyNumberFormat="1" applyFont="1" applyFill="1"/>
    <xf numFmtId="0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/>
    <xf numFmtId="0" fontId="0" fillId="0" borderId="0" xfId="0" applyNumberFormat="1" applyFill="1"/>
    <xf numFmtId="0" fontId="25" fillId="2" borderId="0" xfId="0" applyNumberFormat="1" applyFont="1" applyFill="1" applyAlignment="1">
      <alignment horizontal="right"/>
    </xf>
    <xf numFmtId="179" fontId="25" fillId="2" borderId="0" xfId="0" applyNumberFormat="1" applyFont="1" applyFill="1"/>
    <xf numFmtId="0" fontId="0" fillId="2" borderId="0" xfId="0" applyNumberFormat="1" applyFill="1"/>
    <xf numFmtId="0" fontId="23" fillId="8" borderId="0" xfId="4" applyFont="1" applyAlignment="1">
      <alignment horizontal="center"/>
    </xf>
    <xf numFmtId="0" fontId="21" fillId="0" borderId="0" xfId="0" applyNumberFormat="1" applyFont="1" applyFill="1" applyAlignment="1">
      <alignment horizontal="right"/>
    </xf>
    <xf numFmtId="39" fontId="0" fillId="0" borderId="0" xfId="0" applyAlignment="1">
      <alignment horizontal="center"/>
    </xf>
    <xf numFmtId="39" fontId="17" fillId="0" borderId="0" xfId="0" applyFont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0" xfId="0" applyBorder="1" applyAlignment="1">
      <alignment horizontal="center"/>
    </xf>
    <xf numFmtId="170" fontId="4" fillId="2" borderId="6" xfId="0" applyNumberFormat="1" applyFont="1" applyFill="1" applyBorder="1" applyAlignment="1">
      <alignment horizontal="center"/>
    </xf>
    <xf numFmtId="170" fontId="4" fillId="2" borderId="0" xfId="0" applyNumberFormat="1" applyFont="1" applyFill="1" applyBorder="1" applyAlignment="1">
      <alignment horizontal="center"/>
    </xf>
    <xf numFmtId="168" fontId="0" fillId="0" borderId="18" xfId="2" applyNumberFormat="1" applyFont="1" applyBorder="1"/>
    <xf numFmtId="170" fontId="0" fillId="0" borderId="19" xfId="1" applyNumberFormat="1" applyFont="1" applyBorder="1"/>
    <xf numFmtId="168" fontId="0" fillId="0" borderId="23" xfId="2" applyNumberFormat="1" applyFont="1" applyBorder="1"/>
    <xf numFmtId="170" fontId="0" fillId="0" borderId="24" xfId="1" applyNumberFormat="1" applyFont="1" applyBorder="1"/>
    <xf numFmtId="182" fontId="0" fillId="0" borderId="18" xfId="2" applyNumberFormat="1" applyFont="1" applyBorder="1"/>
    <xf numFmtId="9" fontId="0" fillId="0" borderId="19" xfId="1" applyFont="1" applyBorder="1"/>
    <xf numFmtId="168" fontId="0" fillId="0" borderId="20" xfId="2" applyNumberFormat="1" applyFont="1" applyBorder="1"/>
    <xf numFmtId="170" fontId="0" fillId="0" borderId="22" xfId="1" applyNumberFormat="1" applyFont="1" applyBorder="1"/>
    <xf numFmtId="168" fontId="0" fillId="0" borderId="19" xfId="2" applyNumberFormat="1" applyFont="1" applyBorder="1"/>
    <xf numFmtId="39" fontId="4" fillId="0" borderId="0" xfId="0" applyFont="1" applyAlignment="1">
      <alignment horizontal="center"/>
    </xf>
    <xf numFmtId="183" fontId="0" fillId="0" borderId="0" xfId="0" applyNumberFormat="1"/>
    <xf numFmtId="43" fontId="0" fillId="0" borderId="0" xfId="2" applyFont="1"/>
    <xf numFmtId="37" fontId="0" fillId="0" borderId="0" xfId="0" applyNumberFormat="1" applyFill="1" applyBorder="1"/>
    <xf numFmtId="39" fontId="0" fillId="4" borderId="0" xfId="0" applyFill="1" applyBorder="1"/>
    <xf numFmtId="2" fontId="7" fillId="0" borderId="0" xfId="0" quotePrefix="1" applyNumberFormat="1" applyFont="1" applyFill="1" applyBorder="1" applyAlignment="1">
      <alignment horizontal="center"/>
    </xf>
    <xf numFmtId="175" fontId="7" fillId="0" borderId="0" xfId="0" quotePrefix="1" applyNumberFormat="1" applyFont="1" applyFill="1" applyBorder="1" applyAlignment="1">
      <alignment horizontal="center"/>
    </xf>
    <xf numFmtId="37" fontId="0" fillId="2" borderId="0" xfId="0" applyNumberFormat="1" applyFill="1"/>
    <xf numFmtId="10" fontId="0" fillId="0" borderId="0" xfId="1" applyNumberFormat="1" applyFont="1" applyAlignment="1">
      <alignment wrapText="1"/>
    </xf>
    <xf numFmtId="39" fontId="0" fillId="0" borderId="2" xfId="0" applyBorder="1" applyAlignment="1">
      <alignment horizontal="center" wrapText="1"/>
    </xf>
    <xf numFmtId="39" fontId="0" fillId="0" borderId="10" xfId="0" applyBorder="1" applyAlignment="1">
      <alignment horizontal="center"/>
    </xf>
    <xf numFmtId="39" fontId="18" fillId="0" borderId="18" xfId="0" applyFont="1" applyBorder="1" applyAlignment="1">
      <alignment horizontal="center"/>
    </xf>
    <xf numFmtId="39" fontId="18" fillId="0" borderId="19" xfId="0" applyFont="1" applyBorder="1" applyAlignment="1">
      <alignment horizontal="center"/>
    </xf>
    <xf numFmtId="39" fontId="17" fillId="0" borderId="10" xfId="0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center"/>
    </xf>
    <xf numFmtId="39" fontId="0" fillId="0" borderId="13" xfId="0" applyFill="1" applyBorder="1" applyAlignment="1">
      <alignment horizontal="center"/>
    </xf>
    <xf numFmtId="39" fontId="0" fillId="0" borderId="14" xfId="0" applyFill="1" applyBorder="1" applyAlignment="1">
      <alignment horizontal="center"/>
    </xf>
    <xf numFmtId="39" fontId="0" fillId="0" borderId="10" xfId="0" applyFill="1" applyBorder="1" applyAlignment="1">
      <alignment horizontal="center"/>
    </xf>
    <xf numFmtId="39" fontId="17" fillId="0" borderId="6" xfId="0" applyFont="1" applyFill="1" applyBorder="1" applyAlignment="1">
      <alignment horizontal="center"/>
    </xf>
    <xf numFmtId="39" fontId="0" fillId="0" borderId="8" xfId="0" applyFill="1" applyBorder="1" applyAlignment="1">
      <alignment horizontal="center"/>
    </xf>
    <xf numFmtId="39" fontId="0" fillId="4" borderId="14" xfId="0" applyFill="1" applyBorder="1" applyAlignment="1">
      <alignment horizontal="center"/>
    </xf>
    <xf numFmtId="39" fontId="17" fillId="4" borderId="14" xfId="0" applyFont="1" applyFill="1" applyBorder="1" applyAlignment="1">
      <alignment horizontal="center"/>
    </xf>
    <xf numFmtId="39" fontId="0" fillId="0" borderId="0" xfId="0" applyAlignment="1">
      <alignment horizontal="center"/>
    </xf>
    <xf numFmtId="0" fontId="18" fillId="0" borderId="0" xfId="0" applyNumberFormat="1" applyFont="1" applyAlignment="1">
      <alignment horizontal="left"/>
    </xf>
    <xf numFmtId="39" fontId="2" fillId="0" borderId="0" xfId="0" applyFont="1" applyAlignment="1">
      <alignment horizontal="center"/>
    </xf>
    <xf numFmtId="39" fontId="5" fillId="0" borderId="0" xfId="0" applyFont="1" applyAlignment="1">
      <alignment horizontal="center"/>
    </xf>
    <xf numFmtId="39" fontId="18" fillId="0" borderId="18" xfId="0" applyFont="1" applyBorder="1" applyAlignment="1">
      <alignment horizontal="center"/>
    </xf>
    <xf numFmtId="39" fontId="18" fillId="0" borderId="0" xfId="0" applyFont="1" applyBorder="1" applyAlignment="1">
      <alignment horizontal="center"/>
    </xf>
    <xf numFmtId="39" fontId="18" fillId="0" borderId="19" xfId="0" applyFont="1" applyBorder="1" applyAlignment="1">
      <alignment horizontal="center"/>
    </xf>
    <xf numFmtId="39" fontId="17" fillId="0" borderId="15" xfId="0" applyFont="1" applyBorder="1" applyAlignment="1">
      <alignment horizontal="center"/>
    </xf>
    <xf numFmtId="39" fontId="17" fillId="0" borderId="16" xfId="0" applyFont="1" applyBorder="1" applyAlignment="1">
      <alignment horizontal="center"/>
    </xf>
    <xf numFmtId="39" fontId="17" fillId="0" borderId="17" xfId="0" applyFont="1" applyBorder="1" applyAlignment="1">
      <alignment horizontal="center"/>
    </xf>
    <xf numFmtId="39" fontId="17" fillId="0" borderId="23" xfId="0" applyFont="1" applyBorder="1" applyAlignment="1">
      <alignment horizontal="center"/>
    </xf>
    <xf numFmtId="39" fontId="17" fillId="0" borderId="2" xfId="0" applyFont="1" applyBorder="1" applyAlignment="1">
      <alignment horizontal="center"/>
    </xf>
    <xf numFmtId="39" fontId="17" fillId="0" borderId="24" xfId="0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4" fillId="2" borderId="0" xfId="0" applyNumberFormat="1" applyFont="1" applyFill="1" applyAlignment="1">
      <alignment horizontal="left" vertical="top" wrapText="1"/>
    </xf>
    <xf numFmtId="0" fontId="14" fillId="2" borderId="25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37" fontId="14" fillId="0" borderId="3" xfId="0" applyNumberFormat="1" applyFont="1" applyBorder="1" applyAlignment="1">
      <alignment horizontal="center"/>
    </xf>
    <xf numFmtId="37" fontId="14" fillId="0" borderId="11" xfId="0" applyNumberFormat="1" applyFont="1" applyBorder="1" applyAlignment="1">
      <alignment horizontal="center"/>
    </xf>
    <xf numFmtId="37" fontId="14" fillId="0" borderId="4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7" fontId="14" fillId="0" borderId="7" xfId="0" applyNumberFormat="1" applyFont="1" applyBorder="1" applyAlignment="1">
      <alignment horizontal="center"/>
    </xf>
    <xf numFmtId="37" fontId="14" fillId="0" borderId="2" xfId="0" applyNumberFormat="1" applyFont="1" applyBorder="1" applyAlignment="1">
      <alignment horizontal="center"/>
    </xf>
    <xf numFmtId="174" fontId="19" fillId="0" borderId="0" xfId="0" applyNumberFormat="1" applyFont="1" applyAlignment="1">
      <alignment horizontal="center"/>
    </xf>
    <xf numFmtId="39" fontId="4" fillId="0" borderId="3" xfId="0" applyFont="1" applyBorder="1" applyAlignment="1">
      <alignment horizontal="center"/>
    </xf>
    <xf numFmtId="39" fontId="4" fillId="0" borderId="11" xfId="0" applyFont="1" applyBorder="1" applyAlignment="1">
      <alignment horizontal="center"/>
    </xf>
    <xf numFmtId="39" fontId="4" fillId="0" borderId="4" xfId="0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39" fontId="17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9" fontId="4" fillId="0" borderId="7" xfId="0" applyFont="1" applyBorder="1" applyAlignment="1">
      <alignment horizontal="center"/>
    </xf>
    <xf numFmtId="39" fontId="4" fillId="0" borderId="2" xfId="0" applyFont="1" applyBorder="1" applyAlignment="1">
      <alignment horizontal="center"/>
    </xf>
    <xf numFmtId="169" fontId="4" fillId="0" borderId="9" xfId="2" applyNumberFormat="1" applyFont="1" applyFill="1" applyBorder="1" applyAlignment="1">
      <alignment horizontal="center"/>
    </xf>
    <xf numFmtId="169" fontId="4" fillId="0" borderId="1" xfId="2" applyNumberFormat="1" applyFont="1" applyFill="1" applyBorder="1" applyAlignment="1">
      <alignment horizontal="center"/>
    </xf>
    <xf numFmtId="169" fontId="4" fillId="0" borderId="10" xfId="2" applyNumberFormat="1" applyFont="1" applyFill="1" applyBorder="1" applyAlignment="1">
      <alignment horizontal="center"/>
    </xf>
    <xf numFmtId="169" fontId="4" fillId="0" borderId="9" xfId="2" applyNumberFormat="1" applyFont="1" applyBorder="1" applyAlignment="1">
      <alignment horizontal="center"/>
    </xf>
    <xf numFmtId="169" fontId="4" fillId="0" borderId="1" xfId="2" applyNumberFormat="1" applyFont="1" applyBorder="1" applyAlignment="1">
      <alignment horizontal="center"/>
    </xf>
    <xf numFmtId="169" fontId="4" fillId="0" borderId="10" xfId="2" applyNumberFormat="1" applyFont="1" applyBorder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9" fontId="4" fillId="0" borderId="5" xfId="0" applyFont="1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39" fontId="4" fillId="0" borderId="9" xfId="0" applyFont="1" applyBorder="1" applyAlignment="1">
      <alignment horizontal="center"/>
    </xf>
    <xf numFmtId="39" fontId="4" fillId="0" borderId="10" xfId="0" applyFont="1" applyBorder="1" applyAlignment="1">
      <alignment horizontal="center"/>
    </xf>
    <xf numFmtId="39" fontId="4" fillId="0" borderId="8" xfId="0" applyFont="1" applyBorder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4" fillId="0" borderId="5" xfId="0" applyFont="1" applyBorder="1" applyAlignment="1">
      <alignment horizontal="center"/>
    </xf>
    <xf numFmtId="39" fontId="4" fillId="0" borderId="6" xfId="0" applyFont="1" applyBorder="1" applyAlignment="1">
      <alignment horizontal="center"/>
    </xf>
    <xf numFmtId="39" fontId="4" fillId="0" borderId="1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39" fontId="2" fillId="0" borderId="3" xfId="0" applyFont="1" applyBorder="1" applyAlignment="1">
      <alignment horizontal="center"/>
    </xf>
    <xf numFmtId="39" fontId="2" fillId="0" borderId="11" xfId="0" applyFont="1" applyBorder="1" applyAlignment="1">
      <alignment horizontal="center"/>
    </xf>
    <xf numFmtId="39" fontId="2" fillId="0" borderId="4" xfId="0" applyFont="1" applyBorder="1" applyAlignment="1">
      <alignment horizontal="center"/>
    </xf>
    <xf numFmtId="39" fontId="2" fillId="0" borderId="9" xfId="0" applyFont="1" applyBorder="1" applyAlignment="1">
      <alignment horizontal="center"/>
    </xf>
    <xf numFmtId="39" fontId="2" fillId="0" borderId="1" xfId="0" applyFont="1" applyBorder="1" applyAlignment="1">
      <alignment horizontal="center"/>
    </xf>
    <xf numFmtId="39" fontId="2" fillId="0" borderId="10" xfId="0" applyFont="1" applyBorder="1" applyAlignment="1">
      <alignment horizontal="center"/>
    </xf>
    <xf numFmtId="39" fontId="4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</cellXfs>
  <cellStyles count="5">
    <cellStyle name="Comma" xfId="2" builtinId="3"/>
    <cellStyle name="Normal" xfId="0" builtinId="0"/>
    <cellStyle name="Percent" xfId="1" builtinId="5"/>
    <cellStyle name="Style 25" xfId="3"/>
    <cellStyle name="Style 2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 on Equity Comparison</a:t>
            </a:r>
          </a:p>
        </c:rich>
      </c:tx>
      <c:layout>
        <c:manualLayout>
          <c:xMode val="edge"/>
          <c:yMode val="edge"/>
          <c:x val="0.17906684914950041"/>
          <c:y val="4.6296296296296523E-2"/>
        </c:manualLayout>
      </c:layout>
    </c:title>
    <c:plotArea>
      <c:layout>
        <c:manualLayout>
          <c:layoutTarget val="inner"/>
          <c:xMode val="edge"/>
          <c:yMode val="edge"/>
          <c:x val="0.13759466296961187"/>
          <c:y val="0.19480351414406533"/>
          <c:w val="0.82929773733136669"/>
          <c:h val="0.57772163896180073"/>
        </c:manualLayout>
      </c:layout>
      <c:lineChart>
        <c:grouping val="standard"/>
        <c:ser>
          <c:idx val="0"/>
          <c:order val="0"/>
          <c:tx>
            <c:strRef>
              <c:f>'1.6 ROE Compare'!$A$20</c:f>
              <c:strCache>
                <c:ptCount val="1"/>
                <c:pt idx="0">
                  <c:v>AVERAGE </c:v>
                </c:pt>
              </c:strCache>
            </c:strRef>
          </c:tx>
          <c:marker>
            <c:symbol val="square"/>
            <c:size val="5"/>
          </c:marker>
          <c:dLbls>
            <c:dLbl>
              <c:idx val="1"/>
              <c:layout>
                <c:manualLayout>
                  <c:x val="-5.6796295657699121E-2"/>
                  <c:y val="-5.39029569546249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2272326004396193E-2"/>
                  <c:y val="5.9710557013707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396063610481635E-2"/>
                  <c:y val="-4.9493409716215526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'1.6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'1.6 ROE Compare'!$G$20:$O$20</c:f>
              <c:numCache>
                <c:formatCode>#,##0.00_);\(#,##0.00\)</c:formatCode>
                <c:ptCount val="9"/>
                <c:pt idx="0">
                  <c:v>11.633333333333333</c:v>
                </c:pt>
                <c:pt idx="1">
                  <c:v>11.588888888888889</c:v>
                </c:pt>
                <c:pt idx="2">
                  <c:v>11.933333333333332</c:v>
                </c:pt>
                <c:pt idx="3">
                  <c:v>11.277777777777779</c:v>
                </c:pt>
                <c:pt idx="4">
                  <c:v>11.933333333333334</c:v>
                </c:pt>
                <c:pt idx="5">
                  <c:v>11.416997399672715</c:v>
                </c:pt>
                <c:pt idx="6">
                  <c:v>11.326244164504301</c:v>
                </c:pt>
                <c:pt idx="7">
                  <c:v>10.272583409160145</c:v>
                </c:pt>
                <c:pt idx="8">
                  <c:v>10.533567823263947</c:v>
                </c:pt>
              </c:numCache>
            </c:numRef>
          </c:val>
        </c:ser>
        <c:ser>
          <c:idx val="1"/>
          <c:order val="1"/>
          <c:tx>
            <c:strRef>
              <c:f>'1.6 ROE Compare'!$A$22</c:f>
              <c:strCache>
                <c:ptCount val="1"/>
                <c:pt idx="0">
                  <c:v>Questar Gas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1"/>
              <c:layout>
                <c:manualLayout>
                  <c:x val="-5.8301129689399565E-2"/>
                  <c:y val="5.65111587627148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6.1407132234881492E-2"/>
                  <c:y val="-6.20253718285219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872023318201851E-2"/>
                  <c:y val="5.651115876271498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b"/>
            <c:showVal val="1"/>
          </c:dLbls>
          <c:cat>
            <c:numRef>
              <c:f>'1.6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'1.6 ROE Compare'!$G$22:$O$22</c:f>
              <c:numCache>
                <c:formatCode>#,##0.00_);\(#,##0.00\)</c:formatCode>
                <c:ptCount val="9"/>
                <c:pt idx="0">
                  <c:v>10.08</c:v>
                </c:pt>
                <c:pt idx="1">
                  <c:v>11.36</c:v>
                </c:pt>
                <c:pt idx="2">
                  <c:v>11.42</c:v>
                </c:pt>
                <c:pt idx="3">
                  <c:v>11.16</c:v>
                </c:pt>
                <c:pt idx="4">
                  <c:v>11.09</c:v>
                </c:pt>
                <c:pt idx="5" formatCode="0.00">
                  <c:v>10.617660000000001</c:v>
                </c:pt>
                <c:pt idx="6" formatCode="0.00">
                  <c:v>10.77961</c:v>
                </c:pt>
                <c:pt idx="7" formatCode="0.00">
                  <c:v>10.623340000000001</c:v>
                </c:pt>
                <c:pt idx="8" formatCode="0.00">
                  <c:v>10.239100000000001</c:v>
                </c:pt>
              </c:numCache>
            </c:numRef>
          </c:val>
        </c:ser>
        <c:marker val="1"/>
        <c:axId val="114933120"/>
        <c:axId val="114934912"/>
      </c:lineChart>
      <c:catAx>
        <c:axId val="114933120"/>
        <c:scaling>
          <c:orientation val="minMax"/>
        </c:scaling>
        <c:axPos val="b"/>
        <c:numFmt formatCode="General" sourceLinked="1"/>
        <c:majorTickMark val="none"/>
        <c:tickLblPos val="nextTo"/>
        <c:crossAx val="114934912"/>
        <c:crosses val="autoZero"/>
        <c:auto val="1"/>
        <c:lblAlgn val="ctr"/>
        <c:lblOffset val="100"/>
      </c:catAx>
      <c:valAx>
        <c:axId val="114934912"/>
        <c:scaling>
          <c:orientation val="minMax"/>
          <c:max val="15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048908954100828E-2"/>
              <c:y val="0.39579396325459576"/>
            </c:manualLayout>
          </c:layout>
        </c:title>
        <c:numFmt formatCode="#,##0.0" sourceLinked="0"/>
        <c:majorTickMark val="none"/>
        <c:tickLblPos val="nextTo"/>
        <c:spPr>
          <a:ln w="9525">
            <a:noFill/>
          </a:ln>
        </c:spPr>
        <c:crossAx val="11493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50425000055029"/>
          <c:y val="0.89027151837472163"/>
          <c:w val="0.69741536867700049"/>
          <c:h val="8.2390805356463051E-2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 on Equity - QGC, NWN, PNY</a:t>
            </a:r>
          </a:p>
        </c:rich>
      </c:tx>
      <c:layout>
        <c:manualLayout>
          <c:xMode val="edge"/>
          <c:yMode val="edge"/>
          <c:x val="0.14801506223444971"/>
          <c:y val="2.7777877433932285E-2"/>
        </c:manualLayout>
      </c:layout>
    </c:title>
    <c:plotArea>
      <c:layout>
        <c:manualLayout>
          <c:layoutTarget val="inner"/>
          <c:xMode val="edge"/>
          <c:yMode val="edge"/>
          <c:x val="0.13190033790593167"/>
          <c:y val="0.2599472189116448"/>
          <c:w val="0.83396947730489734"/>
          <c:h val="0.50441349204014407"/>
        </c:manualLayout>
      </c:layout>
      <c:lineChart>
        <c:grouping val="standard"/>
        <c:ser>
          <c:idx val="2"/>
          <c:order val="0"/>
          <c:tx>
            <c:strRef>
              <c:f>'1.6 ROE Compare'!$A$15</c:f>
              <c:strCache>
                <c:ptCount val="1"/>
                <c:pt idx="0">
                  <c:v>Piedmont Natural Gas</c:v>
                </c:pt>
              </c:strCache>
            </c:strRef>
          </c:tx>
          <c:marker>
            <c:symbol val="circle"/>
            <c:size val="5"/>
          </c:marker>
          <c:dLbls>
            <c:dLbl>
              <c:idx val="2"/>
              <c:layout>
                <c:manualLayout>
                  <c:x val="-5.2611560885723913E-2"/>
                  <c:y val="9.803149606299308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611560885723933E-2"/>
                  <c:y val="2.83216681248177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'1.6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'1.6 ROE Compare'!$G$15:$O$15</c:f>
              <c:numCache>
                <c:formatCode>#,##0.00_);\(#,##0.00\)</c:formatCode>
                <c:ptCount val="9"/>
                <c:pt idx="0">
                  <c:v>12.8</c:v>
                </c:pt>
                <c:pt idx="1">
                  <c:v>11.6</c:v>
                </c:pt>
                <c:pt idx="2">
                  <c:v>11</c:v>
                </c:pt>
                <c:pt idx="3">
                  <c:v>11.9</c:v>
                </c:pt>
                <c:pt idx="4">
                  <c:v>12.5</c:v>
                </c:pt>
                <c:pt idx="5">
                  <c:v>13.236086504847256</c:v>
                </c:pt>
                <c:pt idx="6">
                  <c:v>14.7111585060641</c:v>
                </c:pt>
                <c:pt idx="7">
                  <c:v>11.391852730852833</c:v>
                </c:pt>
                <c:pt idx="8">
                  <c:v>11.669574802045563</c:v>
                </c:pt>
              </c:numCache>
            </c:numRef>
          </c:val>
        </c:ser>
        <c:ser>
          <c:idx val="0"/>
          <c:order val="1"/>
          <c:tx>
            <c:strRef>
              <c:f>'1.6 ROE Compare'!$A$14</c:f>
              <c:strCache>
                <c:ptCount val="1"/>
                <c:pt idx="0">
                  <c:v>Northwest Nat. Gas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dLbls>
            <c:dLbl>
              <c:idx val="3"/>
              <c:layout>
                <c:manualLayout>
                  <c:x val="-5.2611795231485584E-2"/>
                  <c:y val="-4.68401866433362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2611560885723913E-2"/>
                  <c:y val="-4.2210557013706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611560885723913E-2"/>
                  <c:y val="-4.68401866433362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6577391867592674E-2"/>
                  <c:y val="3.649314668999732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b"/>
            <c:showVal val="1"/>
          </c:dLbls>
          <c:cat>
            <c:numRef>
              <c:f>'1.6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'1.6 ROE Compare'!$G$14:$O$14</c:f>
              <c:numCache>
                <c:formatCode>#,##0.00_);\(#,##0.00\)</c:formatCode>
                <c:ptCount val="9"/>
                <c:pt idx="0">
                  <c:v>9.4</c:v>
                </c:pt>
                <c:pt idx="1">
                  <c:v>10.1</c:v>
                </c:pt>
                <c:pt idx="2">
                  <c:v>10.7</c:v>
                </c:pt>
                <c:pt idx="3">
                  <c:v>12.5</c:v>
                </c:pt>
                <c:pt idx="4">
                  <c:v>11.4</c:v>
                </c:pt>
                <c:pt idx="5" formatCode="0.00">
                  <c:v>11.380310708144915</c:v>
                </c:pt>
                <c:pt idx="6" formatCode="0.00">
                  <c:v>10.484330566540807</c:v>
                </c:pt>
                <c:pt idx="7" formatCode="0.00">
                  <c:v>8.9431872893596527</c:v>
                </c:pt>
                <c:pt idx="8" formatCode="0.00">
                  <c:v>8.1653895527213631</c:v>
                </c:pt>
              </c:numCache>
            </c:numRef>
          </c:val>
        </c:ser>
        <c:ser>
          <c:idx val="1"/>
          <c:order val="2"/>
          <c:tx>
            <c:strRef>
              <c:f>'1.6 ROE Compare'!$A$22</c:f>
              <c:strCache>
                <c:ptCount val="1"/>
                <c:pt idx="0">
                  <c:v>Questar Gas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1"/>
              <c:layout>
                <c:manualLayout>
                  <c:x val="-5.1123465298899766E-2"/>
                  <c:y val="5.3784631087781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099656472547983E-2"/>
                  <c:y val="7.230314960629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09965647254792E-2"/>
                  <c:y val="5.841426071741043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409965647254792E-2"/>
                  <c:y val="5.841426071741040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'1.6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'1.6 ROE Compare'!$G$22:$O$22</c:f>
              <c:numCache>
                <c:formatCode>#,##0.00_);\(#,##0.00\)</c:formatCode>
                <c:ptCount val="9"/>
                <c:pt idx="0">
                  <c:v>10.08</c:v>
                </c:pt>
                <c:pt idx="1">
                  <c:v>11.36</c:v>
                </c:pt>
                <c:pt idx="2">
                  <c:v>11.42</c:v>
                </c:pt>
                <c:pt idx="3">
                  <c:v>11.16</c:v>
                </c:pt>
                <c:pt idx="4">
                  <c:v>11.09</c:v>
                </c:pt>
                <c:pt idx="5" formatCode="0.00">
                  <c:v>10.617660000000001</c:v>
                </c:pt>
                <c:pt idx="6" formatCode="0.00">
                  <c:v>10.77961</c:v>
                </c:pt>
                <c:pt idx="7" formatCode="0.00">
                  <c:v>10.623340000000001</c:v>
                </c:pt>
                <c:pt idx="8" formatCode="0.00">
                  <c:v>10.239100000000001</c:v>
                </c:pt>
              </c:numCache>
            </c:numRef>
          </c:val>
        </c:ser>
        <c:marker val="1"/>
        <c:axId val="115011584"/>
        <c:axId val="115013120"/>
      </c:lineChart>
      <c:catAx>
        <c:axId val="115011584"/>
        <c:scaling>
          <c:orientation val="minMax"/>
        </c:scaling>
        <c:axPos val="b"/>
        <c:numFmt formatCode="General" sourceLinked="1"/>
        <c:majorTickMark val="none"/>
        <c:tickLblPos val="nextTo"/>
        <c:crossAx val="115013120"/>
        <c:crossesAt val="7"/>
        <c:auto val="1"/>
        <c:lblAlgn val="ctr"/>
        <c:lblOffset val="100"/>
      </c:catAx>
      <c:valAx>
        <c:axId val="115013120"/>
        <c:scaling>
          <c:orientation val="minMax"/>
          <c:max val="15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#,##0.0" sourceLinked="0"/>
        <c:majorTickMark val="none"/>
        <c:tickLblPos val="nextTo"/>
        <c:spPr>
          <a:ln w="9525">
            <a:noFill/>
          </a:ln>
        </c:spPr>
        <c:crossAx val="11501158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9903123534900142E-2"/>
          <c:y val="0.8557216464886932"/>
          <c:w val="0.9339880204761567"/>
          <c:h val="0.11694067724249667"/>
        </c:manualLayout>
      </c:layout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95250</xdr:rowOff>
    </xdr:from>
    <xdr:to>
      <xdr:col>10</xdr:col>
      <xdr:colOff>76200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333377</xdr:colOff>
      <xdr:row>24</xdr:row>
      <xdr:rowOff>85725</xdr:rowOff>
    </xdr:from>
    <xdr:to>
      <xdr:col>20</xdr:col>
      <xdr:colOff>304801</xdr:colOff>
      <xdr:row>41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Normal="100" zoomScaleSheetLayoutView="120" workbookViewId="0">
      <selection activeCell="F5" sqref="F5"/>
    </sheetView>
  </sheetViews>
  <sheetFormatPr defaultRowHeight="12.75"/>
  <cols>
    <col min="1" max="1" width="3.83203125" customWidth="1"/>
    <col min="2" max="2" width="4" customWidth="1"/>
    <col min="5" max="5" width="30.33203125" customWidth="1"/>
    <col min="7" max="7" width="12.5" customWidth="1"/>
    <col min="8" max="8" width="12.5" style="2" customWidth="1"/>
    <col min="9" max="9" width="12.5" customWidth="1"/>
    <col min="10" max="10" width="4.1640625" customWidth="1"/>
    <col min="11" max="13" width="11.33203125" customWidth="1"/>
    <col min="14" max="14" width="4.83203125" customWidth="1"/>
    <col min="15" max="17" width="0" hidden="1" customWidth="1"/>
  </cols>
  <sheetData>
    <row r="1" spans="1:17" ht="15.75">
      <c r="L1" s="4"/>
      <c r="M1" s="8" t="s">
        <v>288</v>
      </c>
    </row>
    <row r="2" spans="1:17" ht="15.75">
      <c r="M2" s="475" t="s">
        <v>812</v>
      </c>
    </row>
    <row r="3" spans="1:17" ht="18.75">
      <c r="B3" s="736" t="str">
        <f>Comps!B3</f>
        <v>Questar Gas Company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</row>
    <row r="4" spans="1:17" ht="15.75">
      <c r="B4" s="737" t="s">
        <v>75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</row>
    <row r="5" spans="1:17" ht="16.5" thickBot="1"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</row>
    <row r="6" spans="1:17" ht="15">
      <c r="A6" s="295"/>
      <c r="B6" s="295"/>
      <c r="C6" s="295"/>
      <c r="D6" s="295"/>
      <c r="E6" s="295"/>
      <c r="F6" s="295"/>
      <c r="G6" s="741" t="s">
        <v>330</v>
      </c>
      <c r="H6" s="742"/>
      <c r="I6" s="743"/>
      <c r="J6" s="295"/>
      <c r="K6" s="741" t="s">
        <v>312</v>
      </c>
      <c r="L6" s="742"/>
      <c r="M6" s="743"/>
      <c r="O6" s="734" t="s">
        <v>654</v>
      </c>
      <c r="P6" s="734"/>
      <c r="Q6" s="734"/>
    </row>
    <row r="7" spans="1:17" ht="15">
      <c r="A7" s="295"/>
      <c r="B7" s="295"/>
      <c r="C7" s="295"/>
      <c r="D7" s="295"/>
      <c r="E7" s="295"/>
      <c r="F7" s="295"/>
      <c r="G7" s="744" t="s">
        <v>854</v>
      </c>
      <c r="H7" s="745"/>
      <c r="I7" s="746"/>
      <c r="J7" s="295"/>
      <c r="K7" s="744" t="s">
        <v>853</v>
      </c>
      <c r="L7" s="745"/>
      <c r="M7" s="746"/>
      <c r="O7" s="734" t="s">
        <v>653</v>
      </c>
      <c r="P7" s="734"/>
      <c r="Q7" s="734"/>
    </row>
    <row r="8" spans="1:17" ht="15">
      <c r="A8" s="295"/>
      <c r="B8" s="295"/>
      <c r="C8" s="295"/>
      <c r="D8" s="295"/>
      <c r="E8" s="295"/>
      <c r="F8" s="295"/>
      <c r="G8" s="567" t="s">
        <v>307</v>
      </c>
      <c r="H8" s="298" t="s">
        <v>310</v>
      </c>
      <c r="I8" s="568" t="s">
        <v>308</v>
      </c>
      <c r="J8" s="295"/>
      <c r="K8" s="723" t="str">
        <f>+G8</f>
        <v>LOW</v>
      </c>
      <c r="L8" s="607" t="str">
        <f>+H8</f>
        <v>AVG</v>
      </c>
      <c r="M8" s="724" t="str">
        <f>+I8</f>
        <v>HIGH</v>
      </c>
    </row>
    <row r="9" spans="1:17" ht="15" hidden="1">
      <c r="A9" s="295"/>
      <c r="B9" s="295"/>
      <c r="C9" s="295"/>
      <c r="D9" s="295"/>
      <c r="E9" s="295"/>
      <c r="F9" s="295"/>
      <c r="G9" s="569"/>
      <c r="H9" s="570"/>
      <c r="I9" s="571"/>
      <c r="J9" s="295"/>
      <c r="K9" s="609"/>
      <c r="L9" s="610"/>
      <c r="M9" s="611"/>
    </row>
    <row r="10" spans="1:17" ht="15">
      <c r="A10" s="278" t="s">
        <v>72</v>
      </c>
      <c r="B10" s="295"/>
      <c r="C10" s="295"/>
      <c r="D10" s="295"/>
      <c r="E10" s="295"/>
      <c r="F10" s="295"/>
      <c r="G10" s="569"/>
      <c r="H10" s="570"/>
      <c r="I10" s="571"/>
      <c r="J10" s="295"/>
      <c r="K10" s="569"/>
      <c r="L10" s="572"/>
      <c r="M10" s="571"/>
    </row>
    <row r="11" spans="1:17" ht="12.75" customHeight="1">
      <c r="A11" s="295"/>
      <c r="B11" s="295"/>
      <c r="C11" s="295"/>
      <c r="D11" s="295"/>
      <c r="E11" s="295"/>
      <c r="F11" s="295"/>
      <c r="G11" s="569"/>
      <c r="H11" s="570"/>
      <c r="I11" s="571"/>
      <c r="J11" s="295"/>
      <c r="K11" s="554"/>
      <c r="L11" s="36"/>
      <c r="M11" s="555"/>
    </row>
    <row r="12" spans="1:17" ht="12.75" customHeight="1">
      <c r="A12" s="295"/>
      <c r="B12" s="295" t="s">
        <v>861</v>
      </c>
      <c r="C12" s="295"/>
      <c r="D12" s="295"/>
      <c r="E12" s="295"/>
      <c r="F12" s="295"/>
      <c r="G12" s="574"/>
      <c r="H12" s="575"/>
      <c r="I12" s="576"/>
      <c r="J12" s="295"/>
      <c r="K12" s="580">
        <v>6.3600000000000004E-2</v>
      </c>
      <c r="L12" s="495">
        <v>8.5699999999999998E-2</v>
      </c>
      <c r="M12" s="581">
        <v>9.7600000000000006E-2</v>
      </c>
    </row>
    <row r="13" spans="1:17" ht="15">
      <c r="A13" s="295"/>
      <c r="B13" s="295" t="s">
        <v>862</v>
      </c>
      <c r="C13" s="295"/>
      <c r="D13" s="295"/>
      <c r="E13" s="295"/>
      <c r="F13" s="295"/>
      <c r="G13" s="574"/>
      <c r="H13" s="575"/>
      <c r="I13" s="576"/>
      <c r="J13" s="295"/>
      <c r="K13" s="580">
        <v>6.3399999999999998E-2</v>
      </c>
      <c r="L13" s="495">
        <v>0.1075</v>
      </c>
      <c r="M13" s="581">
        <v>0.12659999999999999</v>
      </c>
    </row>
    <row r="14" spans="1:17" ht="15">
      <c r="A14" s="295"/>
      <c r="B14" s="295"/>
      <c r="C14" s="295"/>
      <c r="D14" s="295"/>
      <c r="E14" s="295"/>
      <c r="F14" s="295"/>
      <c r="G14" s="574"/>
      <c r="H14" s="575"/>
      <c r="I14" s="576"/>
      <c r="J14" s="295"/>
      <c r="K14" s="738" t="s">
        <v>320</v>
      </c>
      <c r="L14" s="739"/>
      <c r="M14" s="740"/>
    </row>
    <row r="15" spans="1:17" ht="15">
      <c r="A15" s="295" t="s">
        <v>95</v>
      </c>
      <c r="B15" s="295"/>
      <c r="C15" s="295"/>
      <c r="D15" s="295"/>
      <c r="F15" s="295"/>
      <c r="G15" s="574"/>
      <c r="H15" s="575"/>
      <c r="I15" s="576"/>
      <c r="J15" s="295"/>
      <c r="K15" s="554"/>
      <c r="L15" s="36"/>
      <c r="M15" s="555"/>
    </row>
    <row r="16" spans="1:17" ht="15">
      <c r="A16" s="295"/>
      <c r="B16" s="295" t="s">
        <v>337</v>
      </c>
      <c r="C16" s="295"/>
      <c r="D16" s="295"/>
      <c r="F16" s="295"/>
      <c r="G16" s="574">
        <f>+'1.3 SR DCF SS'!J59</f>
        <v>6.9495686611452293E-2</v>
      </c>
      <c r="H16" s="575">
        <f>+'1.3 SR DCF SS'!J66</f>
        <v>8.2134072348516593E-2</v>
      </c>
      <c r="I16" s="576">
        <f>+'1.3 SR DCF SS'!J58</f>
        <v>0.10179964875640782</v>
      </c>
      <c r="J16" s="295"/>
      <c r="K16" s="554"/>
      <c r="L16" s="36"/>
      <c r="M16" s="555"/>
      <c r="O16" s="95">
        <v>8.8999999999999996E-2</v>
      </c>
      <c r="P16" s="95">
        <v>9.2499999999999999E-2</v>
      </c>
      <c r="Q16" s="95">
        <v>9.6000000000000002E-2</v>
      </c>
    </row>
    <row r="17" spans="1:17" ht="15">
      <c r="A17" s="295"/>
      <c r="B17" s="295" t="s">
        <v>338</v>
      </c>
      <c r="C17" s="295"/>
      <c r="D17" s="295"/>
      <c r="F17" s="295"/>
      <c r="G17" s="574">
        <f>+'1.3 SR DCF SS'!T53</f>
        <v>7.7067527152526349E-2</v>
      </c>
      <c r="H17" s="575">
        <f>+'1.3 SR DCF SS'!T66</f>
        <v>9.2553516792961033E-2</v>
      </c>
      <c r="I17" s="576">
        <f>+'1.3 SR DCF SS'!T52</f>
        <v>0.12093261284515107</v>
      </c>
      <c r="J17" s="295"/>
      <c r="K17" s="554"/>
      <c r="L17" s="36"/>
      <c r="M17" s="555"/>
      <c r="O17" s="95"/>
      <c r="P17" s="95"/>
      <c r="Q17" s="95"/>
    </row>
    <row r="18" spans="1:17" ht="15">
      <c r="A18" s="295"/>
      <c r="B18" s="295"/>
      <c r="C18" s="295"/>
      <c r="D18" s="295"/>
      <c r="E18" s="295"/>
      <c r="F18" s="295"/>
      <c r="G18" s="574"/>
      <c r="H18" s="575"/>
      <c r="I18" s="576"/>
      <c r="J18" s="295"/>
      <c r="K18" s="554"/>
      <c r="L18" s="36"/>
      <c r="M18" s="555"/>
      <c r="O18" s="95"/>
      <c r="P18" s="95"/>
      <c r="Q18" s="95"/>
    </row>
    <row r="19" spans="1:17" ht="15" hidden="1">
      <c r="A19" s="295"/>
      <c r="B19" s="295"/>
      <c r="C19" s="295"/>
      <c r="D19" s="295"/>
      <c r="E19" s="295"/>
      <c r="F19" s="295"/>
      <c r="G19" s="574"/>
      <c r="H19" s="575"/>
      <c r="I19" s="576"/>
      <c r="J19" s="295"/>
      <c r="K19" s="569"/>
      <c r="L19" s="577"/>
      <c r="M19" s="578"/>
      <c r="O19" s="95"/>
      <c r="P19" s="95"/>
      <c r="Q19" s="95"/>
    </row>
    <row r="20" spans="1:17" ht="15">
      <c r="A20" s="278" t="s">
        <v>71</v>
      </c>
      <c r="B20" s="295"/>
      <c r="C20" s="295"/>
      <c r="D20" s="295"/>
      <c r="E20" s="295"/>
      <c r="F20" s="295"/>
      <c r="G20" s="574"/>
      <c r="H20" s="575"/>
      <c r="I20" s="576"/>
      <c r="J20" s="295"/>
      <c r="K20" s="569"/>
      <c r="L20" s="577"/>
      <c r="M20" s="578"/>
      <c r="O20" s="95"/>
      <c r="P20" s="95"/>
      <c r="Q20" s="95"/>
    </row>
    <row r="21" spans="1:17" ht="15">
      <c r="A21" s="295"/>
      <c r="B21" s="295"/>
      <c r="C21" s="295"/>
      <c r="D21" s="295"/>
      <c r="E21" s="295"/>
      <c r="F21" s="295"/>
      <c r="G21" s="554"/>
      <c r="H21" s="500"/>
      <c r="I21" s="555"/>
      <c r="J21" s="295"/>
      <c r="K21" s="569"/>
      <c r="L21" s="577"/>
      <c r="M21" s="578"/>
      <c r="O21" s="95"/>
      <c r="P21" s="95"/>
      <c r="Q21" s="95"/>
    </row>
    <row r="22" spans="1:17" ht="15">
      <c r="A22" s="295"/>
      <c r="B22" s="295" t="str">
        <f>+B16</f>
        <v>Forecast Growth Rates - Reuters, Zacks &amp; Yahoo</v>
      </c>
      <c r="C22" s="295"/>
      <c r="D22" s="295"/>
      <c r="E22" s="295"/>
      <c r="F22" s="295"/>
      <c r="G22" s="574">
        <f>+'1.4 DCF 2S'!E23</f>
        <v>6.4067811291672869E-2</v>
      </c>
      <c r="H22" s="575">
        <f>+'1.4 DCF 2S'!E30</f>
        <v>8.199102160334111E-2</v>
      </c>
      <c r="I22" s="576">
        <f>+'1.4 DCF 2S'!E22</f>
        <v>9.7891328277321429E-2</v>
      </c>
      <c r="J22" s="295"/>
      <c r="K22" s="569"/>
      <c r="L22" s="577"/>
      <c r="M22" s="578"/>
      <c r="O22" s="95"/>
      <c r="P22" s="95"/>
      <c r="Q22" s="95"/>
    </row>
    <row r="23" spans="1:17" ht="15">
      <c r="A23" s="295"/>
      <c r="B23" s="295" t="str">
        <f>+B17</f>
        <v>Forecast Growth Rates - Value Line</v>
      </c>
      <c r="C23" s="295"/>
      <c r="D23" s="295"/>
      <c r="E23" s="295"/>
      <c r="F23" s="295"/>
      <c r="G23" s="574">
        <f>+'1.4 DCF 2S'!E58</f>
        <v>8.1483409473214655E-2</v>
      </c>
      <c r="H23" s="575">
        <f>+'1.4 DCF 2S'!E67</f>
        <v>9.3741168089189711E-2</v>
      </c>
      <c r="I23" s="576">
        <f>+'1.4 DCF 2S'!E53</f>
        <v>0.12369888694070889</v>
      </c>
      <c r="J23" s="295"/>
      <c r="K23" s="569"/>
      <c r="L23" s="577"/>
      <c r="M23" s="578"/>
      <c r="O23" s="95">
        <v>0.09</v>
      </c>
      <c r="P23" s="95">
        <v>9.1999999999999998E-2</v>
      </c>
      <c r="Q23" s="95">
        <v>9.4E-2</v>
      </c>
    </row>
    <row r="24" spans="1:17" ht="15">
      <c r="A24" s="295"/>
      <c r="B24" s="295"/>
      <c r="C24" s="295"/>
      <c r="D24" s="295"/>
      <c r="E24" s="295"/>
      <c r="F24" s="295"/>
      <c r="G24" s="574"/>
      <c r="H24" s="575"/>
      <c r="I24" s="576"/>
      <c r="J24" s="295"/>
      <c r="K24" s="569"/>
      <c r="L24" s="577"/>
      <c r="M24" s="578"/>
      <c r="O24" s="95"/>
      <c r="P24" s="95"/>
      <c r="Q24" s="95"/>
    </row>
    <row r="25" spans="1:17" ht="15" hidden="1">
      <c r="A25" s="295"/>
      <c r="B25" s="295"/>
      <c r="C25" s="295"/>
      <c r="D25" s="295"/>
      <c r="E25" s="295"/>
      <c r="F25" s="295"/>
      <c r="G25" s="574"/>
      <c r="H25" s="575"/>
      <c r="I25" s="576"/>
      <c r="J25" s="295"/>
      <c r="K25" s="569"/>
      <c r="L25" s="577"/>
      <c r="M25" s="578"/>
      <c r="O25" s="95"/>
      <c r="P25" s="95"/>
      <c r="Q25" s="95"/>
    </row>
    <row r="26" spans="1:17" ht="15">
      <c r="A26" s="278" t="s">
        <v>343</v>
      </c>
      <c r="B26" s="295"/>
      <c r="C26" s="295"/>
      <c r="D26" s="295"/>
      <c r="E26" s="295"/>
      <c r="F26" s="295"/>
      <c r="G26" s="574"/>
      <c r="H26" s="575"/>
      <c r="I26" s="576"/>
      <c r="J26" s="295"/>
      <c r="K26" s="569"/>
      <c r="L26" s="577"/>
      <c r="M26" s="578"/>
      <c r="O26" s="95"/>
      <c r="P26" s="95"/>
      <c r="Q26" s="95"/>
    </row>
    <row r="27" spans="1:17" ht="12" customHeight="1">
      <c r="A27" s="295"/>
      <c r="B27" s="295"/>
      <c r="C27" s="295"/>
      <c r="D27" s="295"/>
      <c r="E27" s="295"/>
      <c r="F27" s="295"/>
      <c r="G27" s="574"/>
      <c r="H27" s="575"/>
      <c r="I27" s="576"/>
      <c r="J27" s="295"/>
      <c r="K27" s="569"/>
      <c r="L27" s="577"/>
      <c r="M27" s="578"/>
      <c r="O27" s="95"/>
      <c r="P27" s="95"/>
      <c r="Q27" s="95"/>
    </row>
    <row r="28" spans="1:17" ht="12.75" customHeight="1">
      <c r="A28" s="295"/>
      <c r="B28" s="295"/>
      <c r="C28" s="295"/>
      <c r="D28" s="582" t="s">
        <v>325</v>
      </c>
      <c r="E28" s="583">
        <f>+'1.5 CAPM'!AE117</f>
        <v>3.9399999999999998E-2</v>
      </c>
      <c r="F28" s="295"/>
      <c r="G28" s="574">
        <f>+'1.5 CAPM'!F15</f>
        <v>7.9600000000000004E-2</v>
      </c>
      <c r="H28" s="575">
        <f>+'1.5 CAPM'!F23</f>
        <v>8.4811111111111101E-2</v>
      </c>
      <c r="I28" s="576">
        <f>+'1.5 CAPM'!F13</f>
        <v>8.9650000000000007E-2</v>
      </c>
      <c r="J28" s="295"/>
      <c r="K28" s="574"/>
      <c r="L28" s="579"/>
      <c r="M28" s="578"/>
      <c r="O28" s="95"/>
      <c r="P28" s="95"/>
      <c r="Q28" s="95"/>
    </row>
    <row r="29" spans="1:17" ht="15">
      <c r="A29" s="295"/>
      <c r="B29" s="565"/>
      <c r="C29" s="565"/>
      <c r="D29" s="565"/>
      <c r="E29" s="584">
        <f>+'1.5 CAPM'!AC113</f>
        <v>41635</v>
      </c>
      <c r="F29" s="295"/>
      <c r="G29" s="574"/>
      <c r="H29" s="575"/>
      <c r="I29" s="576"/>
      <c r="J29" s="295"/>
      <c r="K29" s="569"/>
      <c r="L29" s="577"/>
      <c r="M29" s="578"/>
      <c r="O29" s="95">
        <v>0.09</v>
      </c>
      <c r="P29" s="95">
        <v>9.0499999999999997E-2</v>
      </c>
      <c r="Q29" s="95">
        <v>9.0999999999999998E-2</v>
      </c>
    </row>
    <row r="30" spans="1:17" ht="15" hidden="1">
      <c r="A30" s="295"/>
      <c r="B30" s="295"/>
      <c r="C30" s="573"/>
      <c r="D30" s="295"/>
      <c r="E30" s="295"/>
      <c r="F30" s="295"/>
      <c r="G30" s="574"/>
      <c r="H30" s="575"/>
      <c r="I30" s="576"/>
      <c r="J30" s="295"/>
      <c r="K30" s="569"/>
      <c r="L30" s="577"/>
      <c r="M30" s="578"/>
      <c r="O30" s="95"/>
      <c r="P30" s="95"/>
      <c r="Q30" s="95"/>
    </row>
    <row r="31" spans="1:17" ht="15">
      <c r="A31" s="278" t="s">
        <v>69</v>
      </c>
      <c r="B31" s="295"/>
      <c r="C31" s="573" t="s">
        <v>225</v>
      </c>
      <c r="D31" s="295"/>
      <c r="E31" s="295"/>
      <c r="F31" s="295"/>
      <c r="G31" s="574">
        <f>+'1.5 CAPM'!K15</f>
        <v>9.6799999999999997E-2</v>
      </c>
      <c r="H31" s="575">
        <f>+'1.5 CAPM'!K23</f>
        <v>0.10042222222222222</v>
      </c>
      <c r="I31" s="576">
        <f>+'1.5 CAPM'!K20</f>
        <v>0.10665000000000001</v>
      </c>
      <c r="J31" s="295"/>
      <c r="K31" s="574">
        <v>9.8500000000000004E-2</v>
      </c>
      <c r="L31" s="579">
        <v>0.10299999999999999</v>
      </c>
      <c r="M31" s="578">
        <v>0.10970000000000001</v>
      </c>
      <c r="O31" s="95"/>
      <c r="P31" s="95"/>
      <c r="Q31" s="95"/>
    </row>
    <row r="32" spans="1:17" ht="15">
      <c r="A32" s="295"/>
      <c r="B32" s="577"/>
      <c r="C32" s="573" t="s">
        <v>246</v>
      </c>
      <c r="D32" s="295"/>
      <c r="E32" s="295"/>
      <c r="F32" s="295"/>
      <c r="G32" s="574">
        <f>+'1.5 CAPM'!I98</f>
        <v>6.9379999999999997E-2</v>
      </c>
      <c r="H32" s="575">
        <f>+'1.5 CAPM'!I104</f>
        <v>8.1286666666666674E-2</v>
      </c>
      <c r="I32" s="576">
        <f>+'1.5 CAPM'!I94</f>
        <v>9.799999999999999E-2</v>
      </c>
      <c r="J32" s="295"/>
      <c r="K32" s="569"/>
      <c r="L32" s="585"/>
      <c r="M32" s="571"/>
      <c r="O32" s="95"/>
      <c r="P32" s="95"/>
      <c r="Q32" s="95"/>
    </row>
    <row r="33" spans="1:17" ht="15">
      <c r="A33" s="295"/>
      <c r="B33" s="577"/>
      <c r="C33" s="573"/>
      <c r="D33" s="295"/>
      <c r="E33" s="295"/>
      <c r="F33" s="295"/>
      <c r="G33" s="574"/>
      <c r="H33" s="575"/>
      <c r="I33" s="576"/>
      <c r="J33" s="295"/>
      <c r="K33" s="569"/>
      <c r="L33" s="572"/>
      <c r="M33" s="571"/>
      <c r="O33" s="95"/>
      <c r="P33" s="95"/>
      <c r="Q33" s="95"/>
    </row>
    <row r="34" spans="1:17" ht="15">
      <c r="A34" s="278" t="s">
        <v>282</v>
      </c>
      <c r="B34" s="295"/>
      <c r="C34" s="573"/>
      <c r="D34" s="295"/>
      <c r="E34" s="295"/>
      <c r="F34" s="295"/>
      <c r="G34" s="574"/>
      <c r="H34" s="570"/>
      <c r="I34" s="571"/>
      <c r="J34" s="295"/>
      <c r="K34" s="569"/>
      <c r="L34" s="572"/>
      <c r="M34" s="571"/>
      <c r="O34" s="95"/>
      <c r="P34" s="95"/>
      <c r="Q34" s="95"/>
    </row>
    <row r="35" spans="1:17" ht="12.75" customHeight="1">
      <c r="A35" s="295"/>
      <c r="B35" s="735">
        <v>2012</v>
      </c>
      <c r="C35" s="735"/>
      <c r="D35" s="295"/>
      <c r="E35" s="295"/>
      <c r="F35" s="295"/>
      <c r="G35" s="574">
        <f>+'1.6 ROE Compare'!O10/100</f>
        <v>7.889374090247453E-2</v>
      </c>
      <c r="H35" s="575">
        <f>+'1.6 ROE Compare'!O20/100</f>
        <v>0.10533567823263948</v>
      </c>
      <c r="I35" s="576">
        <f>+'1.6 ROE Compare'!O16/100</f>
        <v>0.12443121157706863</v>
      </c>
      <c r="J35" s="295"/>
      <c r="K35" s="574">
        <v>0.08</v>
      </c>
      <c r="L35" s="575">
        <v>0.106</v>
      </c>
      <c r="M35" s="576">
        <v>0.13500000000000001</v>
      </c>
      <c r="O35" s="95"/>
      <c r="P35" s="95"/>
      <c r="Q35" s="95"/>
    </row>
    <row r="36" spans="1:17" ht="12.75" customHeight="1">
      <c r="A36" s="591"/>
      <c r="B36" s="591" t="s">
        <v>283</v>
      </c>
      <c r="C36" s="573"/>
      <c r="D36" s="295"/>
      <c r="E36" s="565"/>
      <c r="F36" s="565"/>
      <c r="G36" s="574">
        <f>+'1.6 ROE Compare'!P10/100</f>
        <v>8.5952383388516948E-2</v>
      </c>
      <c r="H36" s="575">
        <f>+'1.6 ROE Compare'!P20/100</f>
        <v>0.10710798465642796</v>
      </c>
      <c r="I36" s="576">
        <f>+'1.6 ROE Compare'!P16/100</f>
        <v>0.12813768763275682</v>
      </c>
      <c r="J36" s="295"/>
      <c r="K36" s="569"/>
      <c r="L36" s="572"/>
      <c r="M36" s="571"/>
      <c r="O36" s="95"/>
      <c r="P36" s="95"/>
      <c r="Q36" s="95"/>
    </row>
    <row r="37" spans="1:17" ht="12.75" customHeight="1">
      <c r="A37" s="591"/>
      <c r="B37" s="591" t="s">
        <v>332</v>
      </c>
      <c r="C37" s="573"/>
      <c r="D37" s="295"/>
      <c r="E37" s="565"/>
      <c r="F37" s="565"/>
      <c r="G37" s="574">
        <f>+'1.6 ROE Compare'!Q17/100</f>
        <v>8.4059483159329942E-2</v>
      </c>
      <c r="H37" s="575">
        <f>+'1.6 ROE Compare'!Q20/100</f>
        <v>0.11096545225986888</v>
      </c>
      <c r="I37" s="576">
        <f>+'1.6 ROE Compare'!Q16/100</f>
        <v>0.12913778185268721</v>
      </c>
      <c r="J37" s="295"/>
      <c r="K37" s="569"/>
      <c r="L37" s="572"/>
      <c r="M37" s="571"/>
      <c r="O37" s="95"/>
      <c r="P37" s="95"/>
      <c r="Q37" s="95"/>
    </row>
    <row r="38" spans="1:17" ht="15">
      <c r="A38" s="295"/>
      <c r="B38" s="295"/>
      <c r="C38" s="573"/>
      <c r="D38" s="565"/>
      <c r="E38" s="565"/>
      <c r="F38" s="565"/>
      <c r="G38" s="574"/>
      <c r="H38" s="575"/>
      <c r="I38" s="576"/>
      <c r="J38" s="565"/>
      <c r="K38" s="569"/>
      <c r="L38" s="572"/>
      <c r="M38" s="571"/>
      <c r="O38" s="95"/>
      <c r="P38" s="95"/>
      <c r="Q38" s="95"/>
    </row>
    <row r="39" spans="1:17" ht="15" hidden="1">
      <c r="A39" s="577"/>
      <c r="B39" s="295"/>
      <c r="C39" s="573"/>
      <c r="D39" s="565"/>
      <c r="E39" s="565"/>
      <c r="F39" s="565"/>
      <c r="G39" s="574"/>
      <c r="H39" s="575"/>
      <c r="I39" s="576"/>
      <c r="J39" s="565"/>
      <c r="K39" s="569"/>
      <c r="L39" s="572"/>
      <c r="M39" s="571"/>
      <c r="O39" s="95"/>
      <c r="P39" s="95"/>
      <c r="Q39" s="95"/>
    </row>
    <row r="40" spans="1:17" ht="15" customHeight="1">
      <c r="A40" s="605" t="s">
        <v>651</v>
      </c>
      <c r="B40" s="566"/>
      <c r="C40" s="566"/>
      <c r="D40" s="566"/>
      <c r="E40" s="606"/>
      <c r="F40" s="606"/>
      <c r="G40" s="574">
        <v>9.06E-2</v>
      </c>
      <c r="H40" s="575">
        <v>9.9299999999999999E-2</v>
      </c>
      <c r="I40" s="576">
        <v>0.105</v>
      </c>
      <c r="J40" s="565"/>
      <c r="K40" s="574">
        <f>+G40</f>
        <v>9.06E-2</v>
      </c>
      <c r="L40" s="575">
        <v>9.9299999999999999E-2</v>
      </c>
      <c r="M40" s="576">
        <f>+I40</f>
        <v>0.105</v>
      </c>
      <c r="O40" s="95"/>
      <c r="P40" s="95"/>
      <c r="Q40" s="95"/>
    </row>
    <row r="41" spans="1:17" ht="15" customHeight="1">
      <c r="A41" s="605" t="s">
        <v>819</v>
      </c>
      <c r="B41" s="566"/>
      <c r="C41" s="566"/>
      <c r="D41" s="566"/>
      <c r="E41" s="606"/>
      <c r="F41" s="606"/>
      <c r="G41" s="574">
        <v>9.0800000000000006E-2</v>
      </c>
      <c r="H41" s="575">
        <v>9.6600000000000005E-2</v>
      </c>
      <c r="I41" s="576">
        <v>0.10249999999999999</v>
      </c>
      <c r="J41" s="565"/>
      <c r="K41" s="574"/>
      <c r="L41" s="575"/>
      <c r="M41" s="576"/>
      <c r="O41" s="95"/>
      <c r="P41" s="95"/>
      <c r="Q41" s="95"/>
    </row>
    <row r="42" spans="1:17" ht="15">
      <c r="A42" s="577"/>
      <c r="B42" s="295"/>
      <c r="C42" s="295"/>
      <c r="D42" s="295"/>
      <c r="E42" s="565"/>
      <c r="F42" s="565"/>
      <c r="G42" s="574"/>
      <c r="H42" s="575"/>
      <c r="I42" s="576"/>
      <c r="J42" s="565"/>
      <c r="K42" s="569"/>
      <c r="L42" s="572"/>
      <c r="M42" s="571"/>
      <c r="O42" s="95"/>
      <c r="P42" s="95"/>
      <c r="Q42" s="95"/>
    </row>
    <row r="43" spans="1:17" ht="12.75" hidden="1" customHeight="1">
      <c r="A43" s="590" t="s">
        <v>305</v>
      </c>
      <c r="B43" s="295"/>
      <c r="C43" s="295"/>
      <c r="D43" s="295"/>
      <c r="E43" s="565"/>
      <c r="F43" s="565"/>
      <c r="G43" s="574"/>
      <c r="H43" s="575"/>
      <c r="I43" s="576"/>
      <c r="J43" s="565"/>
      <c r="K43" s="574">
        <v>9.4E-2</v>
      </c>
      <c r="L43" s="575">
        <v>0.124</v>
      </c>
      <c r="M43" s="576">
        <v>0.17100000000000001</v>
      </c>
      <c r="O43" s="95"/>
      <c r="P43" s="95"/>
      <c r="Q43" s="95"/>
    </row>
    <row r="44" spans="1:17" ht="15" hidden="1">
      <c r="A44" s="586"/>
      <c r="B44" s="295"/>
      <c r="C44" s="295"/>
      <c r="D44" s="295"/>
      <c r="E44" s="295"/>
      <c r="F44" s="295"/>
      <c r="G44" s="569"/>
      <c r="H44" s="570"/>
      <c r="I44" s="571"/>
      <c r="J44" s="295"/>
      <c r="K44" s="569"/>
      <c r="L44" s="587"/>
      <c r="M44" s="571"/>
      <c r="O44" s="95"/>
      <c r="P44" s="95"/>
      <c r="Q44" s="95"/>
    </row>
    <row r="45" spans="1:17" ht="15" hidden="1">
      <c r="A45" s="588" t="s">
        <v>306</v>
      </c>
      <c r="B45" s="295"/>
      <c r="C45" s="295"/>
      <c r="D45" s="295"/>
      <c r="E45" s="295"/>
      <c r="F45" s="295"/>
      <c r="G45" s="569"/>
      <c r="H45" s="570"/>
      <c r="I45" s="571"/>
      <c r="J45" s="295"/>
      <c r="K45" s="574">
        <v>3.3000000000000002E-2</v>
      </c>
      <c r="L45" s="575">
        <v>5.5E-2</v>
      </c>
      <c r="M45" s="576">
        <v>0.109</v>
      </c>
      <c r="O45" s="95"/>
      <c r="P45" s="95"/>
      <c r="Q45" s="95"/>
    </row>
    <row r="46" spans="1:17" ht="15">
      <c r="A46" s="586"/>
      <c r="B46" s="295"/>
      <c r="C46" s="565"/>
      <c r="D46" s="295"/>
      <c r="E46" s="295"/>
      <c r="F46" s="295"/>
      <c r="G46" s="569"/>
      <c r="H46" s="575"/>
      <c r="I46" s="571"/>
      <c r="J46" s="295"/>
      <c r="K46" s="569"/>
      <c r="L46" s="572"/>
      <c r="M46" s="571"/>
      <c r="O46" s="95"/>
      <c r="P46" s="95"/>
      <c r="Q46" s="95"/>
    </row>
    <row r="47" spans="1:17" ht="15">
      <c r="A47" s="586"/>
      <c r="B47" s="295"/>
      <c r="C47" s="565"/>
      <c r="D47" s="295"/>
      <c r="E47" s="295"/>
      <c r="F47" s="295"/>
      <c r="G47" s="569"/>
      <c r="H47" s="575"/>
      <c r="I47" s="571"/>
      <c r="J47" s="295"/>
      <c r="K47" s="569"/>
      <c r="L47" s="572"/>
      <c r="M47" s="571"/>
      <c r="O47" s="95"/>
      <c r="P47" s="95"/>
      <c r="Q47" s="95"/>
    </row>
    <row r="48" spans="1:17" ht="15" hidden="1">
      <c r="A48" s="586"/>
      <c r="B48" s="295"/>
      <c r="C48" s="565"/>
      <c r="D48" s="295"/>
      <c r="E48" s="295"/>
      <c r="F48" s="295"/>
      <c r="G48" s="569"/>
      <c r="H48" s="575">
        <f>AVERAGE(H16,H17,H22,H23,H28,H35)</f>
        <v>9.0094428029626514E-2</v>
      </c>
      <c r="I48" s="571"/>
      <c r="J48" s="295"/>
      <c r="K48" s="569"/>
      <c r="L48" s="572"/>
      <c r="M48" s="571"/>
      <c r="O48" s="95"/>
      <c r="P48" s="95"/>
      <c r="Q48" s="95"/>
    </row>
    <row r="49" spans="1:17" ht="15" hidden="1">
      <c r="A49" s="586"/>
      <c r="B49" s="295"/>
      <c r="C49" s="565"/>
      <c r="D49" s="295"/>
      <c r="E49" s="295"/>
      <c r="F49" s="295"/>
      <c r="G49" s="569"/>
      <c r="H49" s="575">
        <f>AVERAGE(H16,H17,H23,H22,H28,H35,H40)</f>
        <v>9.1409509739679873E-2</v>
      </c>
      <c r="I49" s="571"/>
      <c r="J49" s="295"/>
      <c r="K49" s="569"/>
      <c r="L49" s="572"/>
      <c r="M49" s="571"/>
      <c r="O49" s="95"/>
      <c r="P49" s="95"/>
      <c r="Q49" s="95"/>
    </row>
    <row r="50" spans="1:17" ht="15">
      <c r="A50" s="586"/>
      <c r="B50" s="295"/>
      <c r="C50" s="565"/>
      <c r="D50" s="295"/>
      <c r="E50" s="565"/>
      <c r="F50" s="589" t="s">
        <v>311</v>
      </c>
      <c r="G50" s="574">
        <f>AVERAGE(G35,G28,G23,G17)</f>
        <v>7.9261169382053881E-2</v>
      </c>
      <c r="H50" s="575">
        <f>AVERAGE(H35,H28,H23,H17)</f>
        <v>9.4110368556475324E-2</v>
      </c>
      <c r="I50" s="576">
        <f>AVERAGE(I35,I28,I23,I17)</f>
        <v>0.11467817784073214</v>
      </c>
      <c r="J50" s="573"/>
      <c r="K50" s="574">
        <f>AVERAGE(K12:K36)</f>
        <v>7.6374999999999998E-2</v>
      </c>
      <c r="L50" s="575">
        <f>AVERAGE(L35,L31,L12)</f>
        <v>9.8233333333333325E-2</v>
      </c>
      <c r="M50" s="576">
        <f>AVERAGE(M12:M36)</f>
        <v>0.11722500000000001</v>
      </c>
      <c r="O50" s="95">
        <f>+L50-H50</f>
        <v>4.1229647768580013E-3</v>
      </c>
      <c r="P50" s="95"/>
      <c r="Q50" s="95"/>
    </row>
    <row r="51" spans="1:17" ht="15">
      <c r="A51" s="586"/>
      <c r="B51" s="295"/>
      <c r="C51" s="565"/>
      <c r="D51" s="295"/>
      <c r="E51" s="565"/>
      <c r="F51" s="589" t="s">
        <v>313</v>
      </c>
      <c r="G51" s="574">
        <f>AVERAGE(G35,G28,G23,G17,G40)</f>
        <v>8.1528935505643108E-2</v>
      </c>
      <c r="H51" s="575">
        <f>AVERAGE(H35,H28,H23,H17,H40)</f>
        <v>9.5148294845180253E-2</v>
      </c>
      <c r="I51" s="576">
        <f>AVERAGE(I35,I28,I23,I17,I40)</f>
        <v>0.11274254227258571</v>
      </c>
      <c r="J51" s="573"/>
      <c r="K51" s="574">
        <f>AVERAGE(K12:K40)</f>
        <v>7.9219999999999999E-2</v>
      </c>
      <c r="L51" s="575">
        <f>AVERAGE(L40,L35,L31,L12)</f>
        <v>9.849999999999999E-2</v>
      </c>
      <c r="M51" s="576">
        <f>AVERAGE(M12:M40)</f>
        <v>0.11478000000000002</v>
      </c>
      <c r="O51" s="95"/>
      <c r="P51" s="95"/>
      <c r="Q51" s="95"/>
    </row>
    <row r="52" spans="1:17" ht="15">
      <c r="A52" s="586"/>
      <c r="B52" s="295"/>
      <c r="C52" s="565"/>
      <c r="D52" s="295"/>
      <c r="E52" s="565"/>
      <c r="F52" s="589" t="s">
        <v>342</v>
      </c>
      <c r="G52" s="574">
        <f>AVERAGE(G35,G28,G17,G23,G41)</f>
        <v>8.1568935505643106E-2</v>
      </c>
      <c r="H52" s="575">
        <f>AVERAGE(H35,H28,H17,H23,H41)</f>
        <v>9.4608294845180269E-2</v>
      </c>
      <c r="I52" s="576">
        <f>AVERAGE(I35,I28,I17,I23,I41)</f>
        <v>0.11224254227258572</v>
      </c>
      <c r="J52" s="573"/>
      <c r="K52" s="574"/>
      <c r="L52" s="575"/>
      <c r="M52" s="576"/>
      <c r="O52" s="95"/>
      <c r="P52" s="95"/>
      <c r="Q52" s="95"/>
    </row>
    <row r="53" spans="1:17" ht="15">
      <c r="A53" s="586"/>
      <c r="B53" s="295"/>
      <c r="C53" s="565"/>
      <c r="D53" s="565"/>
      <c r="E53" s="565"/>
      <c r="F53" s="565"/>
      <c r="G53" s="574"/>
      <c r="H53" s="575"/>
      <c r="I53" s="576"/>
      <c r="J53" s="565"/>
      <c r="K53" s="569"/>
      <c r="L53" s="572"/>
      <c r="M53" s="571"/>
      <c r="O53" s="95"/>
      <c r="P53" s="95"/>
      <c r="Q53" s="95"/>
    </row>
    <row r="54" spans="1:17" ht="15.75">
      <c r="A54" s="52"/>
      <c r="C54" s="6"/>
      <c r="D54" s="6"/>
      <c r="E54" s="6"/>
      <c r="F54" s="475" t="s">
        <v>285</v>
      </c>
      <c r="G54" s="556"/>
      <c r="H54" s="558">
        <v>9.4500000000000001E-2</v>
      </c>
      <c r="I54" s="557"/>
      <c r="J54" s="6"/>
      <c r="K54" s="554"/>
      <c r="L54" s="558">
        <v>0.10349999999999999</v>
      </c>
      <c r="M54" s="555"/>
      <c r="O54" s="95">
        <f>+L54-H54</f>
        <v>8.9999999999999941E-3</v>
      </c>
      <c r="P54" s="95"/>
      <c r="Q54" s="95"/>
    </row>
    <row r="55" spans="1:17" ht="16.5" thickBot="1">
      <c r="A55" s="52"/>
      <c r="C55" s="6"/>
      <c r="D55" s="6"/>
      <c r="E55" s="6"/>
      <c r="F55" s="6"/>
      <c r="G55" s="562"/>
      <c r="H55" s="563"/>
      <c r="I55" s="564"/>
      <c r="J55" s="6"/>
      <c r="K55" s="559"/>
      <c r="L55" s="560"/>
      <c r="M55" s="561"/>
      <c r="O55" s="95"/>
      <c r="P55" s="95"/>
      <c r="Q55" s="95"/>
    </row>
    <row r="56" spans="1:17" ht="15.75">
      <c r="A56" s="52"/>
      <c r="C56" s="6"/>
      <c r="D56" s="6"/>
      <c r="E56" s="6"/>
      <c r="F56" s="6"/>
      <c r="G56" s="95"/>
      <c r="H56" s="318"/>
      <c r="I56" s="95"/>
      <c r="J56" s="6"/>
      <c r="L56" s="318"/>
    </row>
    <row r="57" spans="1:17" ht="15.75">
      <c r="A57" s="52"/>
      <c r="H57" s="318"/>
      <c r="L57" s="318"/>
    </row>
    <row r="58" spans="1:17">
      <c r="A58" s="52"/>
      <c r="C58" s="6"/>
      <c r="D58" s="6"/>
      <c r="E58" s="6"/>
      <c r="F58" s="6"/>
      <c r="G58" s="95"/>
      <c r="H58" s="231"/>
      <c r="I58" s="6"/>
      <c r="J58" s="6"/>
      <c r="K58" s="6"/>
    </row>
    <row r="59" spans="1:17">
      <c r="A59" s="52"/>
      <c r="C59" s="6"/>
      <c r="D59" s="6"/>
      <c r="E59" s="6"/>
      <c r="F59" s="6"/>
      <c r="G59" s="95"/>
      <c r="H59" s="231"/>
      <c r="I59" s="6"/>
      <c r="J59" s="6"/>
      <c r="K59" s="6"/>
    </row>
    <row r="60" spans="1:17">
      <c r="D60" s="6"/>
      <c r="F60" s="6"/>
      <c r="G60" s="95"/>
      <c r="H60" s="231"/>
      <c r="I60" s="95"/>
    </row>
    <row r="61" spans="1:17">
      <c r="D61" s="6"/>
      <c r="F61" s="6"/>
      <c r="G61" s="95"/>
      <c r="H61" s="231"/>
      <c r="I61" s="95"/>
      <c r="J61" s="6"/>
    </row>
    <row r="62" spans="1:17">
      <c r="G62" s="95"/>
      <c r="H62" s="231"/>
      <c r="I62" s="95"/>
    </row>
    <row r="63" spans="1:17">
      <c r="G63" s="95"/>
      <c r="H63" s="231"/>
      <c r="I63" s="95"/>
    </row>
    <row r="64" spans="1:17">
      <c r="G64" s="95"/>
      <c r="H64" s="231"/>
      <c r="I64" s="95"/>
    </row>
    <row r="65" spans="7:9">
      <c r="G65" s="95"/>
      <c r="H65" s="231"/>
      <c r="I65" s="95"/>
    </row>
    <row r="66" spans="7:9">
      <c r="G66" s="95"/>
      <c r="H66" s="231"/>
      <c r="I66" s="95"/>
    </row>
    <row r="67" spans="7:9">
      <c r="G67" s="95"/>
      <c r="H67" s="231"/>
      <c r="I67" s="95"/>
    </row>
    <row r="68" spans="7:9">
      <c r="G68" s="95"/>
      <c r="H68" s="231"/>
      <c r="I68" s="95"/>
    </row>
    <row r="69" spans="7:9">
      <c r="G69" s="95"/>
      <c r="H69" s="231"/>
      <c r="I69" s="95"/>
    </row>
    <row r="70" spans="7:9">
      <c r="G70" s="95"/>
      <c r="H70" s="231"/>
      <c r="I70" s="95"/>
    </row>
    <row r="71" spans="7:9">
      <c r="G71" s="95"/>
      <c r="H71" s="231"/>
      <c r="I71" s="95"/>
    </row>
    <row r="72" spans="7:9">
      <c r="G72" s="95"/>
      <c r="H72" s="231"/>
      <c r="I72" s="95"/>
    </row>
    <row r="73" spans="7:9">
      <c r="G73" s="95"/>
      <c r="H73" s="231"/>
      <c r="I73" s="95"/>
    </row>
    <row r="74" spans="7:9">
      <c r="G74" s="95"/>
      <c r="H74" s="231"/>
      <c r="I74" s="95"/>
    </row>
    <row r="75" spans="7:9">
      <c r="G75" s="95"/>
      <c r="H75" s="231"/>
      <c r="I75" s="95"/>
    </row>
  </sheetData>
  <mergeCells count="10">
    <mergeCell ref="O6:Q6"/>
    <mergeCell ref="O7:Q7"/>
    <mergeCell ref="B35:C35"/>
    <mergeCell ref="B3:M3"/>
    <mergeCell ref="B4:M4"/>
    <mergeCell ref="K14:M14"/>
    <mergeCell ref="G6:I6"/>
    <mergeCell ref="G7:I7"/>
    <mergeCell ref="K6:M6"/>
    <mergeCell ref="K7:M7"/>
  </mergeCells>
  <phoneticPr fontId="3" type="noConversion"/>
  <printOptions horizontalCentered="1"/>
  <pageMargins left="0.66" right="0.55000000000000004" top="0.54" bottom="0.52" header="0.5" footer="0.5"/>
  <pageSetup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229"/>
  <sheetViews>
    <sheetView topLeftCell="B1" zoomScaleNormal="100" workbookViewId="0">
      <selection activeCell="K4" sqref="K4"/>
    </sheetView>
  </sheetViews>
  <sheetFormatPr defaultRowHeight="12.75"/>
  <cols>
    <col min="1" max="1" width="0" hidden="1" customWidth="1"/>
    <col min="2" max="2" width="23.5" customWidth="1"/>
    <col min="3" max="4" width="13.6640625" customWidth="1"/>
    <col min="5" max="5" width="13.6640625" hidden="1" customWidth="1"/>
    <col min="6" max="6" width="10.1640625" customWidth="1"/>
    <col min="7" max="8" width="12" customWidth="1"/>
    <col min="9" max="10" width="12.83203125" customWidth="1"/>
    <col min="11" max="14" width="10.83203125" customWidth="1"/>
    <col min="15" max="16" width="10.83203125" style="12" customWidth="1"/>
    <col min="17" max="17" width="10.83203125" customWidth="1"/>
  </cols>
  <sheetData>
    <row r="1" spans="2:23">
      <c r="P1" s="51"/>
      <c r="R1" s="26"/>
      <c r="S1" s="26"/>
      <c r="T1" s="26"/>
      <c r="U1" s="26"/>
      <c r="V1" s="26"/>
      <c r="W1" s="26"/>
    </row>
    <row r="2" spans="2:23">
      <c r="P2" s="64"/>
      <c r="Q2" s="51"/>
      <c r="R2" s="26"/>
      <c r="S2" s="26"/>
      <c r="T2" s="26"/>
      <c r="U2" s="26"/>
      <c r="V2" s="26"/>
      <c r="W2" s="26"/>
    </row>
    <row r="3" spans="2:23" ht="18.75">
      <c r="B3" s="28" t="str">
        <f>Comps!B3</f>
        <v>Questar Gas Company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29"/>
      <c r="R3" s="26"/>
      <c r="S3" s="26"/>
      <c r="T3" s="26"/>
      <c r="U3" s="26"/>
      <c r="V3" s="26"/>
      <c r="W3" s="26"/>
    </row>
    <row r="4" spans="2:23" ht="15.75">
      <c r="B4" s="31" t="s">
        <v>71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0"/>
      <c r="Q4" s="29"/>
      <c r="R4" s="26"/>
      <c r="S4" s="26"/>
      <c r="T4" s="26"/>
      <c r="U4" s="26"/>
      <c r="V4" s="26"/>
      <c r="W4" s="26"/>
    </row>
    <row r="5" spans="2:23" ht="15.75">
      <c r="B5" s="48">
        <f>+Comps!B5</f>
        <v>41634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0"/>
      <c r="Q5" s="29"/>
      <c r="R5" s="26"/>
      <c r="S5" s="26"/>
      <c r="T5" s="26"/>
      <c r="U5" s="26"/>
      <c r="V5" s="26"/>
      <c r="W5" s="26"/>
    </row>
    <row r="6" spans="2:23">
      <c r="M6" s="12"/>
      <c r="N6" s="12"/>
      <c r="O6"/>
      <c r="P6"/>
      <c r="R6" s="26"/>
      <c r="S6" s="26"/>
      <c r="T6" s="26"/>
      <c r="U6" s="26"/>
      <c r="V6" s="26"/>
      <c r="W6" s="26"/>
    </row>
    <row r="7" spans="2:23">
      <c r="M7" s="12"/>
      <c r="N7" s="12"/>
      <c r="O7"/>
      <c r="P7"/>
      <c r="R7" s="26"/>
      <c r="S7" s="26"/>
      <c r="T7" s="26"/>
      <c r="U7" s="26"/>
      <c r="V7" s="26"/>
      <c r="W7" s="26"/>
    </row>
    <row r="8" spans="2:23" ht="15.75">
      <c r="B8" s="546" t="s">
        <v>268</v>
      </c>
      <c r="C8" s="79"/>
      <c r="D8" s="79"/>
      <c r="E8" s="79"/>
      <c r="F8" s="79"/>
      <c r="G8" s="79"/>
      <c r="H8" s="79"/>
      <c r="O8" s="2"/>
      <c r="P8" s="2"/>
      <c r="Q8" s="13"/>
      <c r="R8" s="26"/>
      <c r="S8" s="26"/>
      <c r="T8" s="26"/>
      <c r="U8" s="26"/>
      <c r="V8" s="26"/>
      <c r="W8" s="26"/>
    </row>
    <row r="9" spans="2:23" ht="12.75" customHeight="1">
      <c r="B9" s="547"/>
      <c r="C9" s="79"/>
      <c r="D9" s="79"/>
      <c r="E9" s="79"/>
      <c r="F9" s="79"/>
      <c r="G9" s="79"/>
      <c r="H9" s="79"/>
      <c r="O9" s="2"/>
      <c r="P9" s="2"/>
      <c r="Q9" s="13"/>
      <c r="R9" s="26"/>
      <c r="S9" s="26"/>
      <c r="T9" s="26"/>
      <c r="U9" s="26"/>
      <c r="V9" s="26"/>
      <c r="W9" s="26"/>
    </row>
    <row r="10" spans="2:23">
      <c r="B10" s="79"/>
      <c r="C10" s="133"/>
      <c r="D10" s="133"/>
      <c r="E10" s="133"/>
      <c r="F10" s="132" t="s">
        <v>45</v>
      </c>
      <c r="G10" s="133"/>
      <c r="H10" s="132" t="s">
        <v>40</v>
      </c>
      <c r="I10" s="249" t="s">
        <v>234</v>
      </c>
      <c r="J10" s="249" t="s">
        <v>234</v>
      </c>
      <c r="K10" s="25"/>
      <c r="L10" s="17"/>
      <c r="M10" s="15"/>
      <c r="N10" s="17"/>
      <c r="O10" s="17"/>
      <c r="P10" s="17"/>
      <c r="Q10" s="17"/>
      <c r="R10" s="26"/>
      <c r="S10" s="26"/>
      <c r="T10" s="26"/>
      <c r="U10" s="26"/>
      <c r="V10" s="26"/>
      <c r="W10" s="26"/>
    </row>
    <row r="11" spans="2:23">
      <c r="B11" s="79"/>
      <c r="C11" s="548">
        <f>+'1.3 SR DCF SS'!B13</f>
        <v>41634</v>
      </c>
      <c r="D11" s="549" t="s">
        <v>44</v>
      </c>
      <c r="E11" s="549"/>
      <c r="F11" s="132" t="s">
        <v>63</v>
      </c>
      <c r="G11" s="132" t="s">
        <v>22</v>
      </c>
      <c r="H11" s="132" t="s">
        <v>41</v>
      </c>
      <c r="I11" s="15" t="s">
        <v>64</v>
      </c>
      <c r="J11" s="15" t="s">
        <v>65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51</v>
      </c>
      <c r="Q11" s="15" t="s">
        <v>51</v>
      </c>
    </row>
    <row r="12" spans="2:23">
      <c r="B12" s="544" t="s">
        <v>3</v>
      </c>
      <c r="C12" s="132" t="s">
        <v>4</v>
      </c>
      <c r="D12" s="549" t="s">
        <v>37</v>
      </c>
      <c r="E12" s="549" t="s">
        <v>53</v>
      </c>
      <c r="F12" s="132" t="s">
        <v>24</v>
      </c>
      <c r="G12" s="132" t="s">
        <v>23</v>
      </c>
      <c r="H12" s="132" t="s">
        <v>37</v>
      </c>
      <c r="I12" s="15" t="s">
        <v>26</v>
      </c>
      <c r="J12" s="15" t="s">
        <v>26</v>
      </c>
      <c r="K12" s="15" t="s">
        <v>46</v>
      </c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23</v>
      </c>
      <c r="Q12" s="15" t="s">
        <v>52</v>
      </c>
    </row>
    <row r="13" spans="2:23" ht="7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"/>
      <c r="P13" s="14"/>
      <c r="Q13" s="3"/>
    </row>
    <row r="14" spans="2:23">
      <c r="B14" t="str">
        <f>'1.3 SR DCF SS'!A16</f>
        <v>AGL Resources</v>
      </c>
      <c r="C14" s="36">
        <f>+'1.3 SR DCF SS'!B16</f>
        <v>47.13</v>
      </c>
      <c r="D14" s="12">
        <f t="shared" ref="D14:D21" si="0">(K14/(1+$F14)^0.5+L14/(1+$F14)^1.5+M14/(1+$F14)^2.5+N14/(1+$F14)^3.5+O14/(1+$F14)^4.5+P14/(1+F14)^5.5+Q14/(1+$F14)^5.5)</f>
        <v>47.129928450755628</v>
      </c>
      <c r="E14" s="305">
        <f t="shared" ref="E14:E21" si="1">C14-D14</f>
        <v>7.1549244374580212E-5</v>
      </c>
      <c r="F14" s="84">
        <v>0.11344936550899384</v>
      </c>
      <c r="G14" s="36">
        <f>+'1.3 SR DCF SS'!C16</f>
        <v>1.861</v>
      </c>
      <c r="H14" s="21">
        <f t="shared" ref="H14:H21" si="2">G14/C14</f>
        <v>3.9486526628474433E-2</v>
      </c>
      <c r="I14" s="21">
        <f>'1.3 SR DCF SS'!O16</f>
        <v>0.09</v>
      </c>
      <c r="J14" s="21">
        <f>'1.3 SR DCF SS'!P16</f>
        <v>4.4999999999999998E-2</v>
      </c>
      <c r="K14" s="79">
        <f>G14*(1+$J14/2)</f>
        <v>1.9028725</v>
      </c>
      <c r="L14" s="79">
        <f t="shared" ref="L14:P20" si="3">K14*(1+$J14)</f>
        <v>1.9885017624999999</v>
      </c>
      <c r="M14" s="79">
        <f t="shared" si="3"/>
        <v>2.0779843418124999</v>
      </c>
      <c r="N14" s="79">
        <f t="shared" si="3"/>
        <v>2.1714936371940623</v>
      </c>
      <c r="O14" s="79">
        <f t="shared" si="3"/>
        <v>2.2692108508677951</v>
      </c>
      <c r="P14" s="79">
        <f t="shared" si="3"/>
        <v>2.3713253391568458</v>
      </c>
      <c r="Q14">
        <f>P14/($F14-$I14*0.75-$J14*0.25)</f>
        <v>68.339155612001449</v>
      </c>
    </row>
    <row r="15" spans="2:23">
      <c r="B15" t="str">
        <f>'1.3 SR DCF SS'!A17</f>
        <v>Atmos Energy</v>
      </c>
      <c r="C15" s="36">
        <f>+'1.3 SR DCF SS'!B17</f>
        <v>45.01</v>
      </c>
      <c r="D15" s="12">
        <f t="shared" si="0"/>
        <v>45.009995248681662</v>
      </c>
      <c r="E15" s="305">
        <f t="shared" si="1"/>
        <v>4.7513183361047595E-6</v>
      </c>
      <c r="F15" s="84">
        <v>7.2437970591560555E-2</v>
      </c>
      <c r="G15" s="36">
        <f>+'1.3 SR DCF SS'!C17</f>
        <v>1.4049999999999998</v>
      </c>
      <c r="H15" s="21">
        <f t="shared" si="2"/>
        <v>3.121528549211286E-2</v>
      </c>
      <c r="I15" s="21">
        <f>'1.3 SR DCF SS'!O17</f>
        <v>5.5E-2</v>
      </c>
      <c r="J15" s="21">
        <f>'1.3 SR DCF SS'!P17</f>
        <v>1.4999999999999999E-2</v>
      </c>
      <c r="K15" s="79">
        <f t="shared" ref="K15:K21" si="4">G15*(1+$J15/2)</f>
        <v>1.4155374999999999</v>
      </c>
      <c r="L15" s="79">
        <f t="shared" si="3"/>
        <v>1.4367705624999998</v>
      </c>
      <c r="M15" s="79">
        <f t="shared" si="3"/>
        <v>1.4583221209374997</v>
      </c>
      <c r="N15" s="79">
        <f t="shared" si="3"/>
        <v>1.4801969527515619</v>
      </c>
      <c r="O15" s="79">
        <f t="shared" si="3"/>
        <v>1.5023999070428353</v>
      </c>
      <c r="P15" s="79">
        <f t="shared" si="3"/>
        <v>1.5249359056484777</v>
      </c>
      <c r="Q15">
        <f t="shared" ref="Q15:Q21" si="5">P15/($F15-$I15*0.75-$J15*0.25)</f>
        <v>55.577576357543066</v>
      </c>
    </row>
    <row r="16" spans="2:23">
      <c r="B16" t="str">
        <f>'1.3 SR DCF SS'!A18</f>
        <v>Laclede Group</v>
      </c>
      <c r="C16" s="36">
        <f>+'1.3 SR DCF SS'!B18</f>
        <v>45.56</v>
      </c>
      <c r="D16" s="12">
        <f t="shared" si="0"/>
        <v>45.559911316301232</v>
      </c>
      <c r="E16" s="305">
        <f t="shared" si="1"/>
        <v>8.8683698770353203E-5</v>
      </c>
      <c r="F16" s="84">
        <v>8.8969605637083005E-2</v>
      </c>
      <c r="G16" s="36">
        <f>+'1.3 SR DCF SS'!C18</f>
        <v>1.71</v>
      </c>
      <c r="H16" s="21">
        <f t="shared" si="2"/>
        <v>3.7532923617208072E-2</v>
      </c>
      <c r="I16" s="21">
        <f>'1.3 SR DCF SS'!O18</f>
        <v>0.06</v>
      </c>
      <c r="J16" s="21">
        <f>'1.3 SR DCF SS'!P18</f>
        <v>3.5000000000000003E-2</v>
      </c>
      <c r="K16" s="79">
        <f t="shared" si="4"/>
        <v>1.7399250000000002</v>
      </c>
      <c r="L16" s="79">
        <f t="shared" si="3"/>
        <v>1.8008223750000001</v>
      </c>
      <c r="M16" s="79">
        <f t="shared" si="3"/>
        <v>1.8638511581249999</v>
      </c>
      <c r="N16" s="79">
        <f t="shared" si="3"/>
        <v>1.9290859486593748</v>
      </c>
      <c r="O16" s="79">
        <f t="shared" si="3"/>
        <v>1.9966039568624527</v>
      </c>
      <c r="P16" s="79">
        <f t="shared" si="3"/>
        <v>2.0664850953526384</v>
      </c>
      <c r="Q16">
        <f t="shared" si="5"/>
        <v>58.67428263242163</v>
      </c>
    </row>
    <row r="17" spans="2:20">
      <c r="B17" t="str">
        <f>'1.3 SR DCF SS'!A19</f>
        <v>New Jersey Resources</v>
      </c>
      <c r="C17" s="36">
        <f>+'1.3 SR DCF SS'!B19</f>
        <v>45.95</v>
      </c>
      <c r="D17" s="12">
        <f t="shared" ref="D17" si="6">(K17/(1+$F17)^0.5+L17/(1+$F17)^1.5+M17/(1+$F17)^2.5+N17/(1+$F17)^3.5+O17/(1+$F17)^4.5+P17/(1+F17)^5.5+Q17/(1+$F17)^5.5)</f>
        <v>45.950299246342141</v>
      </c>
      <c r="E17" s="305">
        <f t="shared" ref="E17" si="7">C17-D17</f>
        <v>-2.9924634213784884E-4</v>
      </c>
      <c r="F17" s="84">
        <v>8.1094059113870007E-2</v>
      </c>
      <c r="G17" s="36">
        <f>+'1.3 SR DCF SS'!C19</f>
        <v>1.59</v>
      </c>
      <c r="H17" s="21">
        <f t="shared" ref="H17" si="8">G17/C17</f>
        <v>3.4602829162132753E-2</v>
      </c>
      <c r="I17" s="21">
        <f>'1.3 SR DCF SS'!O19</f>
        <v>5.5E-2</v>
      </c>
      <c r="J17" s="21">
        <f>'1.3 SR DCF SS'!P19</f>
        <v>0.03</v>
      </c>
      <c r="K17" s="79">
        <f t="shared" ref="K17" si="9">G17*(1+$J17/2)</f>
        <v>1.61385</v>
      </c>
      <c r="L17" s="79">
        <f t="shared" ref="L17" si="10">K17*(1+$J17)</f>
        <v>1.6622655</v>
      </c>
      <c r="M17" s="79">
        <f t="shared" ref="M17" si="11">L17*(1+$J17)</f>
        <v>1.712133465</v>
      </c>
      <c r="N17" s="79">
        <f t="shared" ref="N17" si="12">M17*(1+$J17)</f>
        <v>1.76349746895</v>
      </c>
      <c r="O17" s="79">
        <f t="shared" ref="O17" si="13">N17*(1+$J17)</f>
        <v>1.8164023930185</v>
      </c>
      <c r="P17" s="79">
        <f t="shared" ref="P17" si="14">O17*(1+$J17)</f>
        <v>1.8708944648090551</v>
      </c>
      <c r="Q17">
        <f t="shared" ref="Q17" si="15">P17/($F17-$I17*0.75-$J17*0.25)</f>
        <v>57.843527252482822</v>
      </c>
    </row>
    <row r="18" spans="2:20">
      <c r="B18" t="str">
        <f>'1.3 SR DCF SS'!A20</f>
        <v>Northwest Nat. Gas</v>
      </c>
      <c r="C18" s="36">
        <f>+'1.3 SR DCF SS'!B20</f>
        <v>42.93</v>
      </c>
      <c r="D18" s="12">
        <f t="shared" si="0"/>
        <v>42.929988493414044</v>
      </c>
      <c r="E18" s="305">
        <f t="shared" si="1"/>
        <v>1.1506585956055915E-5</v>
      </c>
      <c r="F18" s="84">
        <v>8.1018087639379177E-2</v>
      </c>
      <c r="G18" s="36">
        <f>+'1.3 SR DCF SS'!C20</f>
        <v>1.84</v>
      </c>
      <c r="H18" s="21">
        <f t="shared" si="2"/>
        <v>4.2860470533426509E-2</v>
      </c>
      <c r="I18" s="21">
        <f>'1.3 SR DCF SS'!O20</f>
        <v>4.4999999999999998E-2</v>
      </c>
      <c r="J18" s="21">
        <f>'1.3 SR DCF SS'!P20</f>
        <v>2.5000000000000001E-2</v>
      </c>
      <c r="K18" s="79">
        <f t="shared" si="4"/>
        <v>1.863</v>
      </c>
      <c r="L18" s="79">
        <f t="shared" si="3"/>
        <v>1.9095749999999998</v>
      </c>
      <c r="M18" s="79">
        <f t="shared" si="3"/>
        <v>1.9573143749999997</v>
      </c>
      <c r="N18" s="79">
        <f t="shared" si="3"/>
        <v>2.0062472343749995</v>
      </c>
      <c r="O18" s="79">
        <f t="shared" si="3"/>
        <v>2.0564034152343744</v>
      </c>
      <c r="P18" s="79">
        <f t="shared" si="3"/>
        <v>2.1078135006152334</v>
      </c>
      <c r="Q18">
        <f t="shared" si="5"/>
        <v>51.387415209275609</v>
      </c>
    </row>
    <row r="19" spans="2:20">
      <c r="B19" t="str">
        <f>'1.3 SR DCF SS'!A21</f>
        <v>Piedmont Natural Gas</v>
      </c>
      <c r="C19" s="36">
        <f>+'1.3 SR DCF SS'!B21</f>
        <v>33</v>
      </c>
      <c r="D19" s="12">
        <f t="shared" si="0"/>
        <v>32.999962912569814</v>
      </c>
      <c r="E19" s="305">
        <f t="shared" si="1"/>
        <v>3.7087430186488746E-5</v>
      </c>
      <c r="F19" s="84">
        <v>7.7744682465075696E-2</v>
      </c>
      <c r="G19" s="36">
        <f>+'1.3 SR DCF SS'!C21</f>
        <v>1.24</v>
      </c>
      <c r="H19" s="21">
        <f t="shared" si="2"/>
        <v>3.7575757575757575E-2</v>
      </c>
      <c r="I19" s="21">
        <f>'1.3 SR DCF SS'!O21</f>
        <v>4.4999999999999998E-2</v>
      </c>
      <c r="J19" s="21">
        <f>'1.3 SR DCF SS'!P21</f>
        <v>0.03</v>
      </c>
      <c r="K19" s="79">
        <f t="shared" si="4"/>
        <v>1.2585999999999999</v>
      </c>
      <c r="L19" s="79">
        <f t="shared" si="3"/>
        <v>1.2963579999999999</v>
      </c>
      <c r="M19" s="79">
        <f t="shared" si="3"/>
        <v>1.3352487399999999</v>
      </c>
      <c r="N19" s="79">
        <f t="shared" si="3"/>
        <v>1.3753062022</v>
      </c>
      <c r="O19" s="79">
        <f t="shared" si="3"/>
        <v>1.4165653882660001</v>
      </c>
      <c r="P19" s="79">
        <f t="shared" si="3"/>
        <v>1.4590623499139801</v>
      </c>
      <c r="Q19">
        <f t="shared" si="5"/>
        <v>39.98013549810328</v>
      </c>
    </row>
    <row r="20" spans="2:20">
      <c r="B20" t="str">
        <f>'1.3 SR DCF SS'!A22</f>
        <v>South Jersey Inds.</v>
      </c>
      <c r="C20" s="36">
        <f>+'1.3 SR DCF SS'!B22</f>
        <v>54.93</v>
      </c>
      <c r="D20" s="12">
        <f t="shared" si="0"/>
        <v>54.930013112507325</v>
      </c>
      <c r="E20" s="305">
        <f t="shared" si="1"/>
        <v>-1.3112507325274692E-5</v>
      </c>
      <c r="F20" s="84">
        <v>0.11271159467165445</v>
      </c>
      <c r="G20" s="36">
        <f>+'1.3 SR DCF SS'!C22</f>
        <v>1.8120000000000001</v>
      </c>
      <c r="H20" s="21">
        <f t="shared" si="2"/>
        <v>3.2987438558164939E-2</v>
      </c>
      <c r="I20" s="21">
        <f>'1.3 SR DCF SS'!O22</f>
        <v>7.4999999999999997E-2</v>
      </c>
      <c r="J20" s="21">
        <f>'1.3 SR DCF SS'!P22</f>
        <v>8.5000000000000006E-2</v>
      </c>
      <c r="K20" s="79">
        <f t="shared" si="4"/>
        <v>1.8890100000000001</v>
      </c>
      <c r="L20" s="79">
        <f t="shared" si="3"/>
        <v>2.0495758500000001</v>
      </c>
      <c r="M20" s="79">
        <f t="shared" si="3"/>
        <v>2.2237897972499998</v>
      </c>
      <c r="N20" s="79">
        <f t="shared" si="3"/>
        <v>2.4128119300162498</v>
      </c>
      <c r="O20" s="79">
        <f t="shared" si="3"/>
        <v>2.6179009440676309</v>
      </c>
      <c r="P20" s="79">
        <f t="shared" si="3"/>
        <v>2.8404225243133796</v>
      </c>
      <c r="Q20">
        <f t="shared" si="5"/>
        <v>80.66725039862898</v>
      </c>
    </row>
    <row r="21" spans="2:20">
      <c r="B21" t="str">
        <f>'1.3 SR DCF SS'!A23</f>
        <v>Southwest Gas</v>
      </c>
      <c r="C21" s="36">
        <f>+'1.3 SR DCF SS'!B23</f>
        <v>55.51</v>
      </c>
      <c r="D21" s="12">
        <f t="shared" si="0"/>
        <v>55.509790572846093</v>
      </c>
      <c r="E21" s="305">
        <f t="shared" si="1"/>
        <v>2.0942715390503963E-4</v>
      </c>
      <c r="F21" s="84">
        <v>0.10001004124120186</v>
      </c>
      <c r="G21" s="36">
        <f>+'1.3 SR DCF SS'!C23</f>
        <v>1.27</v>
      </c>
      <c r="H21" s="21">
        <f t="shared" si="2"/>
        <v>2.2878760583678617E-2</v>
      </c>
      <c r="I21" s="21">
        <f>'1.3 SR DCF SS'!O23</f>
        <v>0.08</v>
      </c>
      <c r="J21" s="21">
        <f>'1.3 SR DCF SS'!P23</f>
        <v>7.0000000000000007E-2</v>
      </c>
      <c r="K21" s="79">
        <f t="shared" si="4"/>
        <v>1.3144499999999999</v>
      </c>
      <c r="L21" s="79">
        <f>K21*(1+$J21)</f>
        <v>1.4064615</v>
      </c>
      <c r="M21" s="79">
        <f>L21*(1+$J21)</f>
        <v>1.5049138050000002</v>
      </c>
      <c r="N21" s="79">
        <f>M21*(1+$J21)</f>
        <v>1.6102577713500004</v>
      </c>
      <c r="O21" s="79">
        <f>N21*(1+$J21)</f>
        <v>1.7229758153445005</v>
      </c>
      <c r="P21" s="79">
        <f>O21*(1+$J21)</f>
        <v>1.8435841224186156</v>
      </c>
      <c r="Q21">
        <f t="shared" si="5"/>
        <v>81.900521756671054</v>
      </c>
    </row>
    <row r="22" spans="2:20">
      <c r="B22" t="str">
        <f>'1.3 SR DCF SS'!A24</f>
        <v>WGL Holdings</v>
      </c>
      <c r="C22" s="36">
        <f>+'1.3 SR DCF SS'!B24</f>
        <v>39.21</v>
      </c>
      <c r="D22" s="12">
        <f t="shared" ref="D22" si="16">(K22/(1+$F22)^0.5+L22/(1+$F22)^1.5+M22/(1+$F22)^2.5+N22/(1+$F22)^3.5+O22/(1+$F22)^4.5+P22/(1+F22)^5.5+Q22/(1+$F22)^5.5)</f>
        <v>39.210064100555641</v>
      </c>
      <c r="E22" s="305">
        <f t="shared" ref="E22" si="17">C22-D22</f>
        <v>-6.4100555640322909E-5</v>
      </c>
      <c r="F22" s="84">
        <v>7.37326505997319E-2</v>
      </c>
      <c r="G22" s="36">
        <f>+'1.3 SR DCF SS'!C24</f>
        <v>1.6322000000000001</v>
      </c>
      <c r="H22" s="21">
        <f t="shared" ref="H22" si="18">G22/C22</f>
        <v>4.1627135934710534E-2</v>
      </c>
      <c r="I22" s="21">
        <f>'1.3 SR DCF SS'!O24</f>
        <v>3.5000000000000003E-2</v>
      </c>
      <c r="J22" s="21">
        <f>'1.3 SR DCF SS'!P24</f>
        <v>2.5000000000000001E-2</v>
      </c>
      <c r="K22" s="79">
        <f t="shared" ref="K22" si="19">G22*(1+$J22/2)</f>
        <v>1.6526025</v>
      </c>
      <c r="L22" s="79">
        <f t="shared" ref="L22" si="20">K22*(1+$J22)</f>
        <v>1.6939175624999998</v>
      </c>
      <c r="M22" s="79">
        <f t="shared" ref="M22" si="21">L22*(1+$J22)</f>
        <v>1.7362655015624997</v>
      </c>
      <c r="N22" s="79">
        <f t="shared" ref="N22" si="22">M22*(1+$J22)</f>
        <v>1.779672139101562</v>
      </c>
      <c r="O22" s="79">
        <f t="shared" ref="O22" si="23">N22*(1+$J22)</f>
        <v>1.8241639425791008</v>
      </c>
      <c r="P22" s="79">
        <f t="shared" ref="P22" si="24">O22*(1+$J22)</f>
        <v>1.8697680411435782</v>
      </c>
      <c r="Q22">
        <f t="shared" ref="Q22" si="25">P22/($F22-$I22*0.75-$J22*0.25)</f>
        <v>45.346782560608311</v>
      </c>
    </row>
    <row r="23" spans="2:20" ht="12.75" customHeight="1">
      <c r="D23" s="12"/>
      <c r="E23" s="12"/>
      <c r="F23" s="6"/>
      <c r="H23" s="3"/>
      <c r="I23" s="11"/>
      <c r="J23" s="3"/>
      <c r="O23"/>
      <c r="P23"/>
    </row>
    <row r="24" spans="2:20">
      <c r="B24" s="5" t="s">
        <v>77</v>
      </c>
      <c r="D24" s="12"/>
      <c r="E24" s="12"/>
      <c r="F24" s="6">
        <f>AVERAGE(F14:F23)</f>
        <v>8.9018673052061167E-2</v>
      </c>
      <c r="H24" s="6">
        <f>AVERAGE(H14:H23)</f>
        <v>3.5640792009518467E-2</v>
      </c>
      <c r="I24" s="6">
        <f>AVERAGE(I14:I23)</f>
        <v>6.0000000000000005E-2</v>
      </c>
      <c r="J24" s="6">
        <f>AVERAGE(J14:J23)</f>
        <v>4.0000000000000008E-2</v>
      </c>
      <c r="O24"/>
      <c r="P24"/>
    </row>
    <row r="25" spans="2:20">
      <c r="B25" s="5" t="s">
        <v>43</v>
      </c>
      <c r="F25" s="6">
        <f>STDEV(F14:F23)</f>
        <v>1.597466652369103E-2</v>
      </c>
      <c r="H25" s="6"/>
      <c r="I25" s="6"/>
      <c r="J25" s="6"/>
      <c r="O25"/>
      <c r="P25"/>
    </row>
    <row r="26" spans="2:20">
      <c r="B26" s="5" t="s">
        <v>21</v>
      </c>
      <c r="F26" s="6">
        <f>+MEDIAN(F14:F23)</f>
        <v>8.1094059113870007E-2</v>
      </c>
      <c r="H26" s="6"/>
      <c r="I26" s="6"/>
      <c r="J26" s="6"/>
      <c r="O26"/>
      <c r="P26"/>
    </row>
    <row r="27" spans="2:20" ht="7.5" customHeight="1">
      <c r="B27" s="5"/>
      <c r="H27" s="6"/>
      <c r="K27" s="6"/>
      <c r="O27"/>
      <c r="P27"/>
    </row>
    <row r="28" spans="2:20" ht="15.75">
      <c r="B28" s="8" t="s">
        <v>42</v>
      </c>
      <c r="D28" s="9"/>
      <c r="E28" s="9"/>
      <c r="F28" s="552">
        <f>F24</f>
        <v>8.9018673052061167E-2</v>
      </c>
      <c r="G28" s="4"/>
      <c r="H28" s="9"/>
      <c r="K28" s="6"/>
      <c r="O28"/>
      <c r="P28"/>
    </row>
    <row r="29" spans="2:20">
      <c r="M29" s="12"/>
      <c r="N29" s="12"/>
      <c r="O29"/>
      <c r="P29"/>
    </row>
    <row r="30" spans="2:20">
      <c r="C30" s="37" t="s">
        <v>141</v>
      </c>
    </row>
    <row r="31" spans="2:20">
      <c r="C31" t="s">
        <v>100</v>
      </c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114"/>
      <c r="P32" s="114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114"/>
      <c r="P33" s="650"/>
      <c r="Q33" s="79"/>
      <c r="R33" s="79"/>
      <c r="S33" s="79"/>
      <c r="T33" s="79"/>
    </row>
    <row r="34" spans="2:20" ht="15.75">
      <c r="B34" s="546" t="s">
        <v>235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544"/>
      <c r="P34" s="322"/>
      <c r="Q34" s="651"/>
      <c r="R34" s="79"/>
      <c r="S34" s="79"/>
      <c r="T34" s="79"/>
    </row>
    <row r="35" spans="2:20" ht="15.75">
      <c r="B35" s="54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544"/>
      <c r="P35" s="544"/>
      <c r="Q35" s="651"/>
      <c r="R35" s="79"/>
      <c r="S35" s="79"/>
      <c r="T35" s="79"/>
    </row>
    <row r="36" spans="2:20">
      <c r="B36" s="79"/>
      <c r="C36" s="132" t="str">
        <f>+C69</f>
        <v xml:space="preserve">30 Day </v>
      </c>
      <c r="D36" s="133"/>
      <c r="E36" s="133"/>
      <c r="F36" s="132" t="s">
        <v>45</v>
      </c>
      <c r="G36" s="133"/>
      <c r="H36" s="132" t="s">
        <v>40</v>
      </c>
      <c r="I36" s="132" t="str">
        <f>+I10</f>
        <v>VL Projected</v>
      </c>
      <c r="J36" s="132" t="str">
        <f>+J10</f>
        <v>VL Projected</v>
      </c>
      <c r="K36" s="551"/>
      <c r="L36" s="133"/>
      <c r="M36" s="132"/>
      <c r="N36" s="133"/>
      <c r="O36" s="133"/>
      <c r="P36" s="133"/>
      <c r="Q36" s="133"/>
      <c r="R36" s="79"/>
      <c r="S36" s="79"/>
      <c r="T36" s="79"/>
    </row>
    <row r="37" spans="2:20">
      <c r="B37" s="79"/>
      <c r="C37" s="548" t="str">
        <f>+C70</f>
        <v>Average</v>
      </c>
      <c r="D37" s="549" t="s">
        <v>44</v>
      </c>
      <c r="E37" s="549"/>
      <c r="F37" s="132" t="s">
        <v>63</v>
      </c>
      <c r="G37" s="132" t="s">
        <v>22</v>
      </c>
      <c r="H37" s="132" t="s">
        <v>41</v>
      </c>
      <c r="I37" s="132" t="s">
        <v>64</v>
      </c>
      <c r="J37" s="132" t="s">
        <v>65</v>
      </c>
      <c r="K37" s="132" t="s">
        <v>23</v>
      </c>
      <c r="L37" s="132" t="s">
        <v>23</v>
      </c>
      <c r="M37" s="132" t="s">
        <v>23</v>
      </c>
      <c r="N37" s="132" t="s">
        <v>23</v>
      </c>
      <c r="O37" s="132" t="s">
        <v>23</v>
      </c>
      <c r="P37" s="132" t="s">
        <v>51</v>
      </c>
      <c r="Q37" s="132" t="s">
        <v>51</v>
      </c>
      <c r="R37" s="79"/>
      <c r="S37" s="79"/>
      <c r="T37" s="79"/>
    </row>
    <row r="38" spans="2:20">
      <c r="B38" s="544" t="s">
        <v>3</v>
      </c>
      <c r="C38" s="132" t="s">
        <v>4</v>
      </c>
      <c r="D38" s="549" t="s">
        <v>37</v>
      </c>
      <c r="E38" s="549" t="s">
        <v>53</v>
      </c>
      <c r="F38" s="132" t="s">
        <v>24</v>
      </c>
      <c r="G38" s="132" t="s">
        <v>23</v>
      </c>
      <c r="H38" s="132" t="s">
        <v>37</v>
      </c>
      <c r="I38" s="132" t="s">
        <v>26</v>
      </c>
      <c r="J38" s="132" t="s">
        <v>26</v>
      </c>
      <c r="K38" s="132" t="s">
        <v>46</v>
      </c>
      <c r="L38" s="132" t="s">
        <v>47</v>
      </c>
      <c r="M38" s="132" t="s">
        <v>48</v>
      </c>
      <c r="N38" s="132" t="s">
        <v>49</v>
      </c>
      <c r="O38" s="132" t="s">
        <v>50</v>
      </c>
      <c r="P38" s="132" t="s">
        <v>23</v>
      </c>
      <c r="Q38" s="132" t="s">
        <v>52</v>
      </c>
      <c r="R38" s="79"/>
      <c r="S38" s="79"/>
      <c r="T38" s="79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652"/>
      <c r="P39" s="652"/>
      <c r="Q39" s="81"/>
      <c r="R39" s="79"/>
      <c r="S39" s="79"/>
      <c r="T39" s="79"/>
    </row>
    <row r="40" spans="2:20">
      <c r="B40" s="79" t="str">
        <f>B14</f>
        <v>AGL Resources</v>
      </c>
      <c r="C40" s="89">
        <f>+C73</f>
        <v>46.103000000000002</v>
      </c>
      <c r="D40" s="89">
        <f t="shared" ref="D40:D47" si="26">(K40/(1+$F40)^0.5+L40/(1+$F40)^1.5+M40/(1+$F40)^2.5+N40/(1+$F40)^3.5+O40/(1+$F40)^4.5+P40/(1+F40)^5.5+Q40/(1+$F40)^5.5)</f>
        <v>46.10288894235633</v>
      </c>
      <c r="E40" s="305">
        <f t="shared" ref="E40:E47" si="27">C40-D40</f>
        <v>1.1105764367158599E-4</v>
      </c>
      <c r="F40" s="117">
        <v>0.12369888694070889</v>
      </c>
      <c r="G40" s="89">
        <f t="shared" ref="G40:J43" si="28">G14</f>
        <v>1.861</v>
      </c>
      <c r="H40" s="117">
        <f t="shared" si="28"/>
        <v>3.9486526628474433E-2</v>
      </c>
      <c r="I40" s="117">
        <f t="shared" si="28"/>
        <v>0.09</v>
      </c>
      <c r="J40" s="117">
        <f t="shared" si="28"/>
        <v>4.4999999999999998E-2</v>
      </c>
      <c r="K40" s="79">
        <f>G40*(1+$J40/2)</f>
        <v>1.9028725</v>
      </c>
      <c r="L40" s="79">
        <f t="shared" ref="L40:P47" si="29">K40*(1+$J40)</f>
        <v>1.9885017624999999</v>
      </c>
      <c r="M40" s="79">
        <f t="shared" si="29"/>
        <v>2.0779843418124999</v>
      </c>
      <c r="N40" s="79">
        <f t="shared" si="29"/>
        <v>2.1714936371940623</v>
      </c>
      <c r="O40" s="79">
        <f t="shared" si="29"/>
        <v>2.2692108508677951</v>
      </c>
      <c r="P40" s="79">
        <f t="shared" si="29"/>
        <v>2.3713253391568458</v>
      </c>
      <c r="Q40" s="79">
        <f t="shared" ref="Q40:Q47" si="30">P40/($F40-I40)</f>
        <v>70.368061216058734</v>
      </c>
      <c r="R40" s="79"/>
      <c r="S40" s="79"/>
      <c r="T40" s="79"/>
    </row>
    <row r="41" spans="2:20">
      <c r="B41" s="79" t="str">
        <f>B15</f>
        <v>Atmos Energy</v>
      </c>
      <c r="C41" s="89">
        <f>+C74</f>
        <v>44.470999999999997</v>
      </c>
      <c r="D41" s="89">
        <f t="shared" si="26"/>
        <v>44.470945984121606</v>
      </c>
      <c r="E41" s="305">
        <f t="shared" si="27"/>
        <v>5.4015878390600847E-5</v>
      </c>
      <c r="F41" s="117">
        <v>8.1461678957354358E-2</v>
      </c>
      <c r="G41" s="89">
        <f t="shared" si="28"/>
        <v>1.4049999999999998</v>
      </c>
      <c r="H41" s="117">
        <f t="shared" si="28"/>
        <v>3.121528549211286E-2</v>
      </c>
      <c r="I41" s="117">
        <f t="shared" si="28"/>
        <v>5.5E-2</v>
      </c>
      <c r="J41" s="117">
        <f t="shared" si="28"/>
        <v>1.4999999999999999E-2</v>
      </c>
      <c r="K41" s="79">
        <f t="shared" ref="K41:K47" si="31">G41*(1+$J41/2)</f>
        <v>1.4155374999999999</v>
      </c>
      <c r="L41" s="79">
        <f t="shared" si="29"/>
        <v>1.4367705624999998</v>
      </c>
      <c r="M41" s="79">
        <f t="shared" si="29"/>
        <v>1.4583221209374997</v>
      </c>
      <c r="N41" s="79">
        <f t="shared" si="29"/>
        <v>1.4801969527515619</v>
      </c>
      <c r="O41" s="79">
        <f t="shared" si="29"/>
        <v>1.5023999070428353</v>
      </c>
      <c r="P41" s="79">
        <f t="shared" si="29"/>
        <v>1.5249359056484777</v>
      </c>
      <c r="Q41" s="79">
        <f t="shared" si="30"/>
        <v>57.628085810657154</v>
      </c>
      <c r="R41" s="79"/>
      <c r="S41" s="79"/>
      <c r="T41" s="79"/>
    </row>
    <row r="42" spans="2:20">
      <c r="B42" s="79" t="str">
        <f>B16</f>
        <v>Laclede Group</v>
      </c>
      <c r="C42" s="89">
        <f>+C75</f>
        <v>45.148000000000003</v>
      </c>
      <c r="D42" s="89">
        <f t="shared" si="26"/>
        <v>45.147737131416527</v>
      </c>
      <c r="E42" s="305">
        <f t="shared" si="27"/>
        <v>2.6286858347646103E-4</v>
      </c>
      <c r="F42" s="117">
        <v>9.4517115829888962E-2</v>
      </c>
      <c r="G42" s="89">
        <f t="shared" si="28"/>
        <v>1.71</v>
      </c>
      <c r="H42" s="117">
        <f t="shared" si="28"/>
        <v>3.7532923617208072E-2</v>
      </c>
      <c r="I42" s="117">
        <f t="shared" si="28"/>
        <v>0.06</v>
      </c>
      <c r="J42" s="117">
        <f t="shared" si="28"/>
        <v>3.5000000000000003E-2</v>
      </c>
      <c r="K42" s="79">
        <f t="shared" si="31"/>
        <v>1.7399250000000002</v>
      </c>
      <c r="L42" s="79">
        <f t="shared" si="29"/>
        <v>1.8008223750000001</v>
      </c>
      <c r="M42" s="79">
        <f t="shared" si="29"/>
        <v>1.8638511581249999</v>
      </c>
      <c r="N42" s="79">
        <f t="shared" si="29"/>
        <v>1.9290859486593748</v>
      </c>
      <c r="O42" s="79">
        <f t="shared" si="29"/>
        <v>1.9966039568624527</v>
      </c>
      <c r="P42" s="79">
        <f t="shared" si="29"/>
        <v>2.0664850953526384</v>
      </c>
      <c r="Q42" s="79">
        <f t="shared" si="30"/>
        <v>59.868417324811169</v>
      </c>
      <c r="R42" s="79"/>
      <c r="S42" s="79"/>
      <c r="T42" s="79"/>
    </row>
    <row r="43" spans="2:20">
      <c r="B43" s="79" t="str">
        <f>B17</f>
        <v>New Jersey Resources</v>
      </c>
      <c r="C43" s="89">
        <f>+C76</f>
        <v>44.633499999999998</v>
      </c>
      <c r="D43" s="89">
        <f t="shared" ref="D43" si="32">(K43/(1+$F43)^0.5+L43/(1+$F43)^1.5+M43/(1+$F43)^2.5+N43/(1+$F43)^3.5+O43/(1+$F43)^4.5+P43/(1+F43)^5.5+Q43/(1+$F43)^5.5)</f>
        <v>44.633622227996383</v>
      </c>
      <c r="E43" s="305">
        <f t="shared" ref="E43" si="33">C43-D43</f>
        <v>-1.2222799638550441E-4</v>
      </c>
      <c r="F43" s="117">
        <v>8.7348646073006117E-2</v>
      </c>
      <c r="G43" s="89">
        <f t="shared" si="28"/>
        <v>1.59</v>
      </c>
      <c r="H43" s="117">
        <f t="shared" si="28"/>
        <v>3.4602829162132753E-2</v>
      </c>
      <c r="I43" s="117">
        <f t="shared" si="28"/>
        <v>5.5E-2</v>
      </c>
      <c r="J43" s="117">
        <f t="shared" si="28"/>
        <v>0.03</v>
      </c>
      <c r="K43" s="79">
        <f t="shared" ref="K43" si="34">G43*(1+$J43/2)</f>
        <v>1.61385</v>
      </c>
      <c r="L43" s="79">
        <f t="shared" ref="L43" si="35">K43*(1+$J43)</f>
        <v>1.6622655</v>
      </c>
      <c r="M43" s="79">
        <f t="shared" ref="M43" si="36">L43*(1+$J43)</f>
        <v>1.712133465</v>
      </c>
      <c r="N43" s="79">
        <f t="shared" ref="N43" si="37">M43*(1+$J43)</f>
        <v>1.76349746895</v>
      </c>
      <c r="O43" s="79">
        <f t="shared" ref="O43" si="38">N43*(1+$J43)</f>
        <v>1.8164023930185</v>
      </c>
      <c r="P43" s="79">
        <f t="shared" ref="P43" si="39">O43*(1+$J43)</f>
        <v>1.8708944648090551</v>
      </c>
      <c r="Q43" s="79">
        <f t="shared" ref="Q43" si="40">P43/($F43-I43)</f>
        <v>57.835325181360687</v>
      </c>
      <c r="R43" s="79"/>
      <c r="S43" s="79"/>
      <c r="T43" s="79"/>
    </row>
    <row r="44" spans="2:20">
      <c r="B44" s="79" t="str">
        <f t="shared" ref="B44:B47" si="41">B18</f>
        <v>Northwest Nat. Gas</v>
      </c>
      <c r="C44" s="89">
        <f t="shared" ref="C44:C47" si="42">+C77</f>
        <v>42.276000000000003</v>
      </c>
      <c r="D44" s="89">
        <f t="shared" si="26"/>
        <v>42.275869406639437</v>
      </c>
      <c r="E44" s="305">
        <f t="shared" si="27"/>
        <v>1.3059336056642223E-4</v>
      </c>
      <c r="F44" s="117">
        <v>8.5707994409506397E-2</v>
      </c>
      <c r="G44" s="89">
        <f t="shared" ref="G44:J45" si="43">G18</f>
        <v>1.84</v>
      </c>
      <c r="H44" s="117">
        <f t="shared" si="43"/>
        <v>4.2860470533426509E-2</v>
      </c>
      <c r="I44" s="117">
        <f t="shared" si="43"/>
        <v>4.4999999999999998E-2</v>
      </c>
      <c r="J44" s="117">
        <f t="shared" si="43"/>
        <v>2.5000000000000001E-2</v>
      </c>
      <c r="K44" s="79">
        <f t="shared" si="31"/>
        <v>1.863</v>
      </c>
      <c r="L44" s="79">
        <f t="shared" si="29"/>
        <v>1.9095749999999998</v>
      </c>
      <c r="M44" s="79">
        <f t="shared" si="29"/>
        <v>1.9573143749999997</v>
      </c>
      <c r="N44" s="79">
        <f t="shared" si="29"/>
        <v>2.0062472343749995</v>
      </c>
      <c r="O44" s="79">
        <f t="shared" si="29"/>
        <v>2.0564034152343744</v>
      </c>
      <c r="P44" s="79">
        <f t="shared" si="29"/>
        <v>2.1078135006152334</v>
      </c>
      <c r="Q44" s="79">
        <f t="shared" si="30"/>
        <v>51.778858948722934</v>
      </c>
      <c r="R44" s="79"/>
      <c r="S44" s="79"/>
      <c r="T44" s="79"/>
    </row>
    <row r="45" spans="2:20">
      <c r="B45" s="79" t="str">
        <f t="shared" si="41"/>
        <v>Piedmont Natural Gas</v>
      </c>
      <c r="C45" s="89">
        <f t="shared" si="42"/>
        <v>32.444000000000003</v>
      </c>
      <c r="D45" s="89">
        <f t="shared" si="26"/>
        <v>32.444038033383272</v>
      </c>
      <c r="E45" s="305">
        <f t="shared" si="27"/>
        <v>-3.8033383269464593E-5</v>
      </c>
      <c r="F45" s="117">
        <v>8.1483409473214655E-2</v>
      </c>
      <c r="G45" s="89">
        <f t="shared" si="43"/>
        <v>1.24</v>
      </c>
      <c r="H45" s="117">
        <f t="shared" si="43"/>
        <v>3.7575757575757575E-2</v>
      </c>
      <c r="I45" s="117">
        <f t="shared" si="43"/>
        <v>4.4999999999999998E-2</v>
      </c>
      <c r="J45" s="117">
        <f t="shared" si="43"/>
        <v>0.03</v>
      </c>
      <c r="K45" s="79">
        <f t="shared" si="31"/>
        <v>1.2585999999999999</v>
      </c>
      <c r="L45" s="79">
        <f t="shared" si="29"/>
        <v>1.2963579999999999</v>
      </c>
      <c r="M45" s="79">
        <f t="shared" si="29"/>
        <v>1.3352487399999999</v>
      </c>
      <c r="N45" s="79">
        <f t="shared" si="29"/>
        <v>1.3753062022</v>
      </c>
      <c r="O45" s="79">
        <f t="shared" si="29"/>
        <v>1.4165653882660001</v>
      </c>
      <c r="P45" s="79">
        <f t="shared" si="29"/>
        <v>1.4590623499139801</v>
      </c>
      <c r="Q45" s="79">
        <f t="shared" si="30"/>
        <v>39.99248894172549</v>
      </c>
      <c r="R45" s="79"/>
      <c r="S45" s="79"/>
      <c r="T45" s="79"/>
    </row>
    <row r="46" spans="2:20">
      <c r="B46" s="79" t="str">
        <f t="shared" si="41"/>
        <v>South Jersey Inds.</v>
      </c>
      <c r="C46" s="89">
        <f t="shared" si="42"/>
        <v>55.3035</v>
      </c>
      <c r="D46" s="89">
        <f t="shared" si="26"/>
        <v>55.30369096300916</v>
      </c>
      <c r="E46" s="305">
        <f t="shared" si="27"/>
        <v>-1.909630091603276E-4</v>
      </c>
      <c r="F46" s="117">
        <v>0.11037535539134481</v>
      </c>
      <c r="G46" s="89">
        <f t="shared" ref="G46:J48" si="44">G20</f>
        <v>1.8120000000000001</v>
      </c>
      <c r="H46" s="117">
        <f t="shared" si="44"/>
        <v>3.2987438558164939E-2</v>
      </c>
      <c r="I46" s="117">
        <f t="shared" si="44"/>
        <v>7.4999999999999997E-2</v>
      </c>
      <c r="J46" s="117">
        <f t="shared" si="44"/>
        <v>8.5000000000000006E-2</v>
      </c>
      <c r="K46" s="79">
        <f t="shared" si="31"/>
        <v>1.8890100000000001</v>
      </c>
      <c r="L46" s="79">
        <f t="shared" si="29"/>
        <v>2.0495758500000001</v>
      </c>
      <c r="M46" s="79">
        <f t="shared" si="29"/>
        <v>2.2237897972499998</v>
      </c>
      <c r="N46" s="79">
        <f t="shared" si="29"/>
        <v>2.4128119300162498</v>
      </c>
      <c r="O46" s="79">
        <f t="shared" si="29"/>
        <v>2.6179009440676309</v>
      </c>
      <c r="P46" s="79">
        <f t="shared" si="29"/>
        <v>2.8404225243133796</v>
      </c>
      <c r="Q46" s="79">
        <f t="shared" si="30"/>
        <v>80.293822998830919</v>
      </c>
      <c r="R46" s="79"/>
      <c r="S46" s="79"/>
      <c r="T46" s="79"/>
    </row>
    <row r="47" spans="2:20">
      <c r="B47" s="79" t="str">
        <f t="shared" si="41"/>
        <v>Southwest Gas</v>
      </c>
      <c r="C47" s="89">
        <f t="shared" si="42"/>
        <v>53.247</v>
      </c>
      <c r="D47" s="89">
        <f t="shared" si="26"/>
        <v>53.246784978189829</v>
      </c>
      <c r="E47" s="305">
        <f t="shared" si="27"/>
        <v>2.1502181017041266E-4</v>
      </c>
      <c r="F47" s="117">
        <v>0.10320835108984887</v>
      </c>
      <c r="G47" s="89">
        <f t="shared" si="44"/>
        <v>1.27</v>
      </c>
      <c r="H47" s="117">
        <f t="shared" si="44"/>
        <v>2.2878760583678617E-2</v>
      </c>
      <c r="I47" s="117">
        <f t="shared" si="44"/>
        <v>0.08</v>
      </c>
      <c r="J47" s="117">
        <f t="shared" si="44"/>
        <v>7.0000000000000007E-2</v>
      </c>
      <c r="K47" s="79">
        <f t="shared" si="31"/>
        <v>1.3144499999999999</v>
      </c>
      <c r="L47" s="79">
        <f t="shared" si="29"/>
        <v>1.4064615</v>
      </c>
      <c r="M47" s="79">
        <f t="shared" si="29"/>
        <v>1.5049138050000002</v>
      </c>
      <c r="N47" s="79">
        <f t="shared" si="29"/>
        <v>1.6102577713500004</v>
      </c>
      <c r="O47" s="79">
        <f t="shared" si="29"/>
        <v>1.7229758153445005</v>
      </c>
      <c r="P47" s="79">
        <f t="shared" si="29"/>
        <v>1.8435841224186156</v>
      </c>
      <c r="Q47" s="79">
        <f t="shared" si="30"/>
        <v>79.436238933190879</v>
      </c>
      <c r="R47" s="79"/>
      <c r="S47" s="79"/>
      <c r="T47" s="79"/>
    </row>
    <row r="48" spans="2:20">
      <c r="B48" s="79" t="str">
        <f>B22</f>
        <v>WGL Holdings</v>
      </c>
      <c r="C48" s="89">
        <f>+C81</f>
        <v>39.097999999999999</v>
      </c>
      <c r="D48" s="89">
        <f t="shared" ref="D48" si="45">(K48/(1+$F48)^0.5+L48/(1+$F48)^1.5+M48/(1+$F48)^2.5+N48/(1+$F48)^3.5+O48/(1+$F48)^4.5+P48/(1+F48)^5.5+Q48/(1+$F48)^5.5)</f>
        <v>39.09799843490083</v>
      </c>
      <c r="E48" s="305">
        <f t="shared" ref="E48" si="46">C48-D48</f>
        <v>1.5650991684879045E-6</v>
      </c>
      <c r="F48" s="117">
        <v>7.586907463783446E-2</v>
      </c>
      <c r="G48" s="89">
        <f t="shared" si="44"/>
        <v>1.6322000000000001</v>
      </c>
      <c r="H48" s="117">
        <f t="shared" si="44"/>
        <v>4.1627135934710534E-2</v>
      </c>
      <c r="I48" s="117">
        <f t="shared" si="44"/>
        <v>3.5000000000000003E-2</v>
      </c>
      <c r="J48" s="117">
        <f t="shared" si="44"/>
        <v>2.5000000000000001E-2</v>
      </c>
      <c r="K48" s="79">
        <f t="shared" ref="K48" si="47">G48*(1+$J48/2)</f>
        <v>1.6526025</v>
      </c>
      <c r="L48" s="79">
        <f t="shared" ref="L48" si="48">K48*(1+$J48)</f>
        <v>1.6939175624999998</v>
      </c>
      <c r="M48" s="79">
        <f t="shared" ref="M48" si="49">L48*(1+$J48)</f>
        <v>1.7362655015624997</v>
      </c>
      <c r="N48" s="79">
        <f t="shared" ref="N48" si="50">M48*(1+$J48)</f>
        <v>1.779672139101562</v>
      </c>
      <c r="O48" s="79">
        <f t="shared" ref="O48" si="51">N48*(1+$J48)</f>
        <v>1.8241639425791008</v>
      </c>
      <c r="P48" s="79">
        <f t="shared" ref="P48" si="52">O48*(1+$J48)</f>
        <v>1.8697680411435782</v>
      </c>
      <c r="Q48" s="79">
        <f t="shared" ref="Q48" si="53">P48/($F48-I48)</f>
        <v>45.750192724271876</v>
      </c>
      <c r="R48" s="79"/>
      <c r="S48" s="79"/>
      <c r="T48" s="79"/>
    </row>
    <row r="49" spans="2:20">
      <c r="B49" s="79"/>
      <c r="C49" s="79"/>
      <c r="D49" s="114"/>
      <c r="E49" s="114"/>
      <c r="F49" s="84"/>
      <c r="G49" s="79"/>
      <c r="H49" s="81"/>
      <c r="I49" s="82"/>
      <c r="J49" s="81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322" t="s">
        <v>77</v>
      </c>
      <c r="C50" s="79"/>
      <c r="D50" s="114"/>
      <c r="E50" s="114"/>
      <c r="F50" s="84">
        <f>AVERAGE(F40:F49)</f>
        <v>9.3741168089189711E-2</v>
      </c>
      <c r="G50" s="79"/>
      <c r="H50" s="84">
        <f>AVERAGE(H40:H49)</f>
        <v>3.5640792009518467E-2</v>
      </c>
      <c r="I50" s="84">
        <f>AVERAGE(I40:I49)</f>
        <v>6.0000000000000005E-2</v>
      </c>
      <c r="J50" s="84">
        <f>AVERAGE(J40:J49)</f>
        <v>4.0000000000000008E-2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322" t="s">
        <v>43</v>
      </c>
      <c r="C51" s="79"/>
      <c r="D51" s="79"/>
      <c r="E51" s="79"/>
      <c r="F51" s="84">
        <f>STDEV(F40:F49)</f>
        <v>1.5772750219563099E-2</v>
      </c>
      <c r="G51" s="79"/>
      <c r="H51" s="84"/>
      <c r="I51" s="84"/>
      <c r="J51" s="84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322" t="s">
        <v>21</v>
      </c>
      <c r="C52" s="79"/>
      <c r="D52" s="79"/>
      <c r="E52" s="79"/>
      <c r="F52" s="84">
        <f>+MEDIAN(F40:F47)</f>
        <v>9.0932880951447539E-2</v>
      </c>
      <c r="G52" s="79"/>
      <c r="H52" s="84"/>
      <c r="I52" s="84"/>
      <c r="J52" s="84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322"/>
      <c r="C53" s="79"/>
      <c r="D53" s="79"/>
      <c r="E53" s="79"/>
      <c r="F53" s="79"/>
      <c r="G53" s="79"/>
      <c r="H53" s="84"/>
      <c r="I53" s="79"/>
      <c r="J53" s="79"/>
      <c r="K53" s="84"/>
      <c r="L53" s="79"/>
      <c r="M53" s="79"/>
      <c r="N53" s="79"/>
      <c r="O53" s="79"/>
      <c r="P53" s="79"/>
      <c r="Q53" s="79"/>
      <c r="R53" s="79"/>
      <c r="S53" s="79"/>
      <c r="T53" s="79"/>
    </row>
    <row r="54" spans="2:20" ht="15.75">
      <c r="B54" s="653" t="s">
        <v>42</v>
      </c>
      <c r="C54" s="79"/>
      <c r="D54" s="552"/>
      <c r="E54" s="552"/>
      <c r="F54" s="552">
        <f>F50</f>
        <v>9.3741168089189711E-2</v>
      </c>
      <c r="G54" s="242"/>
      <c r="H54" s="552"/>
      <c r="I54" s="79"/>
      <c r="J54" s="79"/>
      <c r="K54" s="84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14"/>
      <c r="N55" s="114"/>
      <c r="O55" s="79"/>
      <c r="P55" s="79"/>
      <c r="Q55" s="79"/>
      <c r="R55" s="79"/>
      <c r="S55" s="79"/>
      <c r="T55" s="79"/>
    </row>
    <row r="56" spans="2:20">
      <c r="B56" s="79"/>
      <c r="C56" s="83" t="s">
        <v>326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114"/>
      <c r="P56" s="114"/>
      <c r="Q56" s="79"/>
      <c r="R56" s="79"/>
      <c r="S56" s="79"/>
      <c r="T56" s="79"/>
    </row>
    <row r="57" spans="2:20">
      <c r="B57" s="79"/>
      <c r="C57" s="79" t="s">
        <v>100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114"/>
      <c r="P57" s="114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114"/>
      <c r="P58" s="114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114"/>
      <c r="P59" s="114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114"/>
      <c r="P60" s="650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114"/>
      <c r="P61" s="116"/>
      <c r="Q61" s="650"/>
      <c r="R61" s="79"/>
      <c r="S61" s="79"/>
      <c r="T61" s="79"/>
    </row>
    <row r="62" spans="2:20" ht="18.75">
      <c r="B62" s="654" t="str">
        <f>+B3</f>
        <v>Questar Gas Company</v>
      </c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655"/>
      <c r="P62" s="655"/>
      <c r="Q62" s="490"/>
      <c r="R62" s="79"/>
      <c r="S62" s="79"/>
      <c r="T62" s="79"/>
    </row>
    <row r="63" spans="2:20" ht="15.75">
      <c r="B63" s="656" t="s">
        <v>71</v>
      </c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655"/>
      <c r="P63" s="655"/>
      <c r="Q63" s="490"/>
      <c r="R63" s="79"/>
      <c r="S63" s="79"/>
      <c r="T63" s="79"/>
    </row>
    <row r="64" spans="2:20" ht="15.75">
      <c r="B64" s="489">
        <f>+B5</f>
        <v>41634</v>
      </c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655"/>
      <c r="P64" s="655"/>
      <c r="Q64" s="490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14"/>
      <c r="N65" s="114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14"/>
      <c r="N66" s="114"/>
      <c r="O66" s="79"/>
      <c r="P66" s="79"/>
      <c r="Q66" s="79"/>
      <c r="R66" s="79"/>
      <c r="S66" s="79"/>
      <c r="T66" s="79"/>
    </row>
    <row r="67" spans="2:20" ht="15.75">
      <c r="B67" s="546" t="s">
        <v>112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544"/>
      <c r="P67" s="544"/>
      <c r="Q67" s="651"/>
      <c r="R67" s="79"/>
      <c r="S67" s="79"/>
      <c r="T67" s="79"/>
    </row>
    <row r="68" spans="2:20" ht="15.75">
      <c r="B68" s="547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544"/>
      <c r="P68" s="544"/>
      <c r="Q68" s="651"/>
      <c r="R68" s="79"/>
      <c r="S68" s="79"/>
      <c r="T68" s="79"/>
    </row>
    <row r="69" spans="2:20">
      <c r="B69" s="79"/>
      <c r="C69" s="132" t="str">
        <f>+'1.3 SR DCF SS'!B48</f>
        <v xml:space="preserve">30 Day </v>
      </c>
      <c r="D69" s="133"/>
      <c r="E69" s="133"/>
      <c r="F69" s="132" t="s">
        <v>45</v>
      </c>
      <c r="G69" s="133"/>
      <c r="H69" s="132" t="s">
        <v>40</v>
      </c>
      <c r="I69" s="132" t="s">
        <v>234</v>
      </c>
      <c r="J69" s="132" t="s">
        <v>234</v>
      </c>
      <c r="K69" s="551"/>
      <c r="L69" s="133"/>
      <c r="M69" s="132"/>
      <c r="N69" s="133"/>
      <c r="O69" s="133"/>
      <c r="P69" s="133"/>
      <c r="Q69" s="133"/>
      <c r="R69" s="79"/>
      <c r="S69" s="79"/>
      <c r="T69" s="79"/>
    </row>
    <row r="70" spans="2:20">
      <c r="B70" s="79"/>
      <c r="C70" s="132" t="str">
        <f>+'1.3 SR DCF SS'!B49</f>
        <v>Average</v>
      </c>
      <c r="D70" s="549" t="s">
        <v>44</v>
      </c>
      <c r="E70" s="549"/>
      <c r="F70" s="132" t="s">
        <v>63</v>
      </c>
      <c r="G70" s="132" t="s">
        <v>22</v>
      </c>
      <c r="H70" s="132" t="s">
        <v>41</v>
      </c>
      <c r="I70" s="132" t="s">
        <v>64</v>
      </c>
      <c r="J70" s="132" t="s">
        <v>65</v>
      </c>
      <c r="K70" s="132" t="s">
        <v>23</v>
      </c>
      <c r="L70" s="132" t="s">
        <v>23</v>
      </c>
      <c r="M70" s="132" t="s">
        <v>23</v>
      </c>
      <c r="N70" s="132" t="s">
        <v>23</v>
      </c>
      <c r="O70" s="132" t="s">
        <v>23</v>
      </c>
      <c r="P70" s="132" t="s">
        <v>51</v>
      </c>
      <c r="Q70" s="132" t="s">
        <v>51</v>
      </c>
      <c r="R70" s="79"/>
      <c r="S70" s="79"/>
      <c r="T70" s="79"/>
    </row>
    <row r="71" spans="2:20">
      <c r="B71" s="544" t="s">
        <v>3</v>
      </c>
      <c r="C71" s="132" t="s">
        <v>4</v>
      </c>
      <c r="D71" s="549" t="s">
        <v>37</v>
      </c>
      <c r="E71" s="549" t="s">
        <v>53</v>
      </c>
      <c r="F71" s="132" t="s">
        <v>24</v>
      </c>
      <c r="G71" s="132" t="s">
        <v>23</v>
      </c>
      <c r="H71" s="132" t="s">
        <v>37</v>
      </c>
      <c r="I71" s="132" t="s">
        <v>26</v>
      </c>
      <c r="J71" s="132" t="s">
        <v>26</v>
      </c>
      <c r="K71" s="132" t="s">
        <v>46</v>
      </c>
      <c r="L71" s="132" t="s">
        <v>47</v>
      </c>
      <c r="M71" s="132" t="s">
        <v>48</v>
      </c>
      <c r="N71" s="132" t="s">
        <v>49</v>
      </c>
      <c r="O71" s="132" t="s">
        <v>50</v>
      </c>
      <c r="P71" s="132" t="s">
        <v>23</v>
      </c>
      <c r="Q71" s="132" t="s">
        <v>52</v>
      </c>
      <c r="R71" s="79"/>
      <c r="S71" s="79"/>
      <c r="T71" s="79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652"/>
      <c r="P72" s="652"/>
      <c r="Q72" s="81"/>
      <c r="R72" s="79"/>
      <c r="S72" s="79"/>
      <c r="T72" s="79"/>
    </row>
    <row r="73" spans="2:20">
      <c r="B73" s="79" t="str">
        <f>+B40</f>
        <v>AGL Resources</v>
      </c>
      <c r="C73" s="89">
        <f>+'1.3 SR DCF SS'!B52</f>
        <v>46.103000000000002</v>
      </c>
      <c r="D73" s="114">
        <f t="shared" ref="D73:D80" si="54">(K73/(1+$F73)^0.5+L73/(1+$F73)^1.5+M73/(1+$F73)^2.5+N73/(1+$F73)^3.5+O73/(1+$F73)^4.5+P73/(1+F73)^5.5+Q73/(1+$F73)^5.5)</f>
        <v>46.102967076130476</v>
      </c>
      <c r="E73" s="305">
        <f t="shared" ref="E73:E80" si="55">C73-D73</f>
        <v>3.2923869525802729E-5</v>
      </c>
      <c r="F73" s="84">
        <v>0.11425706342797333</v>
      </c>
      <c r="G73" s="89">
        <f>+G14</f>
        <v>1.861</v>
      </c>
      <c r="H73" s="117">
        <f t="shared" ref="H73:H80" si="56">G73/C73</f>
        <v>4.036613669392447E-2</v>
      </c>
      <c r="I73" s="117">
        <f t="shared" ref="I73:J76" si="57">+I14</f>
        <v>0.09</v>
      </c>
      <c r="J73" s="117">
        <f t="shared" si="57"/>
        <v>4.4999999999999998E-2</v>
      </c>
      <c r="K73" s="79">
        <f>G73*(1+$J73/2)</f>
        <v>1.9028725</v>
      </c>
      <c r="L73" s="79">
        <f t="shared" ref="L73:L80" si="58">K73*(1+$J73)</f>
        <v>1.9885017624999999</v>
      </c>
      <c r="M73" s="79">
        <f t="shared" ref="M73:M80" si="59">L73*(1+$J73)</f>
        <v>2.0779843418124999</v>
      </c>
      <c r="N73" s="79">
        <f t="shared" ref="N73:N80" si="60">M73*(1+$J73)</f>
        <v>2.1714936371940623</v>
      </c>
      <c r="O73" s="79">
        <f t="shared" ref="O73:O80" si="61">N73*(1+$J73)</f>
        <v>2.2692108508677951</v>
      </c>
      <c r="P73" s="79">
        <f t="shared" ref="P73:P80" si="62">O73*(1+$J73)</f>
        <v>2.3713253391568458</v>
      </c>
      <c r="Q73" s="79">
        <f>P73/($F73-$I73*0.75-$J73*0.25)</f>
        <v>66.784608757272167</v>
      </c>
      <c r="R73" s="79"/>
      <c r="S73" s="79"/>
      <c r="T73" s="79"/>
    </row>
    <row r="74" spans="2:20">
      <c r="B74" s="79" t="str">
        <f>+B41</f>
        <v>Atmos Energy</v>
      </c>
      <c r="C74" s="89">
        <f>+'1.3 SR DCF SS'!B53</f>
        <v>44.470999999999997</v>
      </c>
      <c r="D74" s="114">
        <f t="shared" si="54"/>
        <v>44.470932712558344</v>
      </c>
      <c r="E74" s="305">
        <f t="shared" si="55"/>
        <v>6.7287441652297275E-5</v>
      </c>
      <c r="F74" s="84">
        <v>7.2780842203068158E-2</v>
      </c>
      <c r="G74" s="89">
        <f>+G15</f>
        <v>1.4049999999999998</v>
      </c>
      <c r="H74" s="117">
        <f t="shared" si="56"/>
        <v>3.15936228103708E-2</v>
      </c>
      <c r="I74" s="117">
        <f t="shared" si="57"/>
        <v>5.5E-2</v>
      </c>
      <c r="J74" s="117">
        <f t="shared" si="57"/>
        <v>1.4999999999999999E-2</v>
      </c>
      <c r="K74" s="79">
        <f t="shared" ref="K74:K80" si="63">G74*(1+$J74/2)</f>
        <v>1.4155374999999999</v>
      </c>
      <c r="L74" s="79">
        <f t="shared" si="58"/>
        <v>1.4367705624999998</v>
      </c>
      <c r="M74" s="79">
        <f t="shared" si="59"/>
        <v>1.4583221209374997</v>
      </c>
      <c r="N74" s="79">
        <f t="shared" si="60"/>
        <v>1.4801969527515619</v>
      </c>
      <c r="O74" s="79">
        <f t="shared" si="61"/>
        <v>1.5023999070428353</v>
      </c>
      <c r="P74" s="79">
        <f t="shared" si="62"/>
        <v>1.5249359056484777</v>
      </c>
      <c r="Q74" s="79">
        <f t="shared" ref="Q74:Q80" si="64">P74/($F74-$I74*0.75-$J74*0.25)</f>
        <v>54.891636995802152</v>
      </c>
      <c r="R74" s="79"/>
      <c r="S74" s="79"/>
      <c r="T74" s="79"/>
    </row>
    <row r="75" spans="2:20">
      <c r="B75" s="79" t="str">
        <f>+B42</f>
        <v>Laclede Group</v>
      </c>
      <c r="C75" s="89">
        <f>+'1.3 SR DCF SS'!B54</f>
        <v>45.148000000000003</v>
      </c>
      <c r="D75" s="114">
        <f t="shared" si="54"/>
        <v>45.147995437379436</v>
      </c>
      <c r="E75" s="305">
        <f t="shared" si="55"/>
        <v>4.5626205675830533E-6</v>
      </c>
      <c r="F75" s="84">
        <v>8.9301949768642613E-2</v>
      </c>
      <c r="G75" s="89">
        <f>+G16</f>
        <v>1.71</v>
      </c>
      <c r="H75" s="117">
        <f t="shared" si="56"/>
        <v>3.7875431912820057E-2</v>
      </c>
      <c r="I75" s="117">
        <f t="shared" si="57"/>
        <v>0.06</v>
      </c>
      <c r="J75" s="117">
        <f t="shared" si="57"/>
        <v>3.5000000000000003E-2</v>
      </c>
      <c r="K75" s="79">
        <f t="shared" si="63"/>
        <v>1.7399250000000002</v>
      </c>
      <c r="L75" s="79">
        <f t="shared" si="58"/>
        <v>1.8008223750000001</v>
      </c>
      <c r="M75" s="79">
        <f t="shared" si="59"/>
        <v>1.8638511581249999</v>
      </c>
      <c r="N75" s="79">
        <f t="shared" si="60"/>
        <v>1.9290859486593748</v>
      </c>
      <c r="O75" s="79">
        <f t="shared" si="61"/>
        <v>1.9966039568624527</v>
      </c>
      <c r="P75" s="79">
        <f t="shared" si="62"/>
        <v>2.0664850953526384</v>
      </c>
      <c r="Q75" s="79">
        <f t="shared" si="64"/>
        <v>58.125788003202885</v>
      </c>
      <c r="R75" s="79"/>
      <c r="S75" s="79"/>
      <c r="T75" s="79"/>
    </row>
    <row r="76" spans="2:20">
      <c r="B76" s="79" t="str">
        <f>+B43</f>
        <v>New Jersey Resources</v>
      </c>
      <c r="C76" s="89">
        <f>+'1.3 SR DCF SS'!B55</f>
        <v>44.633499999999998</v>
      </c>
      <c r="D76" s="114">
        <f t="shared" ref="D76" si="65">(K76/(1+$F76)^0.5+L76/(1+$F76)^1.5+M76/(1+$F76)^2.5+N76/(1+$F76)^3.5+O76/(1+$F76)^4.5+P76/(1+F76)^5.5+Q76/(1+$F76)^5.5)</f>
        <v>44.633607719675908</v>
      </c>
      <c r="E76" s="305">
        <f t="shared" ref="E76" si="66">C76-D76</f>
        <v>-1.0771967590983422E-4</v>
      </c>
      <c r="F76" s="84">
        <v>8.2078444581092341E-2</v>
      </c>
      <c r="G76" s="89">
        <f>+G17</f>
        <v>1.59</v>
      </c>
      <c r="H76" s="117">
        <f t="shared" ref="H76" si="67">G76/C76</f>
        <v>3.5623466678615844E-2</v>
      </c>
      <c r="I76" s="117">
        <f t="shared" si="57"/>
        <v>5.5E-2</v>
      </c>
      <c r="J76" s="117">
        <f t="shared" si="57"/>
        <v>0.03</v>
      </c>
      <c r="K76" s="79">
        <f t="shared" ref="K76" si="68">G76*(1+$J76/2)</f>
        <v>1.61385</v>
      </c>
      <c r="L76" s="79">
        <f t="shared" ref="L76" si="69">K76*(1+$J76)</f>
        <v>1.6622655</v>
      </c>
      <c r="M76" s="79">
        <f t="shared" ref="M76" si="70">L76*(1+$J76)</f>
        <v>1.712133465</v>
      </c>
      <c r="N76" s="79">
        <f t="shared" ref="N76" si="71">M76*(1+$J76)</f>
        <v>1.76349746895</v>
      </c>
      <c r="O76" s="79">
        <f t="shared" ref="O76" si="72">N76*(1+$J76)</f>
        <v>1.8164023930185</v>
      </c>
      <c r="P76" s="79">
        <f t="shared" ref="P76" si="73">O76*(1+$J76)</f>
        <v>1.8708944648090551</v>
      </c>
      <c r="Q76" s="79">
        <f t="shared" ref="Q76" si="74">P76/($F76-$I76*0.75-$J76*0.25)</f>
        <v>56.135066857288557</v>
      </c>
      <c r="R76" s="79"/>
      <c r="S76" s="79"/>
      <c r="T76" s="79"/>
    </row>
    <row r="77" spans="2:20">
      <c r="B77" s="79" t="str">
        <f t="shared" ref="B77:B80" si="75">+B44</f>
        <v>Northwest Nat. Gas</v>
      </c>
      <c r="C77" s="89">
        <f>+'1.3 SR DCF SS'!B56</f>
        <v>42.276000000000003</v>
      </c>
      <c r="D77" s="114">
        <f t="shared" si="54"/>
        <v>42.275831621595657</v>
      </c>
      <c r="E77" s="305">
        <f t="shared" si="55"/>
        <v>1.6837840434646978E-4</v>
      </c>
      <c r="F77" s="84">
        <v>8.1675206705554865E-2</v>
      </c>
      <c r="G77" s="89">
        <f t="shared" ref="G77:G80" si="76">+G18</f>
        <v>1.84</v>
      </c>
      <c r="H77" s="117">
        <f t="shared" si="56"/>
        <v>4.3523512158198503E-2</v>
      </c>
      <c r="I77" s="117">
        <f t="shared" ref="I77:J80" si="77">+I18</f>
        <v>4.4999999999999998E-2</v>
      </c>
      <c r="J77" s="117">
        <f t="shared" si="77"/>
        <v>2.5000000000000001E-2</v>
      </c>
      <c r="K77" s="79">
        <f t="shared" si="63"/>
        <v>1.863</v>
      </c>
      <c r="L77" s="79">
        <f t="shared" si="58"/>
        <v>1.9095749999999998</v>
      </c>
      <c r="M77" s="79">
        <f t="shared" si="59"/>
        <v>1.9573143749999997</v>
      </c>
      <c r="N77" s="79">
        <f t="shared" si="60"/>
        <v>2.0062472343749995</v>
      </c>
      <c r="O77" s="79">
        <f t="shared" si="61"/>
        <v>2.0564034152343744</v>
      </c>
      <c r="P77" s="79">
        <f t="shared" si="62"/>
        <v>2.1078135006152334</v>
      </c>
      <c r="Q77" s="79">
        <f t="shared" si="64"/>
        <v>50.577157673324372</v>
      </c>
      <c r="R77" s="79"/>
      <c r="S77" s="79"/>
      <c r="T77" s="79"/>
    </row>
    <row r="78" spans="2:20">
      <c r="B78" s="79" t="str">
        <f t="shared" si="75"/>
        <v>Piedmont Natural Gas</v>
      </c>
      <c r="C78" s="89">
        <f>+'1.3 SR DCF SS'!B57</f>
        <v>32.444000000000003</v>
      </c>
      <c r="D78" s="114">
        <f t="shared" si="54"/>
        <v>32.444033338880409</v>
      </c>
      <c r="E78" s="305">
        <f t="shared" si="55"/>
        <v>-3.3338880406574845E-5</v>
      </c>
      <c r="F78" s="84">
        <v>7.8388852855654931E-2</v>
      </c>
      <c r="G78" s="89">
        <f t="shared" si="76"/>
        <v>1.24</v>
      </c>
      <c r="H78" s="117">
        <f t="shared" si="56"/>
        <v>3.8219701639748485E-2</v>
      </c>
      <c r="I78" s="117">
        <f t="shared" si="77"/>
        <v>4.4999999999999998E-2</v>
      </c>
      <c r="J78" s="117">
        <f t="shared" si="77"/>
        <v>0.03</v>
      </c>
      <c r="K78" s="79">
        <f t="shared" si="63"/>
        <v>1.2585999999999999</v>
      </c>
      <c r="L78" s="79">
        <f t="shared" si="58"/>
        <v>1.2963579999999999</v>
      </c>
      <c r="M78" s="79">
        <f t="shared" si="59"/>
        <v>1.3352487399999999</v>
      </c>
      <c r="N78" s="79">
        <f t="shared" si="60"/>
        <v>1.3753062022</v>
      </c>
      <c r="O78" s="79">
        <f t="shared" si="61"/>
        <v>1.4165653882660001</v>
      </c>
      <c r="P78" s="79">
        <f t="shared" si="62"/>
        <v>1.4590623499139801</v>
      </c>
      <c r="Q78" s="79">
        <f t="shared" si="64"/>
        <v>39.286683290537248</v>
      </c>
      <c r="R78" s="79"/>
      <c r="S78" s="79"/>
      <c r="T78" s="79"/>
    </row>
    <row r="79" spans="2:20">
      <c r="B79" s="79" t="str">
        <f t="shared" si="75"/>
        <v>South Jersey Inds.</v>
      </c>
      <c r="C79" s="89">
        <f>+'1.3 SR DCF SS'!B58</f>
        <v>55.3035</v>
      </c>
      <c r="D79" s="114">
        <f t="shared" si="54"/>
        <v>55.303655319177629</v>
      </c>
      <c r="E79" s="305">
        <f t="shared" si="55"/>
        <v>-1.5531917762956482E-4</v>
      </c>
      <c r="F79" s="84">
        <v>0.11246770113888814</v>
      </c>
      <c r="G79" s="89">
        <f t="shared" si="76"/>
        <v>1.8120000000000001</v>
      </c>
      <c r="H79" s="117">
        <f t="shared" si="56"/>
        <v>3.2764653231712279E-2</v>
      </c>
      <c r="I79" s="117">
        <f t="shared" si="77"/>
        <v>7.4999999999999997E-2</v>
      </c>
      <c r="J79" s="117">
        <f t="shared" si="77"/>
        <v>8.5000000000000006E-2</v>
      </c>
      <c r="K79" s="79">
        <f t="shared" si="63"/>
        <v>1.8890100000000001</v>
      </c>
      <c r="L79" s="79">
        <f t="shared" si="58"/>
        <v>2.0495758500000001</v>
      </c>
      <c r="M79" s="79">
        <f t="shared" si="59"/>
        <v>2.2237897972499998</v>
      </c>
      <c r="N79" s="79">
        <f t="shared" si="60"/>
        <v>2.4128119300162498</v>
      </c>
      <c r="O79" s="79">
        <f t="shared" si="61"/>
        <v>2.6179009440676309</v>
      </c>
      <c r="P79" s="79">
        <f t="shared" si="62"/>
        <v>2.8404225243133796</v>
      </c>
      <c r="Q79" s="79">
        <f t="shared" si="64"/>
        <v>81.229890207294758</v>
      </c>
      <c r="R79" s="79"/>
      <c r="S79" s="79"/>
      <c r="T79" s="79"/>
    </row>
    <row r="80" spans="2:20">
      <c r="B80" s="79" t="str">
        <f t="shared" si="75"/>
        <v>Southwest Gas</v>
      </c>
      <c r="C80" s="89">
        <f>+'1.3 SR DCF SS'!B59</f>
        <v>53.247</v>
      </c>
      <c r="D80" s="114">
        <f t="shared" si="54"/>
        <v>53.24677190904702</v>
      </c>
      <c r="E80" s="305">
        <f t="shared" si="55"/>
        <v>2.2809095298015336E-4</v>
      </c>
      <c r="F80" s="84">
        <v>0.10098779123434401</v>
      </c>
      <c r="G80" s="89">
        <f t="shared" si="76"/>
        <v>1.27</v>
      </c>
      <c r="H80" s="117">
        <f t="shared" si="56"/>
        <v>2.3851108982665691E-2</v>
      </c>
      <c r="I80" s="117">
        <f t="shared" si="77"/>
        <v>0.08</v>
      </c>
      <c r="J80" s="117">
        <f t="shared" si="77"/>
        <v>7.0000000000000007E-2</v>
      </c>
      <c r="K80" s="79">
        <f t="shared" si="63"/>
        <v>1.3144499999999999</v>
      </c>
      <c r="L80" s="79">
        <f t="shared" si="58"/>
        <v>1.4064615</v>
      </c>
      <c r="M80" s="79">
        <f t="shared" si="59"/>
        <v>1.5049138050000002</v>
      </c>
      <c r="N80" s="79">
        <f t="shared" si="60"/>
        <v>1.6102577713500004</v>
      </c>
      <c r="O80" s="79">
        <f t="shared" si="61"/>
        <v>1.7229758153445005</v>
      </c>
      <c r="P80" s="79">
        <f t="shared" si="62"/>
        <v>1.8435841224186156</v>
      </c>
      <c r="Q80" s="79">
        <f t="shared" si="64"/>
        <v>78.491166071116737</v>
      </c>
      <c r="R80" s="79"/>
      <c r="S80" s="79"/>
      <c r="T80" s="79"/>
    </row>
    <row r="81" spans="2:20">
      <c r="B81" s="79" t="str">
        <f>+B48</f>
        <v>WGL Holdings</v>
      </c>
      <c r="C81" s="89">
        <f>+'1.3 SR DCF SS'!B60</f>
        <v>39.097999999999999</v>
      </c>
      <c r="D81" s="114">
        <f t="shared" ref="D81" si="78">(K81/(1+$F81)^0.5+L81/(1+$F81)^1.5+M81/(1+$F81)^2.5+N81/(1+$F81)^3.5+O81/(1+$F81)^4.5+P81/(1+F81)^5.5+Q81/(1+$F81)^5.5)</f>
        <v>39.098076263320507</v>
      </c>
      <c r="E81" s="305">
        <f t="shared" ref="E81" si="79">C81-D81</f>
        <v>-7.6263320508473953E-5</v>
      </c>
      <c r="F81" s="84">
        <v>7.3854268105891435E-2</v>
      </c>
      <c r="G81" s="89">
        <f>+G22</f>
        <v>1.6322000000000001</v>
      </c>
      <c r="H81" s="117">
        <f t="shared" ref="H81" si="80">G81/C81</f>
        <v>4.1746380889048036E-2</v>
      </c>
      <c r="I81" s="117">
        <f>+I22</f>
        <v>3.5000000000000003E-2</v>
      </c>
      <c r="J81" s="117">
        <f>+J22</f>
        <v>2.5000000000000001E-2</v>
      </c>
      <c r="K81" s="79">
        <f t="shared" ref="K81" si="81">G81*(1+$J81/2)</f>
        <v>1.6526025</v>
      </c>
      <c r="L81" s="79">
        <f t="shared" ref="L81" si="82">K81*(1+$J81)</f>
        <v>1.6939175624999998</v>
      </c>
      <c r="M81" s="79">
        <f t="shared" ref="M81" si="83">L81*(1+$J81)</f>
        <v>1.7362655015624997</v>
      </c>
      <c r="N81" s="79">
        <f t="shared" ref="N81" si="84">M81*(1+$J81)</f>
        <v>1.779672139101562</v>
      </c>
      <c r="O81" s="79">
        <f t="shared" ref="O81" si="85">N81*(1+$J81)</f>
        <v>1.8241639425791008</v>
      </c>
      <c r="P81" s="79">
        <f t="shared" ref="P81" si="86">O81*(1+$J81)</f>
        <v>1.8697680411435782</v>
      </c>
      <c r="Q81" s="79">
        <f t="shared" ref="Q81" si="87">P81/($F81-$I81*0.75-$J81*0.25)</f>
        <v>45.213423590422735</v>
      </c>
      <c r="R81" s="79"/>
      <c r="S81" s="79"/>
      <c r="T81" s="79"/>
    </row>
    <row r="82" spans="2:20">
      <c r="B82" s="79"/>
      <c r="C82" s="79"/>
      <c r="D82" s="114"/>
      <c r="E82" s="114"/>
      <c r="F82" s="84"/>
      <c r="G82" s="79"/>
      <c r="H82" s="81"/>
      <c r="I82" s="82"/>
      <c r="J82" s="81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322" t="s">
        <v>77</v>
      </c>
      <c r="C83" s="79"/>
      <c r="D83" s="114"/>
      <c r="E83" s="114"/>
      <c r="F83" s="84">
        <f>AVERAGE(F73:F82)</f>
        <v>8.9532457780123309E-2</v>
      </c>
      <c r="G83" s="79"/>
      <c r="H83" s="84">
        <f>AVERAGE(H73:H82)</f>
        <v>3.6173779444122679E-2</v>
      </c>
      <c r="I83" s="84">
        <f>AVERAGE(I73:I82)</f>
        <v>6.0000000000000005E-2</v>
      </c>
      <c r="J83" s="84">
        <f>AVERAGE(J73:J82)</f>
        <v>4.0000000000000008E-2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322" t="s">
        <v>43</v>
      </c>
      <c r="C84" s="79"/>
      <c r="D84" s="79"/>
      <c r="E84" s="79"/>
      <c r="F84" s="84">
        <f>STDEV(F73:F80)</f>
        <v>1.5856404155958924E-2</v>
      </c>
      <c r="G84" s="79"/>
      <c r="H84" s="84"/>
      <c r="I84" s="84"/>
      <c r="J84" s="84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322" t="s">
        <v>21</v>
      </c>
      <c r="C85" s="79"/>
      <c r="D85" s="79"/>
      <c r="E85" s="79"/>
      <c r="F85" s="84">
        <f>+MEDIAN(F73:F82)</f>
        <v>8.2078444581092341E-2</v>
      </c>
      <c r="G85" s="79"/>
      <c r="H85" s="84"/>
      <c r="I85" s="84"/>
      <c r="J85" s="84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322"/>
      <c r="C86" s="79"/>
      <c r="D86" s="79"/>
      <c r="E86" s="79"/>
      <c r="F86" s="79"/>
      <c r="G86" s="79"/>
      <c r="H86" s="84"/>
      <c r="I86" s="79"/>
      <c r="J86" s="79"/>
      <c r="K86" s="84"/>
      <c r="L86" s="79"/>
      <c r="M86" s="79"/>
      <c r="N86" s="79"/>
      <c r="O86" s="79"/>
      <c r="P86" s="79"/>
      <c r="Q86" s="79"/>
      <c r="R86" s="79"/>
      <c r="S86" s="79"/>
      <c r="T86" s="79"/>
    </row>
    <row r="87" spans="2:20" ht="15.75">
      <c r="B87" s="653" t="s">
        <v>42</v>
      </c>
      <c r="C87" s="79"/>
      <c r="D87" s="552"/>
      <c r="E87" s="552"/>
      <c r="F87" s="552">
        <f>F83</f>
        <v>8.9532457780123309E-2</v>
      </c>
      <c r="G87" s="242"/>
      <c r="H87" s="552"/>
      <c r="I87" s="79"/>
      <c r="J87" s="79"/>
      <c r="K87" s="84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114"/>
      <c r="N88" s="114"/>
      <c r="O88" s="79"/>
      <c r="P88" s="79"/>
      <c r="Q88" s="79"/>
      <c r="R88" s="79"/>
      <c r="S88" s="79"/>
      <c r="T88" s="79"/>
    </row>
    <row r="89" spans="2:20">
      <c r="B89" s="79"/>
      <c r="C89" s="83" t="s">
        <v>141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14"/>
      <c r="P89" s="114"/>
      <c r="Q89" s="79"/>
      <c r="R89" s="79"/>
      <c r="S89" s="79"/>
      <c r="T89" s="79"/>
    </row>
    <row r="90" spans="2:20">
      <c r="B90" s="79"/>
      <c r="C90" s="79" t="s">
        <v>100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14"/>
      <c r="P90" s="114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14"/>
      <c r="P91" s="114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14"/>
      <c r="P92" s="650"/>
      <c r="Q92" s="79"/>
      <c r="R92" s="79"/>
      <c r="S92" s="79"/>
      <c r="T92" s="79"/>
    </row>
    <row r="93" spans="2:20" ht="15.75">
      <c r="B93" s="546" t="s">
        <v>235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544"/>
      <c r="P93" s="322"/>
      <c r="Q93" s="651"/>
      <c r="R93" s="79"/>
      <c r="S93" s="79"/>
      <c r="T93" s="79"/>
    </row>
    <row r="94" spans="2:20" ht="15.75">
      <c r="B94" s="547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544"/>
      <c r="P94" s="544"/>
      <c r="Q94" s="651"/>
      <c r="R94" s="79"/>
      <c r="S94" s="79"/>
      <c r="T94" s="79"/>
    </row>
    <row r="95" spans="2:20">
      <c r="B95" s="79"/>
      <c r="C95" s="132" t="str">
        <f>+C69</f>
        <v xml:space="preserve">30 Day </v>
      </c>
      <c r="D95" s="133"/>
      <c r="E95" s="133"/>
      <c r="F95" s="132" t="s">
        <v>45</v>
      </c>
      <c r="G95" s="133"/>
      <c r="H95" s="132" t="s">
        <v>40</v>
      </c>
      <c r="I95" s="132" t="str">
        <f>+I69</f>
        <v>VL Projected</v>
      </c>
      <c r="J95" s="132" t="str">
        <f>+J69</f>
        <v>VL Projected</v>
      </c>
      <c r="K95" s="551"/>
      <c r="L95" s="133"/>
      <c r="M95" s="132"/>
      <c r="N95" s="133"/>
      <c r="O95" s="133"/>
      <c r="P95" s="133"/>
      <c r="Q95" s="133"/>
      <c r="R95" s="79"/>
      <c r="S95" s="79"/>
      <c r="T95" s="79"/>
    </row>
    <row r="96" spans="2:20">
      <c r="B96" s="79"/>
      <c r="C96" s="548" t="str">
        <f>C70</f>
        <v>Average</v>
      </c>
      <c r="D96" s="549" t="s">
        <v>44</v>
      </c>
      <c r="E96" s="549"/>
      <c r="F96" s="132" t="s">
        <v>63</v>
      </c>
      <c r="G96" s="132" t="s">
        <v>22</v>
      </c>
      <c r="H96" s="132" t="s">
        <v>41</v>
      </c>
      <c r="I96" s="132" t="s">
        <v>64</v>
      </c>
      <c r="J96" s="132" t="s">
        <v>65</v>
      </c>
      <c r="K96" s="132" t="s">
        <v>23</v>
      </c>
      <c r="L96" s="132" t="s">
        <v>23</v>
      </c>
      <c r="M96" s="132" t="s">
        <v>23</v>
      </c>
      <c r="N96" s="132" t="s">
        <v>23</v>
      </c>
      <c r="O96" s="132" t="s">
        <v>23</v>
      </c>
      <c r="P96" s="132" t="s">
        <v>51</v>
      </c>
      <c r="Q96" s="132" t="s">
        <v>51</v>
      </c>
      <c r="R96" s="79"/>
      <c r="S96" s="79"/>
      <c r="T96" s="79"/>
    </row>
    <row r="97" spans="2:20">
      <c r="B97" s="544" t="s">
        <v>3</v>
      </c>
      <c r="C97" s="132" t="s">
        <v>4</v>
      </c>
      <c r="D97" s="549" t="s">
        <v>37</v>
      </c>
      <c r="E97" s="549" t="s">
        <v>53</v>
      </c>
      <c r="F97" s="132" t="s">
        <v>24</v>
      </c>
      <c r="G97" s="132" t="s">
        <v>23</v>
      </c>
      <c r="H97" s="132" t="s">
        <v>37</v>
      </c>
      <c r="I97" s="132" t="s">
        <v>26</v>
      </c>
      <c r="J97" s="132" t="s">
        <v>26</v>
      </c>
      <c r="K97" s="132" t="s">
        <v>46</v>
      </c>
      <c r="L97" s="132" t="s">
        <v>47</v>
      </c>
      <c r="M97" s="132" t="s">
        <v>48</v>
      </c>
      <c r="N97" s="132" t="s">
        <v>49</v>
      </c>
      <c r="O97" s="132" t="s">
        <v>50</v>
      </c>
      <c r="P97" s="132" t="s">
        <v>23</v>
      </c>
      <c r="Q97" s="132" t="s">
        <v>52</v>
      </c>
      <c r="R97" s="79"/>
      <c r="S97" s="79"/>
      <c r="T97" s="79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652"/>
      <c r="P98" s="652"/>
      <c r="Q98" s="81"/>
      <c r="R98" s="79"/>
      <c r="S98" s="79"/>
      <c r="T98" s="79"/>
    </row>
    <row r="99" spans="2:20">
      <c r="B99" s="79" t="str">
        <f t="shared" ref="B99:C102" si="88">B73</f>
        <v>AGL Resources</v>
      </c>
      <c r="C99" s="89">
        <f t="shared" si="88"/>
        <v>46.103000000000002</v>
      </c>
      <c r="D99" s="89">
        <f t="shared" ref="D99:D106" si="89">(K99/(1+$F99)^0.5+L99/(1+$F99)^1.5+M99/(1+$F99)^2.5+N99/(1+$F99)^3.5+O99/(1+$F99)^4.5+P99/(1+F99)^5.5+Q99/(1+$F99)^5.5)</f>
        <v>46.102888834477561</v>
      </c>
      <c r="E99" s="305">
        <f t="shared" ref="E99:E106" si="90">C99-D99</f>
        <v>1.1116552244061495E-4</v>
      </c>
      <c r="F99" s="117">
        <v>0.12369888702348315</v>
      </c>
      <c r="G99" s="89">
        <f t="shared" ref="G99:J102" si="91">G73</f>
        <v>1.861</v>
      </c>
      <c r="H99" s="117">
        <f t="shared" si="91"/>
        <v>4.036613669392447E-2</v>
      </c>
      <c r="I99" s="117">
        <f t="shared" si="91"/>
        <v>0.09</v>
      </c>
      <c r="J99" s="117">
        <f t="shared" si="91"/>
        <v>4.4999999999999998E-2</v>
      </c>
      <c r="K99" s="79">
        <f>G99*(1+$J99/2)</f>
        <v>1.9028725</v>
      </c>
      <c r="L99" s="79">
        <f>K99*(1+$J99)</f>
        <v>1.9885017624999999</v>
      </c>
      <c r="M99" s="79">
        <f t="shared" ref="M99:M106" si="92">L99*(1+$J99)</f>
        <v>2.0779843418124999</v>
      </c>
      <c r="N99" s="79">
        <f t="shared" ref="N99:N106" si="93">M99*(1+$J99)</f>
        <v>2.1714936371940623</v>
      </c>
      <c r="O99" s="79">
        <f t="shared" ref="O99:O106" si="94">N99*(1+$J99)</f>
        <v>2.2692108508677951</v>
      </c>
      <c r="P99" s="79">
        <f t="shared" ref="P99:P106" si="95">O99*(1+$J99)</f>
        <v>2.3713253391568458</v>
      </c>
      <c r="Q99" s="79">
        <f t="shared" ref="Q99:Q106" si="96">P99/($F99-I99)</f>
        <v>70.368061043214325</v>
      </c>
      <c r="R99" s="79"/>
      <c r="S99" s="79"/>
      <c r="T99" s="79"/>
    </row>
    <row r="100" spans="2:20">
      <c r="B100" s="79" t="str">
        <f t="shared" si="88"/>
        <v>Atmos Energy</v>
      </c>
      <c r="C100" s="89">
        <f t="shared" si="88"/>
        <v>44.470999999999997</v>
      </c>
      <c r="D100" s="89">
        <f t="shared" si="89"/>
        <v>44.470945975614072</v>
      </c>
      <c r="E100" s="305">
        <f t="shared" si="90"/>
        <v>5.4024385924833496E-5</v>
      </c>
      <c r="F100" s="117">
        <v>8.1461678962591641E-2</v>
      </c>
      <c r="G100" s="89">
        <f t="shared" si="91"/>
        <v>1.4049999999999998</v>
      </c>
      <c r="H100" s="117">
        <f t="shared" si="91"/>
        <v>3.15936228103708E-2</v>
      </c>
      <c r="I100" s="117">
        <f t="shared" si="91"/>
        <v>5.5E-2</v>
      </c>
      <c r="J100" s="117">
        <f t="shared" si="91"/>
        <v>1.4999999999999999E-2</v>
      </c>
      <c r="K100" s="79">
        <f t="shared" ref="K100:K106" si="97">G100*(1+$J100/2)</f>
        <v>1.4155374999999999</v>
      </c>
      <c r="L100" s="79">
        <f t="shared" ref="L100:L106" si="98">K100*(1+$J100)</f>
        <v>1.4367705624999998</v>
      </c>
      <c r="M100" s="79">
        <f t="shared" si="92"/>
        <v>1.4583221209374997</v>
      </c>
      <c r="N100" s="79">
        <f t="shared" si="93"/>
        <v>1.4801969527515619</v>
      </c>
      <c r="O100" s="79">
        <f t="shared" si="94"/>
        <v>1.5023999070428353</v>
      </c>
      <c r="P100" s="79">
        <f t="shared" si="95"/>
        <v>1.5249359056484777</v>
      </c>
      <c r="Q100" s="79">
        <f t="shared" si="96"/>
        <v>57.62808579925143</v>
      </c>
      <c r="R100" s="79"/>
      <c r="S100" s="79"/>
      <c r="T100" s="79"/>
    </row>
    <row r="101" spans="2:20">
      <c r="B101" s="79" t="str">
        <f t="shared" si="88"/>
        <v>Laclede Group</v>
      </c>
      <c r="C101" s="89">
        <f t="shared" si="88"/>
        <v>45.148000000000003</v>
      </c>
      <c r="D101" s="89">
        <f t="shared" si="89"/>
        <v>45.147736362000714</v>
      </c>
      <c r="E101" s="305">
        <f t="shared" si="90"/>
        <v>2.6363799928930121E-4</v>
      </c>
      <c r="F101" s="117">
        <v>9.4517116439995302E-2</v>
      </c>
      <c r="G101" s="89">
        <f t="shared" si="91"/>
        <v>1.71</v>
      </c>
      <c r="H101" s="117">
        <f t="shared" si="91"/>
        <v>3.7875431912820057E-2</v>
      </c>
      <c r="I101" s="117">
        <f t="shared" si="91"/>
        <v>0.06</v>
      </c>
      <c r="J101" s="117">
        <f t="shared" si="91"/>
        <v>3.5000000000000003E-2</v>
      </c>
      <c r="K101" s="79">
        <f t="shared" si="97"/>
        <v>1.7399250000000002</v>
      </c>
      <c r="L101" s="79">
        <f t="shared" si="98"/>
        <v>1.8008223750000001</v>
      </c>
      <c r="M101" s="79">
        <f t="shared" si="92"/>
        <v>1.8638511581249999</v>
      </c>
      <c r="N101" s="79">
        <f t="shared" si="93"/>
        <v>1.9290859486593748</v>
      </c>
      <c r="O101" s="79">
        <f t="shared" si="94"/>
        <v>1.9966039568624527</v>
      </c>
      <c r="P101" s="79">
        <f t="shared" si="95"/>
        <v>2.0664850953526384</v>
      </c>
      <c r="Q101" s="79">
        <f t="shared" si="96"/>
        <v>59.868416266608612</v>
      </c>
      <c r="R101" s="79"/>
      <c r="S101" s="79"/>
      <c r="T101" s="79"/>
    </row>
    <row r="102" spans="2:20">
      <c r="B102" s="79" t="str">
        <f t="shared" si="88"/>
        <v>New Jersey Resources</v>
      </c>
      <c r="C102" s="89">
        <f t="shared" si="88"/>
        <v>44.633499999999998</v>
      </c>
      <c r="D102" s="89">
        <f t="shared" ref="D102" si="99">(K102/(1+$F102)^0.5+L102/(1+$F102)^1.5+M102/(1+$F102)^2.5+N102/(1+$F102)^3.5+O102/(1+$F102)^4.5+P102/(1+F102)^5.5+Q102/(1+$F102)^5.5)</f>
        <v>44.633622228086899</v>
      </c>
      <c r="E102" s="305">
        <f t="shared" ref="E102" si="100">C102-D102</f>
        <v>-1.2222808690154352E-4</v>
      </c>
      <c r="F102" s="117">
        <v>8.7348646072938269E-2</v>
      </c>
      <c r="G102" s="89">
        <f t="shared" si="91"/>
        <v>1.59</v>
      </c>
      <c r="H102" s="117">
        <f t="shared" si="91"/>
        <v>3.5623466678615844E-2</v>
      </c>
      <c r="I102" s="117">
        <f t="shared" si="91"/>
        <v>5.5E-2</v>
      </c>
      <c r="J102" s="117">
        <f t="shared" si="91"/>
        <v>0.03</v>
      </c>
      <c r="K102" s="79">
        <f t="shared" ref="K102" si="101">G102*(1+$J102/2)</f>
        <v>1.61385</v>
      </c>
      <c r="L102" s="79">
        <f t="shared" ref="L102" si="102">K102*(1+$J102)</f>
        <v>1.6622655</v>
      </c>
      <c r="M102" s="79">
        <f t="shared" ref="M102" si="103">L102*(1+$J102)</f>
        <v>1.712133465</v>
      </c>
      <c r="N102" s="79">
        <f t="shared" ref="N102" si="104">M102*(1+$J102)</f>
        <v>1.76349746895</v>
      </c>
      <c r="O102" s="79">
        <f t="shared" ref="O102" si="105">N102*(1+$J102)</f>
        <v>1.8164023930185</v>
      </c>
      <c r="P102" s="79">
        <f t="shared" ref="P102" si="106">O102*(1+$J102)</f>
        <v>1.8708944648090551</v>
      </c>
      <c r="Q102" s="79">
        <f t="shared" ref="Q102" si="107">P102/($F102-I102)</f>
        <v>57.835325181481991</v>
      </c>
      <c r="R102" s="79"/>
      <c r="S102" s="79"/>
      <c r="T102" s="79"/>
    </row>
    <row r="103" spans="2:20">
      <c r="B103" s="79" t="str">
        <f t="shared" ref="B103:C106" si="108">B77</f>
        <v>Northwest Nat. Gas</v>
      </c>
      <c r="C103" s="89">
        <f t="shared" si="108"/>
        <v>42.276000000000003</v>
      </c>
      <c r="D103" s="89">
        <f t="shared" si="89"/>
        <v>42.275869403479312</v>
      </c>
      <c r="E103" s="305">
        <f t="shared" si="90"/>
        <v>1.3059652069102867E-4</v>
      </c>
      <c r="F103" s="117">
        <v>8.5707994412665203E-2</v>
      </c>
      <c r="G103" s="89">
        <f t="shared" ref="G103:J106" si="109">G77</f>
        <v>1.84</v>
      </c>
      <c r="H103" s="117">
        <f t="shared" si="109"/>
        <v>4.3523512158198503E-2</v>
      </c>
      <c r="I103" s="117">
        <f t="shared" si="109"/>
        <v>4.4999999999999998E-2</v>
      </c>
      <c r="J103" s="117">
        <f t="shared" si="109"/>
        <v>2.5000000000000001E-2</v>
      </c>
      <c r="K103" s="79">
        <f t="shared" si="97"/>
        <v>1.863</v>
      </c>
      <c r="L103" s="79">
        <f t="shared" si="98"/>
        <v>1.9095749999999998</v>
      </c>
      <c r="M103" s="79">
        <f t="shared" si="92"/>
        <v>1.9573143749999997</v>
      </c>
      <c r="N103" s="79">
        <f t="shared" si="93"/>
        <v>2.0062472343749995</v>
      </c>
      <c r="O103" s="79">
        <f t="shared" si="94"/>
        <v>2.0564034152343744</v>
      </c>
      <c r="P103" s="79">
        <f t="shared" si="95"/>
        <v>2.1078135006152334</v>
      </c>
      <c r="Q103" s="79">
        <f t="shared" si="96"/>
        <v>51.778858944705064</v>
      </c>
      <c r="R103" s="79"/>
      <c r="S103" s="79"/>
      <c r="T103" s="79"/>
    </row>
    <row r="104" spans="2:20">
      <c r="B104" s="79" t="str">
        <f t="shared" si="108"/>
        <v>Piedmont Natural Gas</v>
      </c>
      <c r="C104" s="89">
        <f t="shared" si="108"/>
        <v>32.444000000000003</v>
      </c>
      <c r="D104" s="89">
        <f t="shared" si="89"/>
        <v>32.444038031410543</v>
      </c>
      <c r="E104" s="305">
        <f t="shared" si="90"/>
        <v>-3.8031410539929311E-5</v>
      </c>
      <c r="F104" s="117">
        <v>8.1483409475503935E-2</v>
      </c>
      <c r="G104" s="89">
        <f t="shared" si="109"/>
        <v>1.24</v>
      </c>
      <c r="H104" s="117">
        <f t="shared" si="109"/>
        <v>3.8219701639748485E-2</v>
      </c>
      <c r="I104" s="117">
        <f t="shared" si="109"/>
        <v>4.4999999999999998E-2</v>
      </c>
      <c r="J104" s="117">
        <f t="shared" si="109"/>
        <v>0.03</v>
      </c>
      <c r="K104" s="79">
        <f t="shared" si="97"/>
        <v>1.2585999999999999</v>
      </c>
      <c r="L104" s="79">
        <f t="shared" si="98"/>
        <v>1.2963579999999999</v>
      </c>
      <c r="M104" s="79">
        <f t="shared" si="92"/>
        <v>1.3352487399999999</v>
      </c>
      <c r="N104" s="79">
        <f t="shared" si="93"/>
        <v>1.3753062022</v>
      </c>
      <c r="O104" s="79">
        <f t="shared" si="94"/>
        <v>1.4165653882660001</v>
      </c>
      <c r="P104" s="79">
        <f t="shared" si="95"/>
        <v>1.4590623499139801</v>
      </c>
      <c r="Q104" s="79">
        <f t="shared" si="96"/>
        <v>39.992488939216017</v>
      </c>
      <c r="R104" s="79"/>
      <c r="S104" s="79"/>
      <c r="T104" s="79"/>
    </row>
    <row r="105" spans="2:20">
      <c r="B105" s="79" t="str">
        <f t="shared" si="108"/>
        <v>South Jersey Inds.</v>
      </c>
      <c r="C105" s="89">
        <f t="shared" si="108"/>
        <v>55.3035</v>
      </c>
      <c r="D105" s="89">
        <f t="shared" si="89"/>
        <v>55.303690878432988</v>
      </c>
      <c r="E105" s="305">
        <f t="shared" si="90"/>
        <v>-1.9087843298848384E-4</v>
      </c>
      <c r="F105" s="117">
        <v>0.1103753554467472</v>
      </c>
      <c r="G105" s="89">
        <f t="shared" si="109"/>
        <v>1.8120000000000001</v>
      </c>
      <c r="H105" s="117">
        <f t="shared" si="109"/>
        <v>3.2764653231712279E-2</v>
      </c>
      <c r="I105" s="117">
        <f t="shared" si="109"/>
        <v>7.4999999999999997E-2</v>
      </c>
      <c r="J105" s="117">
        <f t="shared" si="109"/>
        <v>8.5000000000000006E-2</v>
      </c>
      <c r="K105" s="79">
        <f t="shared" si="97"/>
        <v>1.8890100000000001</v>
      </c>
      <c r="L105" s="79">
        <f t="shared" si="98"/>
        <v>2.0495758500000001</v>
      </c>
      <c r="M105" s="79">
        <f t="shared" si="92"/>
        <v>2.2237897972499998</v>
      </c>
      <c r="N105" s="79">
        <f t="shared" si="93"/>
        <v>2.4128119300162498</v>
      </c>
      <c r="O105" s="79">
        <f t="shared" si="94"/>
        <v>2.6179009440676309</v>
      </c>
      <c r="P105" s="79">
        <f t="shared" si="95"/>
        <v>2.8404225243133796</v>
      </c>
      <c r="Q105" s="79">
        <f t="shared" si="96"/>
        <v>80.293822873080387</v>
      </c>
      <c r="R105" s="79"/>
      <c r="S105" s="79"/>
      <c r="T105" s="79"/>
    </row>
    <row r="106" spans="2:20">
      <c r="B106" s="79" t="str">
        <f t="shared" si="108"/>
        <v>Southwest Gas</v>
      </c>
      <c r="C106" s="89">
        <f t="shared" si="108"/>
        <v>53.247</v>
      </c>
      <c r="D106" s="89">
        <f t="shared" si="89"/>
        <v>53.246785011760323</v>
      </c>
      <c r="E106" s="305">
        <f t="shared" si="90"/>
        <v>2.149882396764724E-4</v>
      </c>
      <c r="F106" s="117">
        <v>0.10320835107488385</v>
      </c>
      <c r="G106" s="89">
        <f t="shared" si="109"/>
        <v>1.27</v>
      </c>
      <c r="H106" s="117">
        <f t="shared" si="109"/>
        <v>2.3851108982665691E-2</v>
      </c>
      <c r="I106" s="117">
        <f t="shared" si="109"/>
        <v>0.08</v>
      </c>
      <c r="J106" s="117">
        <f t="shared" si="109"/>
        <v>7.0000000000000007E-2</v>
      </c>
      <c r="K106" s="79">
        <f t="shared" si="97"/>
        <v>1.3144499999999999</v>
      </c>
      <c r="L106" s="79">
        <f t="shared" si="98"/>
        <v>1.4064615</v>
      </c>
      <c r="M106" s="79">
        <f t="shared" si="92"/>
        <v>1.5049138050000002</v>
      </c>
      <c r="N106" s="79">
        <f t="shared" si="93"/>
        <v>1.6102577713500004</v>
      </c>
      <c r="O106" s="79">
        <f t="shared" si="94"/>
        <v>1.7229758153445005</v>
      </c>
      <c r="P106" s="79">
        <f t="shared" si="95"/>
        <v>1.8435841224186156</v>
      </c>
      <c r="Q106" s="79">
        <f t="shared" si="96"/>
        <v>79.436238984412299</v>
      </c>
      <c r="R106" s="79"/>
      <c r="S106" s="79"/>
      <c r="T106" s="79"/>
    </row>
    <row r="107" spans="2:20">
      <c r="B107" s="79" t="str">
        <f>B81</f>
        <v>WGL Holdings</v>
      </c>
      <c r="C107" s="89">
        <f>C81</f>
        <v>39.097999999999999</v>
      </c>
      <c r="D107" s="89">
        <f t="shared" ref="D107" si="110">(K107/(1+$F107)^0.5+L107/(1+$F107)^1.5+M107/(1+$F107)^2.5+N107/(1+$F107)^3.5+O107/(1+$F107)^4.5+P107/(1+F107)^5.5+Q107/(1+$F107)^5.5)</f>
        <v>39.097998434899772</v>
      </c>
      <c r="E107" s="305">
        <f t="shared" ref="E107" si="111">C107-D107</f>
        <v>1.5651002271965808E-6</v>
      </c>
      <c r="F107" s="117">
        <v>7.5869074637835612E-2</v>
      </c>
      <c r="G107" s="89">
        <f>G81</f>
        <v>1.6322000000000001</v>
      </c>
      <c r="H107" s="117">
        <f>H81</f>
        <v>4.1746380889048036E-2</v>
      </c>
      <c r="I107" s="117">
        <f>I81</f>
        <v>3.5000000000000003E-2</v>
      </c>
      <c r="J107" s="117">
        <f>J81</f>
        <v>2.5000000000000001E-2</v>
      </c>
      <c r="K107" s="79">
        <f t="shared" ref="K107" si="112">G107*(1+$J107/2)</f>
        <v>1.6526025</v>
      </c>
      <c r="L107" s="79">
        <f t="shared" ref="L107" si="113">K107*(1+$J107)</f>
        <v>1.6939175624999998</v>
      </c>
      <c r="M107" s="79">
        <f t="shared" ref="M107" si="114">L107*(1+$J107)</f>
        <v>1.7362655015624997</v>
      </c>
      <c r="N107" s="79">
        <f t="shared" ref="N107" si="115">M107*(1+$J107)</f>
        <v>1.779672139101562</v>
      </c>
      <c r="O107" s="79">
        <f t="shared" ref="O107" si="116">N107*(1+$J107)</f>
        <v>1.8241639425791008</v>
      </c>
      <c r="P107" s="79">
        <f t="shared" ref="P107" si="117">O107*(1+$J107)</f>
        <v>1.8697680411435782</v>
      </c>
      <c r="Q107" s="79">
        <f t="shared" ref="Q107" si="118">P107/($F107-I107)</f>
        <v>45.750192724270583</v>
      </c>
      <c r="R107" s="79"/>
      <c r="S107" s="79"/>
      <c r="T107" s="79"/>
    </row>
    <row r="108" spans="2:20">
      <c r="B108" s="79"/>
      <c r="C108" s="79"/>
      <c r="D108" s="114"/>
      <c r="E108" s="114"/>
      <c r="F108" s="84"/>
      <c r="G108" s="79"/>
      <c r="H108" s="81"/>
      <c r="I108" s="82"/>
      <c r="J108" s="81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322" t="s">
        <v>77</v>
      </c>
      <c r="C109" s="79"/>
      <c r="D109" s="114"/>
      <c r="E109" s="114"/>
      <c r="F109" s="84">
        <f>AVERAGE(F99:F108)</f>
        <v>9.374116817184934E-2</v>
      </c>
      <c r="G109" s="79"/>
      <c r="H109" s="84">
        <f>AVERAGE(H99:H108)</f>
        <v>3.6173779444122679E-2</v>
      </c>
      <c r="I109" s="84">
        <f>AVERAGE(I99:I108)</f>
        <v>6.0000000000000005E-2</v>
      </c>
      <c r="J109" s="84">
        <f>AVERAGE(J99:J108)</f>
        <v>4.0000000000000008E-2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322" t="s">
        <v>43</v>
      </c>
      <c r="C110" s="79"/>
      <c r="D110" s="79"/>
      <c r="E110" s="79"/>
      <c r="F110" s="84">
        <f>STDEV(F99:F108)</f>
        <v>1.5772750248217778E-2</v>
      </c>
      <c r="G110" s="79"/>
      <c r="H110" s="84"/>
      <c r="I110" s="84"/>
      <c r="J110" s="84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B111" s="322" t="s">
        <v>21</v>
      </c>
      <c r="C111" s="79"/>
      <c r="D111" s="79"/>
      <c r="E111" s="79"/>
      <c r="F111" s="84">
        <f>+MEDIAN(F99:F106)</f>
        <v>9.0932881256466785E-2</v>
      </c>
      <c r="G111" s="79"/>
      <c r="H111" s="84"/>
      <c r="I111" s="84"/>
      <c r="J111" s="84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>
      <c r="B112" s="322"/>
      <c r="C112" s="79"/>
      <c r="D112" s="79"/>
      <c r="E112" s="79"/>
      <c r="F112" s="79"/>
      <c r="G112" s="79"/>
      <c r="H112" s="84"/>
      <c r="I112" s="79"/>
      <c r="J112" s="79"/>
      <c r="K112" s="84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5.75">
      <c r="B113" s="653" t="s">
        <v>42</v>
      </c>
      <c r="C113" s="79"/>
      <c r="D113" s="552"/>
      <c r="E113" s="552"/>
      <c r="F113" s="552">
        <f>F109</f>
        <v>9.374116817184934E-2</v>
      </c>
      <c r="G113" s="242"/>
      <c r="H113" s="552"/>
      <c r="I113" s="79"/>
      <c r="J113" s="79"/>
      <c r="K113" s="84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114"/>
      <c r="N114" s="114"/>
      <c r="O114" s="79"/>
      <c r="P114" s="79"/>
      <c r="Q114" s="79"/>
      <c r="R114" s="79"/>
      <c r="S114" s="79"/>
      <c r="T114" s="79"/>
    </row>
    <row r="115" spans="2:20">
      <c r="B115" s="79"/>
      <c r="C115" s="83" t="s">
        <v>142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114"/>
      <c r="P115" s="114"/>
      <c r="Q115" s="79"/>
      <c r="R115" s="79"/>
      <c r="S115" s="79"/>
      <c r="T115" s="79"/>
    </row>
    <row r="116" spans="2:20">
      <c r="B116" s="79"/>
      <c r="C116" s="79" t="s">
        <v>100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114"/>
      <c r="P116" s="114"/>
      <c r="Q116" s="79"/>
      <c r="R116" s="79"/>
      <c r="S116" s="79"/>
      <c r="T116" s="79"/>
    </row>
    <row r="117" spans="2:20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114"/>
      <c r="P117" s="114"/>
      <c r="Q117" s="79"/>
      <c r="R117" s="79"/>
      <c r="S117" s="79"/>
      <c r="T117" s="79"/>
    </row>
    <row r="118" spans="2:20">
      <c r="B118" s="79"/>
      <c r="C118" s="497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657"/>
      <c r="P118" s="657"/>
      <c r="Q118" s="497"/>
      <c r="R118" s="497"/>
      <c r="S118" s="497"/>
      <c r="T118" s="79"/>
    </row>
    <row r="119" spans="2:20" ht="18.75">
      <c r="B119" s="654" t="str">
        <f>+B62</f>
        <v>Questar Gas Company</v>
      </c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655"/>
      <c r="P119" s="655"/>
      <c r="Q119" s="490"/>
      <c r="R119" s="79"/>
      <c r="S119" s="79"/>
      <c r="T119" s="79"/>
    </row>
    <row r="120" spans="2:20" ht="15.75">
      <c r="B120" s="656" t="s">
        <v>71</v>
      </c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655"/>
      <c r="P120" s="655"/>
      <c r="Q120" s="490"/>
      <c r="R120" s="79"/>
      <c r="S120" s="79"/>
      <c r="T120" s="79"/>
    </row>
    <row r="121" spans="2:20" ht="15.75">
      <c r="B121" s="489" t="str">
        <f>+B62</f>
        <v>Questar Gas Company</v>
      </c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655"/>
      <c r="P121" s="655"/>
      <c r="Q121" s="490"/>
      <c r="R121" s="79"/>
      <c r="S121" s="79"/>
      <c r="T121" s="79"/>
    </row>
    <row r="122" spans="2:20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114"/>
      <c r="N122" s="114"/>
      <c r="O122" s="79"/>
      <c r="P122" s="79"/>
      <c r="Q122" s="79"/>
      <c r="R122" s="79"/>
      <c r="S122" s="79"/>
      <c r="T122" s="79"/>
    </row>
    <row r="123" spans="2:20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114"/>
      <c r="N123" s="114"/>
      <c r="O123" s="79"/>
      <c r="P123" s="79"/>
      <c r="Q123" s="79"/>
      <c r="R123" s="79"/>
      <c r="S123" s="79"/>
      <c r="T123" s="79"/>
    </row>
    <row r="124" spans="2:20" ht="15.75">
      <c r="B124" s="546" t="s">
        <v>340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544"/>
      <c r="P124" s="544"/>
      <c r="Q124" s="651"/>
      <c r="R124" s="79"/>
      <c r="S124" s="79"/>
      <c r="T124" s="79"/>
    </row>
    <row r="125" spans="2:20" ht="15.75">
      <c r="B125" s="547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544"/>
      <c r="P125" s="544"/>
      <c r="Q125" s="651"/>
      <c r="R125" s="79"/>
      <c r="S125" s="79"/>
      <c r="T125" s="79"/>
    </row>
    <row r="126" spans="2:20">
      <c r="B126" s="79"/>
      <c r="C126" s="132" t="str">
        <f>+C95</f>
        <v xml:space="preserve">30 Day </v>
      </c>
      <c r="D126" s="133"/>
      <c r="E126" s="133"/>
      <c r="F126" s="132" t="s">
        <v>45</v>
      </c>
      <c r="G126" s="133"/>
      <c r="H126" s="132" t="s">
        <v>40</v>
      </c>
      <c r="I126" s="132" t="s">
        <v>27</v>
      </c>
      <c r="J126" s="132" t="s">
        <v>234</v>
      </c>
      <c r="K126" s="551"/>
      <c r="L126" s="133"/>
      <c r="M126" s="132"/>
      <c r="N126" s="133"/>
      <c r="O126" s="133"/>
      <c r="P126" s="133"/>
      <c r="Q126" s="133"/>
      <c r="R126" s="79"/>
      <c r="S126" s="79"/>
      <c r="T126" s="79"/>
    </row>
    <row r="127" spans="2:20">
      <c r="B127" s="79"/>
      <c r="C127" s="484" t="str">
        <f>+C96</f>
        <v>Average</v>
      </c>
      <c r="D127" s="549" t="s">
        <v>44</v>
      </c>
      <c r="E127" s="549"/>
      <c r="F127" s="132" t="s">
        <v>63</v>
      </c>
      <c r="G127" s="132" t="s">
        <v>22</v>
      </c>
      <c r="H127" s="132" t="s">
        <v>41</v>
      </c>
      <c r="I127" s="132" t="s">
        <v>64</v>
      </c>
      <c r="J127" s="132" t="s">
        <v>65</v>
      </c>
      <c r="K127" s="132" t="s">
        <v>23</v>
      </c>
      <c r="L127" s="132" t="s">
        <v>23</v>
      </c>
      <c r="M127" s="132" t="s">
        <v>23</v>
      </c>
      <c r="N127" s="132" t="s">
        <v>23</v>
      </c>
      <c r="O127" s="132" t="s">
        <v>23</v>
      </c>
      <c r="P127" s="132" t="s">
        <v>51</v>
      </c>
      <c r="Q127" s="132" t="s">
        <v>51</v>
      </c>
      <c r="R127" s="79"/>
      <c r="S127" s="79"/>
      <c r="T127" s="79"/>
    </row>
    <row r="128" spans="2:20">
      <c r="B128" s="544" t="s">
        <v>3</v>
      </c>
      <c r="C128" s="132" t="str">
        <f>+C97</f>
        <v>Stock Price</v>
      </c>
      <c r="D128" s="549" t="s">
        <v>37</v>
      </c>
      <c r="E128" s="549" t="s">
        <v>53</v>
      </c>
      <c r="F128" s="132" t="s">
        <v>24</v>
      </c>
      <c r="G128" s="132" t="s">
        <v>23</v>
      </c>
      <c r="H128" s="132" t="s">
        <v>37</v>
      </c>
      <c r="I128" s="132" t="s">
        <v>26</v>
      </c>
      <c r="J128" s="132" t="s">
        <v>26</v>
      </c>
      <c r="K128" s="132" t="s">
        <v>46</v>
      </c>
      <c r="L128" s="132" t="s">
        <v>47</v>
      </c>
      <c r="M128" s="132" t="s">
        <v>48</v>
      </c>
      <c r="N128" s="132" t="s">
        <v>49</v>
      </c>
      <c r="O128" s="132" t="s">
        <v>50</v>
      </c>
      <c r="P128" s="132" t="s">
        <v>23</v>
      </c>
      <c r="Q128" s="132" t="s">
        <v>52</v>
      </c>
      <c r="R128" s="79"/>
      <c r="S128" s="79"/>
      <c r="T128" s="79"/>
    </row>
    <row r="129" spans="2:20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652"/>
      <c r="P129" s="652"/>
      <c r="Q129" s="81"/>
      <c r="R129" s="79"/>
      <c r="S129" s="79"/>
      <c r="T129" s="79"/>
    </row>
    <row r="130" spans="2:20">
      <c r="B130" s="79" t="str">
        <f>+B14</f>
        <v>AGL Resources</v>
      </c>
      <c r="C130" s="89">
        <f>+C73</f>
        <v>46.103000000000002</v>
      </c>
      <c r="D130" s="114">
        <f>(K130/(1+$F130)^0.5+L130/(1+$F130)^1.5+M130/(1+$F130)^2.5+N130/(1+$F130)^3.5+O130/(1+$F130)^4.5+P130/(1+F130)^5.5+Q130/(1+$F130)^5.5)</f>
        <v>46.102968132616176</v>
      </c>
      <c r="E130" s="305">
        <f t="shared" ref="E130:E137" si="119">C130-D130</f>
        <v>3.186738382510157E-5</v>
      </c>
      <c r="F130" s="84">
        <v>8.7956719091423191E-2</v>
      </c>
      <c r="G130" s="89">
        <f>+G14</f>
        <v>1.861</v>
      </c>
      <c r="H130" s="117">
        <f t="shared" ref="H130:H137" si="120">G130/C130</f>
        <v>4.036613669392447E-2</v>
      </c>
      <c r="I130" s="117">
        <f>+'Growth &amp; Beta'!H12</f>
        <v>4.6766666666666672E-2</v>
      </c>
      <c r="J130" s="117">
        <f>+J99</f>
        <v>4.4999999999999998E-2</v>
      </c>
      <c r="K130" s="79">
        <f t="shared" ref="K130:O133" si="121">+K14</f>
        <v>1.9028725</v>
      </c>
      <c r="L130" s="79">
        <f t="shared" si="121"/>
        <v>1.9885017624999999</v>
      </c>
      <c r="M130" s="79">
        <f t="shared" si="121"/>
        <v>2.0779843418124999</v>
      </c>
      <c r="N130" s="79">
        <f t="shared" si="121"/>
        <v>2.1714936371940623</v>
      </c>
      <c r="O130" s="79">
        <f t="shared" si="121"/>
        <v>2.2692108508677951</v>
      </c>
      <c r="P130" s="79">
        <f t="shared" ref="P130:P137" si="122">O130*(1+$J130)</f>
        <v>2.3713253391568458</v>
      </c>
      <c r="Q130" s="79">
        <f>P130/($F130-$I130)-$J130</f>
        <v>57.525340399266028</v>
      </c>
      <c r="R130" s="79"/>
      <c r="S130" s="79"/>
      <c r="T130" s="79"/>
    </row>
    <row r="131" spans="2:20">
      <c r="B131" s="79" t="str">
        <f>+B15</f>
        <v>Atmos Energy</v>
      </c>
      <c r="C131" s="89">
        <f>+C74</f>
        <v>44.470999999999997</v>
      </c>
      <c r="D131" s="114">
        <f t="shared" ref="D131:D137" si="123">(K131/(1+$F131)^0.5+L131/(1+$F131)^1.5+M131/(1+$F131)^2.5+N131/(1+$F131)^3.5+O131/(1+$F131)^4.5+P131/(1+F131)^5.5+Q131/(1+$F131)^5.5)</f>
        <v>44.470954613874298</v>
      </c>
      <c r="E131" s="305">
        <f t="shared" si="119"/>
        <v>4.5386125698598789E-5</v>
      </c>
      <c r="F131" s="84">
        <v>8.7368202331570527E-2</v>
      </c>
      <c r="G131" s="89">
        <f>+G15</f>
        <v>1.4049999999999998</v>
      </c>
      <c r="H131" s="117">
        <f t="shared" si="120"/>
        <v>3.15936228103708E-2</v>
      </c>
      <c r="I131" s="117">
        <f>+'Growth &amp; Beta'!H13</f>
        <v>6.1766666666666664E-2</v>
      </c>
      <c r="J131" s="117">
        <f>+J100</f>
        <v>1.4999999999999999E-2</v>
      </c>
      <c r="K131" s="79">
        <f t="shared" si="121"/>
        <v>1.4155374999999999</v>
      </c>
      <c r="L131" s="79">
        <f t="shared" si="121"/>
        <v>1.4367705624999998</v>
      </c>
      <c r="M131" s="79">
        <f t="shared" si="121"/>
        <v>1.4583221209374997</v>
      </c>
      <c r="N131" s="79">
        <f t="shared" si="121"/>
        <v>1.4801969527515619</v>
      </c>
      <c r="O131" s="79">
        <f t="shared" si="121"/>
        <v>1.5023999070428353</v>
      </c>
      <c r="P131" s="79">
        <f t="shared" si="122"/>
        <v>1.5249359056484777</v>
      </c>
      <c r="Q131" s="79">
        <f t="shared" ref="Q131:Q137" si="124">P131/($F131-$I131)-$J131</f>
        <v>59.549235739926814</v>
      </c>
      <c r="R131" s="79"/>
      <c r="S131" s="79"/>
      <c r="T131" s="79"/>
    </row>
    <row r="132" spans="2:20">
      <c r="B132" s="79" t="str">
        <f>+B16</f>
        <v>Laclede Group</v>
      </c>
      <c r="C132" s="89">
        <f>+C75</f>
        <v>45.148000000000003</v>
      </c>
      <c r="D132" s="114">
        <f t="shared" si="123"/>
        <v>45.147972944151064</v>
      </c>
      <c r="E132" s="305">
        <f t="shared" si="119"/>
        <v>2.7055848939028238E-5</v>
      </c>
      <c r="F132" s="84">
        <v>8.2146023873130261E-2</v>
      </c>
      <c r="G132" s="89">
        <f>+G16</f>
        <v>1.71</v>
      </c>
      <c r="H132" s="117">
        <f t="shared" si="120"/>
        <v>3.7875431912820057E-2</v>
      </c>
      <c r="I132" s="117">
        <f>+'Growth &amp; Beta'!H14</f>
        <v>4.5133333333333338E-2</v>
      </c>
      <c r="J132" s="117">
        <f>+J101</f>
        <v>3.5000000000000003E-2</v>
      </c>
      <c r="K132" s="79">
        <f t="shared" si="121"/>
        <v>1.7399250000000002</v>
      </c>
      <c r="L132" s="79">
        <f t="shared" si="121"/>
        <v>1.8008223750000001</v>
      </c>
      <c r="M132" s="79">
        <f t="shared" si="121"/>
        <v>1.8638511581249999</v>
      </c>
      <c r="N132" s="79">
        <f t="shared" si="121"/>
        <v>1.9290859486593748</v>
      </c>
      <c r="O132" s="79">
        <f t="shared" si="121"/>
        <v>1.9966039568624527</v>
      </c>
      <c r="P132" s="79">
        <f t="shared" si="122"/>
        <v>2.0664850953526384</v>
      </c>
      <c r="Q132" s="79">
        <f t="shared" si="124"/>
        <v>55.796798910449503</v>
      </c>
      <c r="R132" s="79"/>
      <c r="S132" s="79"/>
      <c r="T132" s="79"/>
    </row>
    <row r="133" spans="2:20">
      <c r="B133" s="79" t="str">
        <f>+B17</f>
        <v>New Jersey Resources</v>
      </c>
      <c r="C133" s="89">
        <f>+C76</f>
        <v>44.633499999999998</v>
      </c>
      <c r="D133" s="114">
        <f t="shared" ref="D133" si="125">(K133/(1+$F133)^0.5+L133/(1+$F133)^1.5+M133/(1+$F133)^2.5+N133/(1+$F133)^3.5+O133/(1+$F133)^4.5+P133/(1+F133)^5.5+Q133/(1+$F133)^5.5)</f>
        <v>44.634108450855237</v>
      </c>
      <c r="E133" s="305">
        <f t="shared" ref="E133" si="126">C133-D133</f>
        <v>-6.0845085523908438E-4</v>
      </c>
      <c r="F133" s="84">
        <v>6.643916348954515E-2</v>
      </c>
      <c r="G133" s="89">
        <f>+G17</f>
        <v>1.59</v>
      </c>
      <c r="H133" s="117">
        <f t="shared" ref="H133" si="127">G133/C133</f>
        <v>3.5623466678615844E-2</v>
      </c>
      <c r="I133" s="117">
        <f>+'Growth &amp; Beta'!H15</f>
        <v>0.03</v>
      </c>
      <c r="J133" s="117">
        <f>+J102</f>
        <v>0.03</v>
      </c>
      <c r="K133" s="79">
        <f t="shared" si="121"/>
        <v>1.61385</v>
      </c>
      <c r="L133" s="79">
        <f t="shared" si="121"/>
        <v>1.6622655</v>
      </c>
      <c r="M133" s="79">
        <f t="shared" si="121"/>
        <v>1.712133465</v>
      </c>
      <c r="N133" s="79">
        <f t="shared" si="121"/>
        <v>1.76349746895</v>
      </c>
      <c r="O133" s="79">
        <f t="shared" si="121"/>
        <v>1.8164023930185</v>
      </c>
      <c r="P133" s="79">
        <f t="shared" ref="P133" si="128">O133*(1+$J133)</f>
        <v>1.8708944648090551</v>
      </c>
      <c r="Q133" s="79">
        <f t="shared" ref="Q133" si="129">P133/($F133-$I133)-$J133</f>
        <v>51.312958664400675</v>
      </c>
      <c r="R133" s="79"/>
      <c r="S133" s="79"/>
      <c r="T133" s="79"/>
    </row>
    <row r="134" spans="2:20">
      <c r="B134" s="79" t="str">
        <f t="shared" ref="B134:B137" si="130">+B18</f>
        <v>Northwest Nat. Gas</v>
      </c>
      <c r="C134" s="89">
        <f t="shared" ref="C134:C137" si="131">+C77</f>
        <v>42.276000000000003</v>
      </c>
      <c r="D134" s="114">
        <f t="shared" si="123"/>
        <v>42.275831936284177</v>
      </c>
      <c r="E134" s="305">
        <f t="shared" si="119"/>
        <v>1.6806371582589463E-4</v>
      </c>
      <c r="F134" s="84">
        <v>8.1658643919739662E-2</v>
      </c>
      <c r="G134" s="89">
        <f t="shared" ref="G134:G137" si="132">+G18</f>
        <v>1.84</v>
      </c>
      <c r="H134" s="117">
        <f t="shared" si="120"/>
        <v>4.3523512158198503E-2</v>
      </c>
      <c r="I134" s="117">
        <f>+'Growth &amp; Beta'!H16</f>
        <v>0.04</v>
      </c>
      <c r="J134" s="117">
        <f t="shared" ref="J134:J137" si="133">+J103</f>
        <v>2.5000000000000001E-2</v>
      </c>
      <c r="K134" s="79">
        <f t="shared" ref="K134:O137" si="134">+K18</f>
        <v>1.863</v>
      </c>
      <c r="L134" s="79">
        <f t="shared" si="134"/>
        <v>1.9095749999999998</v>
      </c>
      <c r="M134" s="79">
        <f t="shared" si="134"/>
        <v>1.9573143749999997</v>
      </c>
      <c r="N134" s="79">
        <f t="shared" si="134"/>
        <v>2.0062472343749995</v>
      </c>
      <c r="O134" s="79">
        <f t="shared" si="134"/>
        <v>2.0564034152343744</v>
      </c>
      <c r="P134" s="79">
        <f t="shared" si="122"/>
        <v>2.1078135006152334</v>
      </c>
      <c r="Q134" s="79">
        <f t="shared" si="124"/>
        <v>50.572266312273321</v>
      </c>
      <c r="R134" s="79"/>
      <c r="S134" s="79"/>
      <c r="T134" s="79"/>
    </row>
    <row r="135" spans="2:20">
      <c r="B135" s="79" t="str">
        <f t="shared" si="130"/>
        <v>Piedmont Natural Gas</v>
      </c>
      <c r="C135" s="89">
        <f t="shared" si="131"/>
        <v>32.444000000000003</v>
      </c>
      <c r="D135" s="114">
        <f t="shared" si="123"/>
        <v>32.444045186200121</v>
      </c>
      <c r="E135" s="305">
        <f t="shared" si="119"/>
        <v>-4.5186200118507713E-5</v>
      </c>
      <c r="F135" s="84">
        <v>8.5606292018810634E-2</v>
      </c>
      <c r="G135" s="89">
        <f t="shared" si="132"/>
        <v>1.24</v>
      </c>
      <c r="H135" s="117">
        <f t="shared" si="120"/>
        <v>3.8219701639748485E-2</v>
      </c>
      <c r="I135" s="117">
        <f>+'Growth &amp; Beta'!H17</f>
        <v>5.000000000000001E-2</v>
      </c>
      <c r="J135" s="117">
        <f t="shared" si="133"/>
        <v>0.03</v>
      </c>
      <c r="K135" s="79">
        <f t="shared" si="134"/>
        <v>1.2585999999999999</v>
      </c>
      <c r="L135" s="79">
        <f t="shared" si="134"/>
        <v>1.2963579999999999</v>
      </c>
      <c r="M135" s="79">
        <f t="shared" si="134"/>
        <v>1.3352487399999999</v>
      </c>
      <c r="N135" s="79">
        <f t="shared" si="134"/>
        <v>1.3753062022</v>
      </c>
      <c r="O135" s="79">
        <f t="shared" si="134"/>
        <v>1.4165653882660001</v>
      </c>
      <c r="P135" s="79">
        <f t="shared" si="122"/>
        <v>1.4590623499139801</v>
      </c>
      <c r="Q135" s="79">
        <f t="shared" si="124"/>
        <v>40.947654992639073</v>
      </c>
      <c r="R135" s="79"/>
      <c r="S135" s="79"/>
      <c r="T135" s="79"/>
    </row>
    <row r="136" spans="2:20">
      <c r="B136" s="79" t="str">
        <f t="shared" si="130"/>
        <v>South Jersey Inds.</v>
      </c>
      <c r="C136" s="89">
        <f t="shared" si="131"/>
        <v>55.3035</v>
      </c>
      <c r="D136" s="114">
        <f t="shared" si="123"/>
        <v>55.303952882388849</v>
      </c>
      <c r="E136" s="305">
        <f>C136-D136</f>
        <v>-4.5288238884921839E-4</v>
      </c>
      <c r="F136" s="84">
        <v>9.7891328277321429E-2</v>
      </c>
      <c r="G136" s="89">
        <f t="shared" si="132"/>
        <v>1.8120000000000001</v>
      </c>
      <c r="H136" s="117">
        <f t="shared" si="120"/>
        <v>3.2764653231712279E-2</v>
      </c>
      <c r="I136" s="117">
        <f>+'Growth &amp; Beta'!H18</f>
        <v>0.06</v>
      </c>
      <c r="J136" s="117">
        <f t="shared" si="133"/>
        <v>8.5000000000000006E-2</v>
      </c>
      <c r="K136" s="79">
        <f t="shared" si="134"/>
        <v>1.8890100000000001</v>
      </c>
      <c r="L136" s="79">
        <f t="shared" si="134"/>
        <v>2.0495758500000001</v>
      </c>
      <c r="M136" s="79">
        <f t="shared" si="134"/>
        <v>2.2237897972499998</v>
      </c>
      <c r="N136" s="79">
        <f t="shared" si="134"/>
        <v>2.4128119300162498</v>
      </c>
      <c r="O136" s="79">
        <f t="shared" si="134"/>
        <v>2.6179009440676309</v>
      </c>
      <c r="P136" s="79">
        <f t="shared" si="122"/>
        <v>2.8404225243133796</v>
      </c>
      <c r="Q136" s="79">
        <f t="shared" si="124"/>
        <v>74.877337121694893</v>
      </c>
      <c r="R136" s="79"/>
      <c r="S136" s="79"/>
      <c r="T136" s="79"/>
    </row>
    <row r="137" spans="2:20">
      <c r="B137" s="79" t="str">
        <f t="shared" si="130"/>
        <v>Southwest Gas</v>
      </c>
      <c r="C137" s="89">
        <f t="shared" si="131"/>
        <v>53.247</v>
      </c>
      <c r="D137" s="114">
        <f t="shared" si="123"/>
        <v>53.246541337305608</v>
      </c>
      <c r="E137" s="305">
        <f t="shared" si="119"/>
        <v>4.586626943918759E-4</v>
      </c>
      <c r="F137" s="84">
        <v>6.4067811291672869E-2</v>
      </c>
      <c r="G137" s="89">
        <f t="shared" si="132"/>
        <v>1.27</v>
      </c>
      <c r="H137" s="117">
        <f t="shared" si="120"/>
        <v>2.3851108982665691E-2</v>
      </c>
      <c r="I137" s="117">
        <f>+'Growth &amp; Beta'!H19</f>
        <v>3.5299999999999998E-2</v>
      </c>
      <c r="J137" s="117">
        <f t="shared" si="133"/>
        <v>7.0000000000000007E-2</v>
      </c>
      <c r="K137" s="79">
        <f t="shared" si="134"/>
        <v>1.3144499999999999</v>
      </c>
      <c r="L137" s="79">
        <f t="shared" si="134"/>
        <v>1.4064615</v>
      </c>
      <c r="M137" s="79">
        <f t="shared" si="134"/>
        <v>1.5049138050000002</v>
      </c>
      <c r="N137" s="79">
        <f t="shared" si="134"/>
        <v>1.6102577713500004</v>
      </c>
      <c r="O137" s="79">
        <f t="shared" si="134"/>
        <v>1.7229758153445005</v>
      </c>
      <c r="P137" s="79">
        <f t="shared" si="122"/>
        <v>1.8435841224186156</v>
      </c>
      <c r="Q137" s="79">
        <f t="shared" si="124"/>
        <v>64.014963006979244</v>
      </c>
      <c r="R137" s="79"/>
      <c r="S137" s="79"/>
      <c r="T137" s="79"/>
    </row>
    <row r="138" spans="2:20">
      <c r="B138" s="79" t="str">
        <f>+B22</f>
        <v>WGL Holdings</v>
      </c>
      <c r="C138" s="89">
        <f>+C81</f>
        <v>39.097999999999999</v>
      </c>
      <c r="D138" s="114">
        <f t="shared" ref="D138" si="135">(K138/(1+$F138)^0.5+L138/(1+$F138)^1.5+M138/(1+$F138)^2.5+N138/(1+$F138)^3.5+O138/(1+$F138)^4.5+P138/(1+F138)^5.5+Q138/(1+$F138)^5.5)</f>
        <v>39.098017857687147</v>
      </c>
      <c r="E138" s="305">
        <f t="shared" ref="E138" si="136">C138-D138</f>
        <v>-1.78576871476821E-5</v>
      </c>
      <c r="F138" s="84">
        <v>8.4785010136856395E-2</v>
      </c>
      <c r="G138" s="89">
        <f>+G22</f>
        <v>1.6322000000000001</v>
      </c>
      <c r="H138" s="117">
        <f t="shared" ref="H138" si="137">G138/C138</f>
        <v>4.1746380889048036E-2</v>
      </c>
      <c r="I138" s="117">
        <f>+'Growth &amp; Beta'!H20</f>
        <v>4.6000000000000006E-2</v>
      </c>
      <c r="J138" s="117">
        <f>+J107</f>
        <v>2.5000000000000001E-2</v>
      </c>
      <c r="K138" s="79">
        <f>+K22</f>
        <v>1.6526025</v>
      </c>
      <c r="L138" s="79">
        <f>+L22</f>
        <v>1.6939175624999998</v>
      </c>
      <c r="M138" s="79">
        <f>+M22</f>
        <v>1.7362655015624997</v>
      </c>
      <c r="N138" s="79">
        <f>+N22</f>
        <v>1.779672139101562</v>
      </c>
      <c r="O138" s="79">
        <f>+O22</f>
        <v>1.8241639425791008</v>
      </c>
      <c r="P138" s="79">
        <f t="shared" ref="P138" si="138">O138*(1+$J138)</f>
        <v>1.8697680411435782</v>
      </c>
      <c r="Q138" s="79">
        <f t="shared" ref="Q138" si="139">P138/($F138-$I138)-$J138</f>
        <v>48.183522688170868</v>
      </c>
      <c r="R138" s="79"/>
      <c r="S138" s="79"/>
      <c r="T138" s="79"/>
    </row>
    <row r="139" spans="2:20">
      <c r="B139" s="79"/>
      <c r="C139" s="79"/>
      <c r="D139" s="114"/>
      <c r="E139" s="114"/>
      <c r="F139" s="84"/>
      <c r="G139" s="79"/>
      <c r="H139" s="81"/>
      <c r="I139" s="82"/>
      <c r="J139" s="81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2:20">
      <c r="B140" s="322" t="s">
        <v>77</v>
      </c>
      <c r="C140" s="79"/>
      <c r="D140" s="114"/>
      <c r="E140" s="114"/>
      <c r="F140" s="84">
        <f>AVERAGE(F130:F139)</f>
        <v>8.199102160334111E-2</v>
      </c>
      <c r="G140" s="79"/>
      <c r="H140" s="84">
        <f>AVERAGE(H130:H139)</f>
        <v>3.6173779444122679E-2</v>
      </c>
      <c r="I140" s="84">
        <f>AVERAGE(I130:I139)</f>
        <v>4.6107407407407403E-2</v>
      </c>
      <c r="J140" s="84">
        <f>AVERAGE(J130:J139)</f>
        <v>4.0000000000000008E-2</v>
      </c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2:20">
      <c r="B141" s="322" t="s">
        <v>43</v>
      </c>
      <c r="C141" s="79"/>
      <c r="D141" s="79"/>
      <c r="E141" s="79"/>
      <c r="F141" s="84">
        <f>STDEV(F130:F139)</f>
        <v>1.0615061132822715E-2</v>
      </c>
      <c r="G141" s="79"/>
      <c r="H141" s="84"/>
      <c r="I141" s="84"/>
      <c r="J141" s="84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2:20">
      <c r="B142" s="5" t="s">
        <v>21</v>
      </c>
      <c r="F142" s="6">
        <f>+MEDIAN(F130:F139)</f>
        <v>8.4785010136856395E-2</v>
      </c>
      <c r="H142" s="6"/>
      <c r="I142" s="6"/>
      <c r="J142" s="6"/>
      <c r="O142"/>
      <c r="P142"/>
    </row>
    <row r="143" spans="2:20">
      <c r="B143" s="5"/>
      <c r="H143" s="6"/>
      <c r="K143" s="6"/>
      <c r="O143"/>
      <c r="P143"/>
    </row>
    <row r="144" spans="2:20" ht="15.75">
      <c r="B144" s="8" t="s">
        <v>42</v>
      </c>
      <c r="D144" s="9"/>
      <c r="E144" s="9"/>
      <c r="F144" s="9">
        <f>F140</f>
        <v>8.199102160334111E-2</v>
      </c>
      <c r="G144" s="4"/>
      <c r="H144" s="9"/>
      <c r="K144" s="6"/>
      <c r="O144"/>
      <c r="P144"/>
    </row>
    <row r="145" spans="2:17">
      <c r="M145" s="12"/>
      <c r="N145" s="12"/>
      <c r="O145"/>
      <c r="P145"/>
    </row>
    <row r="146" spans="2:17">
      <c r="C146" s="37" t="s">
        <v>141</v>
      </c>
    </row>
    <row r="147" spans="2:17">
      <c r="C147" t="s">
        <v>100</v>
      </c>
    </row>
    <row r="149" spans="2:17">
      <c r="P149" s="51"/>
    </row>
    <row r="150" spans="2:17" ht="15.75">
      <c r="B150" s="65" t="s">
        <v>329</v>
      </c>
      <c r="O150" s="2"/>
      <c r="P150" s="5"/>
      <c r="Q150" s="13"/>
    </row>
    <row r="151" spans="2:17" ht="15.75">
      <c r="B151" s="10"/>
      <c r="O151" s="2"/>
      <c r="P151" s="2"/>
      <c r="Q151" s="13"/>
    </row>
    <row r="152" spans="2:17">
      <c r="C152" s="249"/>
      <c r="D152" s="331"/>
      <c r="E152" s="331"/>
      <c r="F152" s="249" t="s">
        <v>45</v>
      </c>
      <c r="G152" s="331"/>
      <c r="H152" s="249" t="s">
        <v>40</v>
      </c>
      <c r="I152" s="249" t="str">
        <f>+I126</f>
        <v>Projected</v>
      </c>
      <c r="J152" s="249" t="str">
        <f>+J126</f>
        <v>VL Projected</v>
      </c>
      <c r="K152" s="25"/>
      <c r="L152" s="331"/>
      <c r="M152" s="249"/>
      <c r="N152" s="331"/>
      <c r="O152" s="331"/>
      <c r="P152" s="331"/>
      <c r="Q152" s="331"/>
    </row>
    <row r="153" spans="2:17">
      <c r="C153" s="49" t="str">
        <f>C127</f>
        <v>Average</v>
      </c>
      <c r="D153" s="24" t="s">
        <v>44</v>
      </c>
      <c r="E153" s="24"/>
      <c r="F153" s="249" t="s">
        <v>63</v>
      </c>
      <c r="G153" s="249" t="s">
        <v>22</v>
      </c>
      <c r="H153" s="249" t="s">
        <v>41</v>
      </c>
      <c r="I153" s="249" t="s">
        <v>64</v>
      </c>
      <c r="J153" s="249" t="s">
        <v>65</v>
      </c>
      <c r="K153" s="249" t="s">
        <v>23</v>
      </c>
      <c r="L153" s="249" t="s">
        <v>23</v>
      </c>
      <c r="M153" s="249" t="s">
        <v>23</v>
      </c>
      <c r="N153" s="249" t="s">
        <v>23</v>
      </c>
      <c r="O153" s="249" t="s">
        <v>23</v>
      </c>
      <c r="P153" s="249" t="s">
        <v>51</v>
      </c>
      <c r="Q153" s="249" t="s">
        <v>51</v>
      </c>
    </row>
    <row r="154" spans="2:17">
      <c r="B154" s="2" t="s">
        <v>3</v>
      </c>
      <c r="C154" s="249" t="s">
        <v>4</v>
      </c>
      <c r="D154" s="24" t="s">
        <v>37</v>
      </c>
      <c r="E154" s="24" t="s">
        <v>53</v>
      </c>
      <c r="F154" s="249" t="s">
        <v>24</v>
      </c>
      <c r="G154" s="249" t="s">
        <v>23</v>
      </c>
      <c r="H154" s="249" t="s">
        <v>37</v>
      </c>
      <c r="I154" s="249" t="s">
        <v>26</v>
      </c>
      <c r="J154" s="249" t="s">
        <v>26</v>
      </c>
      <c r="K154" s="249" t="s">
        <v>46</v>
      </c>
      <c r="L154" s="249" t="s">
        <v>47</v>
      </c>
      <c r="M154" s="249" t="s">
        <v>48</v>
      </c>
      <c r="N154" s="249" t="s">
        <v>49</v>
      </c>
      <c r="O154" s="249" t="s">
        <v>50</v>
      </c>
      <c r="P154" s="249" t="s">
        <v>23</v>
      </c>
      <c r="Q154" s="249" t="s">
        <v>52</v>
      </c>
    </row>
    <row r="155" spans="2:17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4"/>
      <c r="P155" s="14"/>
      <c r="Q155" s="3"/>
    </row>
    <row r="156" spans="2:17">
      <c r="B156" t="str">
        <f t="shared" ref="B156:C159" si="140">B130</f>
        <v>AGL Resources</v>
      </c>
      <c r="C156" s="36">
        <f t="shared" si="140"/>
        <v>46.103000000000002</v>
      </c>
      <c r="D156" s="36">
        <f t="shared" ref="D156:D163" si="141">(K156/(1+$F156)^0.5+L156/(1+$F156)^1.5+M156/(1+$F156)^2.5+N156/(1+$F156)^3.5+O156/(1+$F156)^4.5+P156/(1+F156)^5.5+Q156/(1+$F156)^5.5)</f>
        <v>46.102974884773815</v>
      </c>
      <c r="E156" s="114">
        <f t="shared" ref="E156:E163" si="142">C156-D156</f>
        <v>2.511522618675599E-5</v>
      </c>
      <c r="F156" s="117">
        <v>8.7982733256363674E-2</v>
      </c>
      <c r="G156" s="36">
        <f t="shared" ref="G156:J159" si="143">G130</f>
        <v>1.861</v>
      </c>
      <c r="H156" s="21">
        <f t="shared" si="143"/>
        <v>4.036613669392447E-2</v>
      </c>
      <c r="I156" s="21">
        <f t="shared" si="143"/>
        <v>4.6766666666666672E-2</v>
      </c>
      <c r="J156" s="21">
        <f t="shared" si="143"/>
        <v>4.4999999999999998E-2</v>
      </c>
      <c r="K156">
        <f>G156*(1+$J156/2)</f>
        <v>1.9028725</v>
      </c>
      <c r="L156">
        <f>K156*(1+$J156)</f>
        <v>1.9885017624999999</v>
      </c>
      <c r="M156">
        <f t="shared" ref="M156:M163" si="144">L156*(1+$J156)</f>
        <v>2.0779843418124999</v>
      </c>
      <c r="N156">
        <f t="shared" ref="N156:N163" si="145">M156*(1+$J156)</f>
        <v>2.1714936371940623</v>
      </c>
      <c r="O156">
        <f t="shared" ref="O156:O163" si="146">N156*(1+$J156)</f>
        <v>2.2692108508677951</v>
      </c>
      <c r="P156">
        <f t="shared" ref="P156:P163" si="147">O156*(1+$J156)</f>
        <v>2.3713253391568458</v>
      </c>
      <c r="Q156">
        <f t="shared" ref="Q156:Q163" si="148">P156/($F156-I156)</f>
        <v>57.534003978672203</v>
      </c>
    </row>
    <row r="157" spans="2:17">
      <c r="B157" t="str">
        <f t="shared" si="140"/>
        <v>Atmos Energy</v>
      </c>
      <c r="C157" s="36">
        <f t="shared" si="140"/>
        <v>44.470999999999997</v>
      </c>
      <c r="D157" s="36">
        <f t="shared" si="141"/>
        <v>44.470750137474319</v>
      </c>
      <c r="E157" s="114">
        <f t="shared" si="142"/>
        <v>2.4986252567771317E-4</v>
      </c>
      <c r="F157" s="117">
        <v>8.7373973152794521E-2</v>
      </c>
      <c r="G157" s="36">
        <f t="shared" si="143"/>
        <v>1.4049999999999998</v>
      </c>
      <c r="H157" s="21">
        <f t="shared" si="143"/>
        <v>3.15936228103708E-2</v>
      </c>
      <c r="I157" s="21">
        <f t="shared" si="143"/>
        <v>6.1766666666666664E-2</v>
      </c>
      <c r="J157" s="21">
        <f t="shared" si="143"/>
        <v>1.4999999999999999E-2</v>
      </c>
      <c r="K157">
        <f t="shared" ref="K157:K163" si="149">G157*(1+$J157/2)</f>
        <v>1.4155374999999999</v>
      </c>
      <c r="L157">
        <f t="shared" ref="L157:L163" si="150">K157*(1+$J157)</f>
        <v>1.4367705624999998</v>
      </c>
      <c r="M157">
        <f t="shared" si="144"/>
        <v>1.4583221209374997</v>
      </c>
      <c r="N157">
        <f t="shared" si="145"/>
        <v>1.4801969527515619</v>
      </c>
      <c r="O157">
        <f t="shared" si="146"/>
        <v>1.5023999070428353</v>
      </c>
      <c r="P157">
        <f t="shared" si="147"/>
        <v>1.5249359056484777</v>
      </c>
      <c r="Q157">
        <f t="shared" si="148"/>
        <v>59.550812439979779</v>
      </c>
    </row>
    <row r="158" spans="2:17">
      <c r="B158" t="str">
        <f t="shared" si="140"/>
        <v>Laclede Group</v>
      </c>
      <c r="C158" s="36">
        <f t="shared" si="140"/>
        <v>45.148000000000003</v>
      </c>
      <c r="D158" s="36">
        <f t="shared" si="141"/>
        <v>45.147947464341051</v>
      </c>
      <c r="E158" s="114">
        <f t="shared" si="142"/>
        <v>5.2535658952024278E-5</v>
      </c>
      <c r="F158" s="117">
        <v>8.2165190571366759E-2</v>
      </c>
      <c r="G158" s="36">
        <f t="shared" si="143"/>
        <v>1.71</v>
      </c>
      <c r="H158" s="21">
        <f t="shared" si="143"/>
        <v>3.7875431912820057E-2</v>
      </c>
      <c r="I158" s="21">
        <f t="shared" si="143"/>
        <v>4.5133333333333338E-2</v>
      </c>
      <c r="J158" s="21">
        <f t="shared" si="143"/>
        <v>3.5000000000000003E-2</v>
      </c>
      <c r="K158">
        <f t="shared" si="149"/>
        <v>1.7399250000000002</v>
      </c>
      <c r="L158">
        <f t="shared" si="150"/>
        <v>1.8008223750000001</v>
      </c>
      <c r="M158">
        <f t="shared" si="144"/>
        <v>1.8638511581249999</v>
      </c>
      <c r="N158">
        <f t="shared" si="145"/>
        <v>1.9290859486593748</v>
      </c>
      <c r="O158">
        <f t="shared" si="146"/>
        <v>1.9966039568624527</v>
      </c>
      <c r="P158">
        <f t="shared" si="147"/>
        <v>2.0664850953526384</v>
      </c>
      <c r="Q158">
        <f t="shared" si="148"/>
        <v>55.802901865539248</v>
      </c>
    </row>
    <row r="159" spans="2:17">
      <c r="B159" t="str">
        <f t="shared" si="140"/>
        <v>New Jersey Resources</v>
      </c>
      <c r="C159" s="36">
        <f t="shared" si="140"/>
        <v>44.633499999999998</v>
      </c>
      <c r="D159" s="36">
        <f t="shared" ref="D159" si="151">(K159/(1+$F159)^0.5+L159/(1+$F159)^1.5+M159/(1+$F159)^2.5+N159/(1+$F159)^3.5+O159/(1+$F159)^4.5+P159/(1+F159)^5.5+Q159/(1+$F159)^5.5)</f>
        <v>44.63410537072987</v>
      </c>
      <c r="E159" s="114">
        <f t="shared" ref="E159" si="152">C159-D159</f>
        <v>-6.0537072987187912E-4</v>
      </c>
      <c r="F159" s="117">
        <v>6.645674779400286E-2</v>
      </c>
      <c r="G159" s="36">
        <f t="shared" si="143"/>
        <v>1.59</v>
      </c>
      <c r="H159" s="21">
        <f t="shared" si="143"/>
        <v>3.5623466678615844E-2</v>
      </c>
      <c r="I159" s="21">
        <f t="shared" si="143"/>
        <v>0.03</v>
      </c>
      <c r="J159" s="21">
        <f t="shared" si="143"/>
        <v>0.03</v>
      </c>
      <c r="K159">
        <f t="shared" ref="K159" si="153">G159*(1+$J159/2)</f>
        <v>1.61385</v>
      </c>
      <c r="L159">
        <f t="shared" ref="L159" si="154">K159*(1+$J159)</f>
        <v>1.6622655</v>
      </c>
      <c r="M159">
        <f t="shared" ref="M159" si="155">L159*(1+$J159)</f>
        <v>1.712133465</v>
      </c>
      <c r="N159">
        <f t="shared" ref="N159" si="156">M159*(1+$J159)</f>
        <v>1.76349746895</v>
      </c>
      <c r="O159">
        <f t="shared" ref="O159" si="157">N159*(1+$J159)</f>
        <v>1.8164023930185</v>
      </c>
      <c r="P159">
        <f t="shared" ref="P159" si="158">O159*(1+$J159)</f>
        <v>1.8708944648090551</v>
      </c>
      <c r="Q159">
        <f t="shared" ref="Q159" si="159">P159/($F159-I159)</f>
        <v>51.318194244326349</v>
      </c>
    </row>
    <row r="160" spans="2:17">
      <c r="B160" t="str">
        <f t="shared" ref="B160:C163" si="160">B134</f>
        <v>Northwest Nat. Gas</v>
      </c>
      <c r="C160" s="36">
        <f t="shared" si="160"/>
        <v>42.276000000000003</v>
      </c>
      <c r="D160" s="36">
        <f t="shared" si="141"/>
        <v>42.275954524759946</v>
      </c>
      <c r="E160" s="114">
        <f t="shared" si="142"/>
        <v>4.5475240057157862E-5</v>
      </c>
      <c r="F160" s="117">
        <v>8.1675081271542341E-2</v>
      </c>
      <c r="G160" s="36">
        <f t="shared" ref="G160:J163" si="161">G134</f>
        <v>1.84</v>
      </c>
      <c r="H160" s="21">
        <f t="shared" si="161"/>
        <v>4.3523512158198503E-2</v>
      </c>
      <c r="I160" s="21">
        <f t="shared" si="161"/>
        <v>0.04</v>
      </c>
      <c r="J160" s="21">
        <f t="shared" si="161"/>
        <v>2.5000000000000001E-2</v>
      </c>
      <c r="K160">
        <f t="shared" si="149"/>
        <v>1.863</v>
      </c>
      <c r="L160">
        <f t="shared" si="150"/>
        <v>1.9095749999999998</v>
      </c>
      <c r="M160">
        <f t="shared" si="144"/>
        <v>1.9573143749999997</v>
      </c>
      <c r="N160">
        <f t="shared" si="145"/>
        <v>2.0062472343749995</v>
      </c>
      <c r="O160">
        <f t="shared" si="146"/>
        <v>2.0564034152343744</v>
      </c>
      <c r="P160">
        <f t="shared" si="147"/>
        <v>2.1078135006152334</v>
      </c>
      <c r="Q160">
        <f t="shared" si="148"/>
        <v>50.577309900881829</v>
      </c>
    </row>
    <row r="161" spans="2:17">
      <c r="B161" t="str">
        <f t="shared" si="160"/>
        <v>Piedmont Natural Gas</v>
      </c>
      <c r="C161" s="36">
        <f t="shared" si="160"/>
        <v>32.444000000000003</v>
      </c>
      <c r="D161" s="36">
        <f t="shared" si="141"/>
        <v>32.444044479668619</v>
      </c>
      <c r="E161" s="114">
        <f t="shared" si="142"/>
        <v>-4.4479668616759227E-5</v>
      </c>
      <c r="F161" s="117">
        <v>8.5627970591737018E-2</v>
      </c>
      <c r="G161" s="36">
        <f t="shared" si="161"/>
        <v>1.24</v>
      </c>
      <c r="H161" s="21">
        <f t="shared" si="161"/>
        <v>3.8219701639748485E-2</v>
      </c>
      <c r="I161" s="21">
        <f t="shared" si="161"/>
        <v>5.000000000000001E-2</v>
      </c>
      <c r="J161" s="21">
        <f t="shared" si="161"/>
        <v>0.03</v>
      </c>
      <c r="K161">
        <f t="shared" si="149"/>
        <v>1.2585999999999999</v>
      </c>
      <c r="L161">
        <f t="shared" si="150"/>
        <v>1.2963579999999999</v>
      </c>
      <c r="M161">
        <f t="shared" si="144"/>
        <v>1.3352487399999999</v>
      </c>
      <c r="N161">
        <f t="shared" si="145"/>
        <v>1.3753062022</v>
      </c>
      <c r="O161">
        <f t="shared" si="146"/>
        <v>1.4165653882660001</v>
      </c>
      <c r="P161">
        <f t="shared" si="147"/>
        <v>1.4590623499139801</v>
      </c>
      <c r="Q161">
        <f t="shared" si="148"/>
        <v>40.952721293992873</v>
      </c>
    </row>
    <row r="162" spans="2:17">
      <c r="B162" t="str">
        <f t="shared" si="160"/>
        <v>South Jersey Inds.</v>
      </c>
      <c r="C162" s="36">
        <f t="shared" si="160"/>
        <v>55.3035</v>
      </c>
      <c r="D162" s="36">
        <f t="shared" si="141"/>
        <v>55.303510050076554</v>
      </c>
      <c r="E162" s="114">
        <f t="shared" si="142"/>
        <v>-1.0050076554080078E-5</v>
      </c>
      <c r="F162" s="117">
        <v>9.7927067571324689E-2</v>
      </c>
      <c r="G162" s="36">
        <f t="shared" si="161"/>
        <v>1.8120000000000001</v>
      </c>
      <c r="H162" s="21">
        <f t="shared" si="161"/>
        <v>3.2764653231712279E-2</v>
      </c>
      <c r="I162" s="21">
        <f t="shared" si="161"/>
        <v>0.06</v>
      </c>
      <c r="J162" s="21">
        <f t="shared" si="161"/>
        <v>8.5000000000000006E-2</v>
      </c>
      <c r="K162">
        <f t="shared" si="149"/>
        <v>1.8890100000000001</v>
      </c>
      <c r="L162">
        <f t="shared" si="150"/>
        <v>2.0495758500000001</v>
      </c>
      <c r="M162">
        <f t="shared" si="144"/>
        <v>2.2237897972499998</v>
      </c>
      <c r="N162">
        <f t="shared" si="145"/>
        <v>2.4128119300162498</v>
      </c>
      <c r="O162">
        <f t="shared" si="146"/>
        <v>2.6179009440676309</v>
      </c>
      <c r="P162">
        <f t="shared" si="147"/>
        <v>2.8404225243133796</v>
      </c>
      <c r="Q162">
        <f t="shared" si="148"/>
        <v>74.89169888950029</v>
      </c>
    </row>
    <row r="163" spans="2:17">
      <c r="B163" t="str">
        <f t="shared" si="160"/>
        <v>Southwest Gas</v>
      </c>
      <c r="C163" s="36">
        <f t="shared" si="160"/>
        <v>53.247</v>
      </c>
      <c r="D163" s="36">
        <f t="shared" si="141"/>
        <v>53.246982632163764</v>
      </c>
      <c r="E163" s="114">
        <f t="shared" si="142"/>
        <v>1.7367836235848699E-5</v>
      </c>
      <c r="F163" s="117">
        <v>6.4094625289113805E-2</v>
      </c>
      <c r="G163" s="36">
        <f t="shared" si="161"/>
        <v>1.27</v>
      </c>
      <c r="H163" s="21">
        <f t="shared" si="161"/>
        <v>2.3851108982665691E-2</v>
      </c>
      <c r="I163" s="21">
        <f t="shared" si="161"/>
        <v>3.5299999999999998E-2</v>
      </c>
      <c r="J163" s="21">
        <f t="shared" si="161"/>
        <v>7.0000000000000007E-2</v>
      </c>
      <c r="K163">
        <f t="shared" si="149"/>
        <v>1.3144499999999999</v>
      </c>
      <c r="L163">
        <f t="shared" si="150"/>
        <v>1.4064615</v>
      </c>
      <c r="M163">
        <f t="shared" si="144"/>
        <v>1.5049138050000002</v>
      </c>
      <c r="N163">
        <f t="shared" si="145"/>
        <v>1.6102577713500004</v>
      </c>
      <c r="O163">
        <f t="shared" si="146"/>
        <v>1.7229758153445005</v>
      </c>
      <c r="P163">
        <f t="shared" si="147"/>
        <v>1.8435841224186156</v>
      </c>
      <c r="Q163">
        <f t="shared" si="148"/>
        <v>64.025286104890114</v>
      </c>
    </row>
    <row r="164" spans="2:17">
      <c r="B164" t="str">
        <f>B138</f>
        <v>WGL Holdings</v>
      </c>
      <c r="C164" s="36">
        <f>C138</f>
        <v>39.097999999999999</v>
      </c>
      <c r="D164" s="36">
        <f t="shared" ref="D164" si="162">(K164/(1+$F164)^0.5+L164/(1+$F164)^1.5+M164/(1+$F164)^2.5+N164/(1+$F164)^3.5+O164/(1+$F164)^4.5+P164/(1+F164)^5.5+Q164/(1+$F164)^5.5)</f>
        <v>39.098017686569065</v>
      </c>
      <c r="E164" s="114">
        <f t="shared" ref="E164" si="163">C164-D164</f>
        <v>-1.7686569066199809E-5</v>
      </c>
      <c r="F164" s="117">
        <v>8.4801450227529163E-2</v>
      </c>
      <c r="G164" s="36">
        <f>G138</f>
        <v>1.6322000000000001</v>
      </c>
      <c r="H164" s="21">
        <f>H138</f>
        <v>4.1746380889048036E-2</v>
      </c>
      <c r="I164" s="21">
        <f>I138</f>
        <v>4.6000000000000006E-2</v>
      </c>
      <c r="J164" s="21">
        <f>J138</f>
        <v>2.5000000000000001E-2</v>
      </c>
      <c r="K164">
        <f t="shared" ref="K164" si="164">G164*(1+$J164/2)</f>
        <v>1.6526025</v>
      </c>
      <c r="L164">
        <f t="shared" ref="L164" si="165">K164*(1+$J164)</f>
        <v>1.6939175624999998</v>
      </c>
      <c r="M164">
        <f t="shared" ref="M164" si="166">L164*(1+$J164)</f>
        <v>1.7362655015624997</v>
      </c>
      <c r="N164">
        <f t="shared" ref="N164" si="167">M164*(1+$J164)</f>
        <v>1.779672139101562</v>
      </c>
      <c r="O164">
        <f t="shared" ref="O164" si="168">N164*(1+$J164)</f>
        <v>1.8241639425791008</v>
      </c>
      <c r="P164">
        <f t="shared" ref="P164" si="169">O164*(1+$J164)</f>
        <v>1.8697680411435782</v>
      </c>
      <c r="Q164">
        <f t="shared" ref="Q164" si="170">P164/($F164-I164)</f>
        <v>48.188096841210346</v>
      </c>
    </row>
    <row r="165" spans="2:17">
      <c r="D165" s="12"/>
      <c r="E165" s="12"/>
      <c r="F165" s="6"/>
      <c r="H165" s="3"/>
      <c r="I165" s="11"/>
      <c r="J165" s="3"/>
      <c r="O165"/>
      <c r="P165"/>
    </row>
    <row r="166" spans="2:17">
      <c r="B166" s="5" t="s">
        <v>77</v>
      </c>
      <c r="D166" s="12"/>
      <c r="E166" s="12"/>
      <c r="F166" s="6">
        <f>AVERAGE(F156:F165)</f>
        <v>8.2011648858419439E-2</v>
      </c>
      <c r="H166" s="6">
        <f>AVERAGE(H156:H165)</f>
        <v>3.6173779444122679E-2</v>
      </c>
      <c r="I166" s="6">
        <f>AVERAGE(I156:I165)</f>
        <v>4.6107407407407403E-2</v>
      </c>
      <c r="J166" s="6">
        <f>AVERAGE(J156:J165)</f>
        <v>4.0000000000000008E-2</v>
      </c>
      <c r="O166"/>
      <c r="P166"/>
    </row>
    <row r="167" spans="2:17">
      <c r="B167" s="5" t="s">
        <v>43</v>
      </c>
      <c r="F167" s="6">
        <f>STDEV(F156:F165)</f>
        <v>1.0616503847756642E-2</v>
      </c>
      <c r="H167" s="6"/>
      <c r="I167" s="6"/>
      <c r="J167" s="6"/>
      <c r="O167"/>
      <c r="P167"/>
    </row>
    <row r="168" spans="2:17">
      <c r="B168" s="5" t="s">
        <v>21</v>
      </c>
      <c r="F168" s="6">
        <f>+MEDIAN(F156:F163)</f>
        <v>8.3896580581551888E-2</v>
      </c>
      <c r="H168" s="6"/>
      <c r="I168" s="6"/>
      <c r="J168" s="6"/>
      <c r="O168"/>
      <c r="P168"/>
    </row>
    <row r="169" spans="2:17">
      <c r="B169" s="5"/>
      <c r="H169" s="6"/>
      <c r="K169" s="6"/>
      <c r="O169"/>
      <c r="P169"/>
    </row>
    <row r="170" spans="2:17" ht="15.75">
      <c r="B170" s="8" t="s">
        <v>42</v>
      </c>
      <c r="D170" s="9"/>
      <c r="E170" s="9"/>
      <c r="F170" s="552">
        <f>F166</f>
        <v>8.2011648858419439E-2</v>
      </c>
      <c r="G170" s="4"/>
      <c r="H170" s="9"/>
      <c r="K170" s="6"/>
      <c r="O170"/>
      <c r="P170"/>
    </row>
    <row r="171" spans="2:17">
      <c r="M171" s="12"/>
      <c r="N171" s="12"/>
      <c r="O171"/>
      <c r="P171"/>
    </row>
    <row r="172" spans="2:17">
      <c r="C172" s="37" t="s">
        <v>142</v>
      </c>
    </row>
    <row r="173" spans="2:17">
      <c r="C173" t="s">
        <v>100</v>
      </c>
    </row>
    <row r="176" spans="2:17" ht="18.75" hidden="1">
      <c r="B176" s="28" t="str">
        <f>+B119</f>
        <v>Questar Gas Company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30"/>
      <c r="P176" s="30"/>
      <c r="Q176" s="29"/>
    </row>
    <row r="177" spans="2:17" ht="15.75" hidden="1">
      <c r="B177" s="31" t="s">
        <v>71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30"/>
      <c r="P177" s="30"/>
      <c r="Q177" s="29"/>
    </row>
    <row r="178" spans="2:17" ht="15.75" hidden="1">
      <c r="B178" s="48" t="str">
        <f>+B119</f>
        <v>Questar Gas Company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30"/>
      <c r="P178" s="30"/>
      <c r="Q178" s="29"/>
    </row>
    <row r="179" spans="2:17" hidden="1">
      <c r="M179" s="12"/>
      <c r="N179" s="12"/>
      <c r="O179"/>
      <c r="P179"/>
    </row>
    <row r="180" spans="2:17" hidden="1">
      <c r="M180" s="12"/>
      <c r="N180" s="12"/>
      <c r="O180"/>
      <c r="P180"/>
    </row>
    <row r="181" spans="2:17" ht="15.75" hidden="1">
      <c r="B181" s="65" t="s">
        <v>264</v>
      </c>
      <c r="O181" s="2"/>
      <c r="P181" s="2"/>
      <c r="Q181" s="13"/>
    </row>
    <row r="182" spans="2:17" ht="15.75" hidden="1">
      <c r="B182" s="10"/>
      <c r="O182" s="2"/>
      <c r="P182" s="2"/>
      <c r="Q182" s="13"/>
    </row>
    <row r="183" spans="2:17" hidden="1">
      <c r="C183" s="249" t="str">
        <f>+C69</f>
        <v xml:space="preserve">30 Day </v>
      </c>
      <c r="D183" s="331"/>
      <c r="E183" s="331"/>
      <c r="F183" s="249" t="s">
        <v>45</v>
      </c>
      <c r="G183" s="331"/>
      <c r="H183" s="249" t="s">
        <v>40</v>
      </c>
      <c r="I183" s="249" t="s">
        <v>234</v>
      </c>
      <c r="J183" s="249" t="s">
        <v>234</v>
      </c>
      <c r="K183" s="25"/>
      <c r="L183" s="331"/>
      <c r="M183" s="249"/>
      <c r="N183" s="331"/>
      <c r="O183" s="331"/>
      <c r="P183" s="331"/>
      <c r="Q183" s="331"/>
    </row>
    <row r="184" spans="2:17" hidden="1">
      <c r="C184" s="249" t="str">
        <f>+C70</f>
        <v>Average</v>
      </c>
      <c r="D184" s="24" t="s">
        <v>44</v>
      </c>
      <c r="E184" s="24"/>
      <c r="F184" s="249" t="s">
        <v>63</v>
      </c>
      <c r="G184" s="249" t="s">
        <v>22</v>
      </c>
      <c r="H184" s="249" t="s">
        <v>41</v>
      </c>
      <c r="I184" s="249" t="s">
        <v>64</v>
      </c>
      <c r="J184" s="249" t="s">
        <v>65</v>
      </c>
      <c r="K184" s="249" t="s">
        <v>23</v>
      </c>
      <c r="L184" s="249" t="s">
        <v>23</v>
      </c>
      <c r="M184" s="249" t="s">
        <v>23</v>
      </c>
      <c r="N184" s="249" t="s">
        <v>23</v>
      </c>
      <c r="O184" s="249" t="s">
        <v>23</v>
      </c>
      <c r="P184" s="249" t="s">
        <v>51</v>
      </c>
      <c r="Q184" s="249" t="s">
        <v>51</v>
      </c>
    </row>
    <row r="185" spans="2:17" hidden="1">
      <c r="B185" s="2" t="s">
        <v>3</v>
      </c>
      <c r="C185" s="249" t="s">
        <v>4</v>
      </c>
      <c r="D185" s="24" t="s">
        <v>37</v>
      </c>
      <c r="E185" s="24" t="s">
        <v>53</v>
      </c>
      <c r="F185" s="249" t="s">
        <v>24</v>
      </c>
      <c r="G185" s="249" t="s">
        <v>23</v>
      </c>
      <c r="H185" s="249" t="s">
        <v>37</v>
      </c>
      <c r="I185" s="249" t="s">
        <v>26</v>
      </c>
      <c r="J185" s="249" t="s">
        <v>26</v>
      </c>
      <c r="K185" s="249" t="s">
        <v>46</v>
      </c>
      <c r="L185" s="249" t="s">
        <v>47</v>
      </c>
      <c r="M185" s="249" t="s">
        <v>48</v>
      </c>
      <c r="N185" s="249" t="s">
        <v>49</v>
      </c>
      <c r="O185" s="249" t="s">
        <v>50</v>
      </c>
      <c r="P185" s="249" t="s">
        <v>23</v>
      </c>
      <c r="Q185" s="249" t="s">
        <v>52</v>
      </c>
    </row>
    <row r="186" spans="2:17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4"/>
      <c r="P186" s="14"/>
      <c r="Q186" s="3"/>
    </row>
    <row r="187" spans="2:17" hidden="1">
      <c r="B187" t="str">
        <f>+B154</f>
        <v>Company Name</v>
      </c>
      <c r="C187" s="36">
        <f>+'1.3 SR DCF SS'!B163</f>
        <v>0</v>
      </c>
      <c r="D187" s="12" t="e">
        <f t="shared" ref="D187:D194" si="171">(K187/(1+$F187)^0.5+L187/(1+$F187)^1.5+M187/(1+$F187)^2.5+N187/(1+$F187)^3.5+O187/(1+$F187)^4.5+P187/(1+F187)^5.5+Q187/(1+$F187)^5.5)</f>
        <v>#VALUE!</v>
      </c>
      <c r="E187" s="305" t="e">
        <f t="shared" ref="E187:E194" si="172">C187-D187</f>
        <v>#VALUE!</v>
      </c>
      <c r="F187" s="113">
        <v>8.1869999999999998E-2</v>
      </c>
      <c r="G187" s="36" t="str">
        <f>+G128</f>
        <v>Dividend</v>
      </c>
      <c r="H187" s="21" t="e">
        <f t="shared" ref="H187:H194" si="173">G187/C187</f>
        <v>#VALUE!</v>
      </c>
      <c r="I187" s="21" t="str">
        <f t="shared" ref="I187:J191" si="174">+I128</f>
        <v>Growth</v>
      </c>
      <c r="J187" s="21" t="str">
        <f t="shared" si="174"/>
        <v>Growth</v>
      </c>
      <c r="K187" s="79" t="e">
        <f>G187*(1+$J187/2)</f>
        <v>#VALUE!</v>
      </c>
      <c r="L187" s="79" t="e">
        <f t="shared" ref="L187:L194" si="175">K187*(1+$J187)</f>
        <v>#VALUE!</v>
      </c>
      <c r="M187" s="79" t="e">
        <f t="shared" ref="M187:M194" si="176">L187*(1+$J187)</f>
        <v>#VALUE!</v>
      </c>
      <c r="N187" s="79" t="e">
        <f t="shared" ref="N187:N194" si="177">M187*(1+$J187)</f>
        <v>#VALUE!</v>
      </c>
      <c r="O187" s="79" t="e">
        <f t="shared" ref="O187:O194" si="178">N187*(1+$J187)</f>
        <v>#VALUE!</v>
      </c>
      <c r="P187" s="79" t="e">
        <f t="shared" ref="P187:P194" si="179">O187*(1+$J187)</f>
        <v>#VALUE!</v>
      </c>
      <c r="Q187" t="e">
        <f>P187/($F187-$I187*0.75-$J187*0.25)</f>
        <v>#VALUE!</v>
      </c>
    </row>
    <row r="188" spans="2:17" hidden="1">
      <c r="B188">
        <f>+B155</f>
        <v>0</v>
      </c>
      <c r="C188" s="36">
        <f>+'1.3 SR DCF SS'!B164</f>
        <v>0</v>
      </c>
      <c r="D188" s="12">
        <f t="shared" si="171"/>
        <v>0</v>
      </c>
      <c r="E188" s="305">
        <f t="shared" si="172"/>
        <v>0</v>
      </c>
      <c r="F188" s="113">
        <v>7.9500000000000001E-2</v>
      </c>
      <c r="G188" s="36">
        <f>+G129</f>
        <v>0</v>
      </c>
      <c r="H188" s="21" t="e">
        <f t="shared" si="173"/>
        <v>#DIV/0!</v>
      </c>
      <c r="I188" s="21">
        <f t="shared" si="174"/>
        <v>0</v>
      </c>
      <c r="J188" s="21">
        <f t="shared" si="174"/>
        <v>0</v>
      </c>
      <c r="K188" s="79">
        <f t="shared" ref="K188:K194" si="180">G188*(1+$J188/2)</f>
        <v>0</v>
      </c>
      <c r="L188" s="79">
        <f t="shared" si="175"/>
        <v>0</v>
      </c>
      <c r="M188" s="79">
        <f t="shared" si="176"/>
        <v>0</v>
      </c>
      <c r="N188" s="79">
        <f t="shared" si="177"/>
        <v>0</v>
      </c>
      <c r="O188" s="79">
        <f t="shared" si="178"/>
        <v>0</v>
      </c>
      <c r="P188" s="79">
        <f t="shared" si="179"/>
        <v>0</v>
      </c>
      <c r="Q188">
        <f t="shared" ref="Q188:Q194" si="181">P188/($F188-$I188*0.75-$J188*0.25)</f>
        <v>0</v>
      </c>
    </row>
    <row r="189" spans="2:17" hidden="1">
      <c r="B189" t="str">
        <f>+B156</f>
        <v>AGL Resources</v>
      </c>
      <c r="C189" s="36">
        <f>+'1.3 SR DCF SS'!B165</f>
        <v>0</v>
      </c>
      <c r="D189" s="12">
        <f t="shared" si="171"/>
        <v>53.616767326290791</v>
      </c>
      <c r="E189" s="305">
        <f t="shared" si="172"/>
        <v>-53.616767326290791</v>
      </c>
      <c r="F189" s="113">
        <v>8.1695000000000004E-2</v>
      </c>
      <c r="G189" s="36">
        <f>+G130</f>
        <v>1.861</v>
      </c>
      <c r="H189" s="21" t="e">
        <f t="shared" si="173"/>
        <v>#DIV/0!</v>
      </c>
      <c r="I189" s="21">
        <f t="shared" si="174"/>
        <v>4.6766666666666672E-2</v>
      </c>
      <c r="J189" s="21">
        <f t="shared" si="174"/>
        <v>4.4999999999999998E-2</v>
      </c>
      <c r="K189" s="79">
        <f t="shared" si="180"/>
        <v>1.9028725</v>
      </c>
      <c r="L189" s="79">
        <f t="shared" si="175"/>
        <v>1.9885017624999999</v>
      </c>
      <c r="M189" s="79">
        <f t="shared" si="176"/>
        <v>2.0779843418124999</v>
      </c>
      <c r="N189" s="79">
        <f t="shared" si="177"/>
        <v>2.1714936371940623</v>
      </c>
      <c r="O189" s="79">
        <f t="shared" si="178"/>
        <v>2.2692108508677951</v>
      </c>
      <c r="P189" s="79">
        <f t="shared" si="179"/>
        <v>2.3713253391568458</v>
      </c>
      <c r="Q189">
        <f t="shared" si="181"/>
        <v>67.043407949020235</v>
      </c>
    </row>
    <row r="190" spans="2:17" hidden="1">
      <c r="B190" t="str">
        <f>+B157</f>
        <v>Atmos Energy</v>
      </c>
      <c r="C190" s="36">
        <f>+'1.3 SR DCF SS'!B166</f>
        <v>0</v>
      </c>
      <c r="D190" s="12">
        <f t="shared" si="171"/>
        <v>185.64255179399223</v>
      </c>
      <c r="E190" s="305">
        <f t="shared" si="172"/>
        <v>-185.64255179399223</v>
      </c>
      <c r="F190" s="113">
        <v>5.6404999999999997E-2</v>
      </c>
      <c r="G190" s="36">
        <f>+G131</f>
        <v>1.4049999999999998</v>
      </c>
      <c r="H190" s="21" t="e">
        <f t="shared" si="173"/>
        <v>#DIV/0!</v>
      </c>
      <c r="I190" s="21">
        <f t="shared" si="174"/>
        <v>6.1766666666666664E-2</v>
      </c>
      <c r="J190" s="21">
        <f t="shared" si="174"/>
        <v>1.4999999999999999E-2</v>
      </c>
      <c r="K190" s="79">
        <f t="shared" si="180"/>
        <v>1.4155374999999999</v>
      </c>
      <c r="L190" s="79">
        <f t="shared" si="175"/>
        <v>1.4367705624999998</v>
      </c>
      <c r="M190" s="79">
        <f t="shared" si="176"/>
        <v>1.4583221209374997</v>
      </c>
      <c r="N190" s="79">
        <f t="shared" si="177"/>
        <v>1.4801969527515619</v>
      </c>
      <c r="O190" s="79">
        <f t="shared" si="178"/>
        <v>1.5023999070428353</v>
      </c>
      <c r="P190" s="79">
        <f t="shared" si="179"/>
        <v>1.5249359056484777</v>
      </c>
      <c r="Q190">
        <f t="shared" si="181"/>
        <v>240.90614623198704</v>
      </c>
    </row>
    <row r="191" spans="2:17" hidden="1">
      <c r="B191" t="str">
        <f>+B158</f>
        <v>Laclede Group</v>
      </c>
      <c r="C191" s="36">
        <f>+'1.3 SR DCF SS'!B167</f>
        <v>0</v>
      </c>
      <c r="D191" s="12">
        <f t="shared" si="171"/>
        <v>32.286910172463585</v>
      </c>
      <c r="E191" s="305">
        <f t="shared" si="172"/>
        <v>-32.286910172463585</v>
      </c>
      <c r="F191" s="113">
        <v>9.5604999999999996E-2</v>
      </c>
      <c r="G191" s="36">
        <f>+G132</f>
        <v>1.71</v>
      </c>
      <c r="H191" s="21" t="e">
        <f t="shared" si="173"/>
        <v>#DIV/0!</v>
      </c>
      <c r="I191" s="21">
        <f t="shared" si="174"/>
        <v>4.5133333333333338E-2</v>
      </c>
      <c r="J191" s="21">
        <f t="shared" si="174"/>
        <v>3.5000000000000003E-2</v>
      </c>
      <c r="K191" s="79">
        <f t="shared" si="180"/>
        <v>1.7399250000000002</v>
      </c>
      <c r="L191" s="79">
        <f t="shared" si="175"/>
        <v>1.8008223750000001</v>
      </c>
      <c r="M191" s="79">
        <f t="shared" si="176"/>
        <v>1.8638511581249999</v>
      </c>
      <c r="N191" s="79">
        <f t="shared" si="177"/>
        <v>1.9290859486593748</v>
      </c>
      <c r="O191" s="79">
        <f t="shared" si="178"/>
        <v>1.9966039568624527</v>
      </c>
      <c r="P191" s="79">
        <f t="shared" si="179"/>
        <v>2.0664850953526384</v>
      </c>
      <c r="Q191">
        <f t="shared" si="181"/>
        <v>38.986606836197318</v>
      </c>
    </row>
    <row r="192" spans="2:17" hidden="1">
      <c r="B192" t="str">
        <f t="shared" ref="B192:B194" si="182">+B160</f>
        <v>Northwest Nat. Gas</v>
      </c>
      <c r="C192" s="36">
        <f>+'1.3 SR DCF SS'!B169</f>
        <v>0</v>
      </c>
      <c r="D192" s="12">
        <f t="shared" si="171"/>
        <v>28.609047810056836</v>
      </c>
      <c r="E192" s="305">
        <f t="shared" si="172"/>
        <v>-28.609047810056836</v>
      </c>
      <c r="F192" s="113">
        <v>9.9915000000000004E-2</v>
      </c>
      <c r="G192" s="36">
        <f t="shared" ref="G192:G194" si="183">+G134</f>
        <v>1.84</v>
      </c>
      <c r="H192" s="21" t="e">
        <f t="shared" si="173"/>
        <v>#DIV/0!</v>
      </c>
      <c r="I192" s="21">
        <f t="shared" ref="I192:J194" si="184">+I134</f>
        <v>0.04</v>
      </c>
      <c r="J192" s="21">
        <f t="shared" si="184"/>
        <v>2.5000000000000001E-2</v>
      </c>
      <c r="K192" s="79">
        <f t="shared" si="180"/>
        <v>1.863</v>
      </c>
      <c r="L192" s="79">
        <f t="shared" si="175"/>
        <v>1.9095749999999998</v>
      </c>
      <c r="M192" s="79">
        <f t="shared" si="176"/>
        <v>1.9573143749999997</v>
      </c>
      <c r="N192" s="79">
        <f t="shared" si="177"/>
        <v>2.0062472343749995</v>
      </c>
      <c r="O192" s="79">
        <f t="shared" si="178"/>
        <v>2.0564034152343744</v>
      </c>
      <c r="P192" s="79">
        <f t="shared" si="179"/>
        <v>2.1078135006152334</v>
      </c>
      <c r="Q192">
        <f t="shared" si="181"/>
        <v>33.107885032831753</v>
      </c>
    </row>
    <row r="193" spans="2:17" hidden="1">
      <c r="B193" t="str">
        <f t="shared" si="182"/>
        <v>Piedmont Natural Gas</v>
      </c>
      <c r="C193" s="36">
        <f>+'1.3 SR DCF SS'!B170</f>
        <v>0</v>
      </c>
      <c r="D193" s="12">
        <f t="shared" si="171"/>
        <v>25.613790539556248</v>
      </c>
      <c r="E193" s="305">
        <f t="shared" si="172"/>
        <v>-25.613790539556248</v>
      </c>
      <c r="F193" s="113">
        <v>9.1605000000000006E-2</v>
      </c>
      <c r="G193" s="36">
        <f t="shared" si="183"/>
        <v>1.24</v>
      </c>
      <c r="H193" s="21" t="e">
        <f t="shared" si="173"/>
        <v>#DIV/0!</v>
      </c>
      <c r="I193" s="21">
        <f t="shared" si="184"/>
        <v>5.000000000000001E-2</v>
      </c>
      <c r="J193" s="21">
        <f t="shared" si="184"/>
        <v>0.03</v>
      </c>
      <c r="K193" s="79">
        <f t="shared" si="180"/>
        <v>1.2585999999999999</v>
      </c>
      <c r="L193" s="79">
        <f t="shared" si="175"/>
        <v>1.2963579999999999</v>
      </c>
      <c r="M193" s="79">
        <f t="shared" si="176"/>
        <v>1.3352487399999999</v>
      </c>
      <c r="N193" s="79">
        <f t="shared" si="177"/>
        <v>1.3753062022</v>
      </c>
      <c r="O193" s="79">
        <f t="shared" si="178"/>
        <v>1.4165653882660001</v>
      </c>
      <c r="P193" s="79">
        <f t="shared" si="179"/>
        <v>1.4590623499139801</v>
      </c>
      <c r="Q193">
        <f t="shared" si="181"/>
        <v>31.306991737238068</v>
      </c>
    </row>
    <row r="194" spans="2:17" hidden="1">
      <c r="B194" t="str">
        <f t="shared" si="182"/>
        <v>South Jersey Inds.</v>
      </c>
      <c r="C194" s="36">
        <f>+'1.3 SR DCF SS'!B171</f>
        <v>0</v>
      </c>
      <c r="D194" s="12">
        <f t="shared" si="171"/>
        <v>118.90854744935012</v>
      </c>
      <c r="E194" s="305">
        <f t="shared" si="172"/>
        <v>-118.90854744935012</v>
      </c>
      <c r="F194" s="113">
        <v>8.3199999999999996E-2</v>
      </c>
      <c r="G194" s="36">
        <f t="shared" si="183"/>
        <v>1.8120000000000001</v>
      </c>
      <c r="H194" s="21" t="e">
        <f t="shared" si="173"/>
        <v>#DIV/0!</v>
      </c>
      <c r="I194" s="21">
        <f t="shared" si="184"/>
        <v>0.06</v>
      </c>
      <c r="J194" s="21">
        <f t="shared" si="184"/>
        <v>8.5000000000000006E-2</v>
      </c>
      <c r="K194" s="79">
        <f t="shared" si="180"/>
        <v>1.8890100000000001</v>
      </c>
      <c r="L194" s="79">
        <f t="shared" si="175"/>
        <v>2.0495758500000001</v>
      </c>
      <c r="M194" s="79">
        <f t="shared" si="176"/>
        <v>2.2237897972499998</v>
      </c>
      <c r="N194" s="79">
        <f t="shared" si="177"/>
        <v>2.4128119300162498</v>
      </c>
      <c r="O194" s="79">
        <f t="shared" si="178"/>
        <v>2.6179009440676309</v>
      </c>
      <c r="P194" s="79">
        <f t="shared" si="179"/>
        <v>2.8404225243133796</v>
      </c>
      <c r="Q194">
        <f t="shared" si="181"/>
        <v>167.57655010698409</v>
      </c>
    </row>
    <row r="195" spans="2:17" hidden="1">
      <c r="D195" s="12"/>
      <c r="E195" s="12"/>
      <c r="F195" s="6"/>
      <c r="H195" s="3"/>
      <c r="I195" s="11"/>
      <c r="J195" s="3"/>
      <c r="O195"/>
      <c r="P195"/>
    </row>
    <row r="196" spans="2:17" hidden="1">
      <c r="B196" s="5" t="s">
        <v>77</v>
      </c>
      <c r="D196" s="12"/>
      <c r="E196" s="12"/>
      <c r="F196" s="6">
        <f>AVERAGE(F187:F195)</f>
        <v>8.3724375000000018E-2</v>
      </c>
      <c r="H196" s="6" t="e">
        <f>AVERAGE(H187:H195)</f>
        <v>#VALUE!</v>
      </c>
      <c r="I196" s="6">
        <f>AVERAGE(I187:I195)</f>
        <v>4.3380952380952388E-2</v>
      </c>
      <c r="J196" s="6">
        <f>AVERAGE(J187:J195)</f>
        <v>3.3571428571428572E-2</v>
      </c>
      <c r="O196"/>
      <c r="P196"/>
    </row>
    <row r="197" spans="2:17" hidden="1">
      <c r="B197" s="5" t="s">
        <v>43</v>
      </c>
      <c r="F197" s="6">
        <f>STDEV(F187:F195)</f>
        <v>1.3295624800635779E-2</v>
      </c>
      <c r="H197" s="6"/>
      <c r="I197" s="6"/>
      <c r="J197" s="6"/>
      <c r="O197"/>
      <c r="P197"/>
    </row>
    <row r="198" spans="2:17" hidden="1">
      <c r="B198" s="5" t="s">
        <v>21</v>
      </c>
      <c r="F198" s="6">
        <f>+MEDIAN(F187:F195)</f>
        <v>8.2534999999999997E-2</v>
      </c>
      <c r="H198" s="6"/>
      <c r="I198" s="6"/>
      <c r="J198" s="6"/>
      <c r="O198"/>
      <c r="P198"/>
    </row>
    <row r="199" spans="2:17" hidden="1">
      <c r="B199" s="5"/>
      <c r="H199" s="6"/>
      <c r="K199" s="6"/>
      <c r="O199"/>
      <c r="P199"/>
    </row>
    <row r="200" spans="2:17" ht="15.75" hidden="1">
      <c r="B200" s="8" t="s">
        <v>42</v>
      </c>
      <c r="C200" s="9">
        <f>F196</f>
        <v>8.3724375000000018E-2</v>
      </c>
      <c r="D200" s="9"/>
      <c r="E200" s="9"/>
      <c r="F200" s="9"/>
      <c r="G200" s="4"/>
      <c r="H200" s="9"/>
      <c r="K200" s="6"/>
      <c r="O200"/>
      <c r="P200"/>
    </row>
    <row r="201" spans="2:17" hidden="1">
      <c r="M201" s="12"/>
      <c r="N201" s="12"/>
      <c r="O201"/>
      <c r="P201"/>
    </row>
    <row r="202" spans="2:17" hidden="1">
      <c r="C202" s="37" t="s">
        <v>141</v>
      </c>
    </row>
    <row r="203" spans="2:17" hidden="1">
      <c r="C203" t="s">
        <v>100</v>
      </c>
    </row>
    <row r="204" spans="2:17" hidden="1"/>
    <row r="205" spans="2:17" hidden="1">
      <c r="P205" s="51"/>
    </row>
    <row r="206" spans="2:17" ht="15.75" hidden="1">
      <c r="B206" s="65" t="s">
        <v>235</v>
      </c>
      <c r="O206" s="2"/>
      <c r="P206" s="5"/>
      <c r="Q206" s="13"/>
    </row>
    <row r="207" spans="2:17" ht="15.75" hidden="1">
      <c r="B207" s="10"/>
      <c r="O207" s="2"/>
      <c r="P207" s="2"/>
      <c r="Q207" s="13"/>
    </row>
    <row r="208" spans="2:17" hidden="1">
      <c r="C208" s="249" t="str">
        <f>+C183</f>
        <v xml:space="preserve">30 Day </v>
      </c>
      <c r="D208" s="331"/>
      <c r="E208" s="331"/>
      <c r="F208" s="249" t="s">
        <v>45</v>
      </c>
      <c r="G208" s="331"/>
      <c r="H208" s="249" t="s">
        <v>40</v>
      </c>
      <c r="I208" s="249" t="str">
        <f>+I183</f>
        <v>VL Projected</v>
      </c>
      <c r="J208" s="249" t="str">
        <f>+J183</f>
        <v>VL Projected</v>
      </c>
      <c r="K208" s="25"/>
      <c r="L208" s="331"/>
      <c r="M208" s="249"/>
      <c r="N208" s="331"/>
      <c r="O208" s="331"/>
      <c r="P208" s="331"/>
      <c r="Q208" s="331"/>
    </row>
    <row r="209" spans="2:17" hidden="1">
      <c r="C209" s="49" t="str">
        <f>C184</f>
        <v>Average</v>
      </c>
      <c r="D209" s="24" t="s">
        <v>44</v>
      </c>
      <c r="E209" s="24"/>
      <c r="F209" s="249" t="s">
        <v>63</v>
      </c>
      <c r="G209" s="249" t="s">
        <v>22</v>
      </c>
      <c r="H209" s="249" t="s">
        <v>41</v>
      </c>
      <c r="I209" s="249" t="s">
        <v>64</v>
      </c>
      <c r="J209" s="249" t="s">
        <v>65</v>
      </c>
      <c r="K209" s="249" t="s">
        <v>23</v>
      </c>
      <c r="L209" s="249" t="s">
        <v>23</v>
      </c>
      <c r="M209" s="249" t="s">
        <v>23</v>
      </c>
      <c r="N209" s="249" t="s">
        <v>23</v>
      </c>
      <c r="O209" s="249" t="s">
        <v>23</v>
      </c>
      <c r="P209" s="249" t="s">
        <v>51</v>
      </c>
      <c r="Q209" s="249" t="s">
        <v>51</v>
      </c>
    </row>
    <row r="210" spans="2:17" hidden="1">
      <c r="B210" s="2" t="s">
        <v>3</v>
      </c>
      <c r="C210" s="249" t="s">
        <v>4</v>
      </c>
      <c r="D210" s="24" t="s">
        <v>37</v>
      </c>
      <c r="E210" s="24" t="s">
        <v>53</v>
      </c>
      <c r="F210" s="249" t="s">
        <v>24</v>
      </c>
      <c r="G210" s="249" t="s">
        <v>23</v>
      </c>
      <c r="H210" s="249" t="s">
        <v>37</v>
      </c>
      <c r="I210" s="249" t="s">
        <v>26</v>
      </c>
      <c r="J210" s="249" t="s">
        <v>26</v>
      </c>
      <c r="K210" s="249" t="s">
        <v>46</v>
      </c>
      <c r="L210" s="249" t="s">
        <v>47</v>
      </c>
      <c r="M210" s="249" t="s">
        <v>48</v>
      </c>
      <c r="N210" s="249" t="s">
        <v>49</v>
      </c>
      <c r="O210" s="249" t="s">
        <v>50</v>
      </c>
      <c r="P210" s="249" t="s">
        <v>23</v>
      </c>
      <c r="Q210" s="249" t="s">
        <v>52</v>
      </c>
    </row>
    <row r="211" spans="2:17" hidden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4"/>
      <c r="P211" s="14"/>
      <c r="Q211" s="3"/>
    </row>
    <row r="212" spans="2:17" hidden="1">
      <c r="B212" t="str">
        <f t="shared" ref="B212:C219" si="185">B187</f>
        <v>Company Name</v>
      </c>
      <c r="C212" s="36">
        <f t="shared" si="185"/>
        <v>0</v>
      </c>
      <c r="D212" s="36" t="e">
        <f t="shared" ref="D212:D219" si="186">(K212/(1+$F212)^0.5+L212/(1+$F212)^1.5+M212/(1+$F212)^2.5+N212/(1+$F212)^3.5+O212/(1+$F212)^4.5+P212/(1+F212)^5.5+Q212/(1+$F212)^5.5)</f>
        <v>#VALUE!</v>
      </c>
      <c r="E212" s="305" t="e">
        <f t="shared" ref="E212:E219" si="187">C212-D212</f>
        <v>#VALUE!</v>
      </c>
      <c r="F212" s="124">
        <v>8.3799999999999999E-2</v>
      </c>
      <c r="G212" s="36" t="str">
        <f t="shared" ref="G212:J219" si="188">G187</f>
        <v>Dividend</v>
      </c>
      <c r="H212" s="21" t="e">
        <f t="shared" si="188"/>
        <v>#VALUE!</v>
      </c>
      <c r="I212" s="21" t="str">
        <f t="shared" si="188"/>
        <v>Growth</v>
      </c>
      <c r="J212" s="21" t="str">
        <f t="shared" si="188"/>
        <v>Growth</v>
      </c>
      <c r="K212" t="e">
        <f>G212*(1+$J212/2)</f>
        <v>#VALUE!</v>
      </c>
      <c r="L212" t="e">
        <f>K212*(1+$J212)</f>
        <v>#VALUE!</v>
      </c>
      <c r="M212" t="e">
        <f t="shared" ref="M212:M219" si="189">L212*(1+$J212)</f>
        <v>#VALUE!</v>
      </c>
      <c r="N212" t="e">
        <f t="shared" ref="N212:N219" si="190">M212*(1+$J212)</f>
        <v>#VALUE!</v>
      </c>
      <c r="O212" t="e">
        <f t="shared" ref="O212:O219" si="191">N212*(1+$J212)</f>
        <v>#VALUE!</v>
      </c>
      <c r="P212" t="e">
        <f t="shared" ref="P212:P219" si="192">O212*(1+$J212)</f>
        <v>#VALUE!</v>
      </c>
      <c r="Q212" t="e">
        <f>P212/($F212-I212)</f>
        <v>#VALUE!</v>
      </c>
    </row>
    <row r="213" spans="2:17" hidden="1">
      <c r="B213">
        <f t="shared" si="185"/>
        <v>0</v>
      </c>
      <c r="C213" s="36">
        <f t="shared" si="185"/>
        <v>0</v>
      </c>
      <c r="D213" s="36">
        <f t="shared" si="186"/>
        <v>0</v>
      </c>
      <c r="E213" s="305">
        <f t="shared" si="187"/>
        <v>0</v>
      </c>
      <c r="F213" s="124">
        <v>8.4430000000000005E-2</v>
      </c>
      <c r="G213" s="36">
        <f t="shared" si="188"/>
        <v>0</v>
      </c>
      <c r="H213" s="21" t="e">
        <f t="shared" si="188"/>
        <v>#DIV/0!</v>
      </c>
      <c r="I213" s="21">
        <f t="shared" si="188"/>
        <v>0</v>
      </c>
      <c r="J213" s="21">
        <f t="shared" si="188"/>
        <v>0</v>
      </c>
      <c r="K213">
        <f t="shared" ref="K213:K219" si="193">G213*(1+$J213/2)</f>
        <v>0</v>
      </c>
      <c r="L213">
        <f t="shared" ref="L213:L219" si="194">K213*(1+$J213)</f>
        <v>0</v>
      </c>
      <c r="M213">
        <f t="shared" si="189"/>
        <v>0</v>
      </c>
      <c r="N213">
        <f t="shared" si="190"/>
        <v>0</v>
      </c>
      <c r="O213">
        <f t="shared" si="191"/>
        <v>0</v>
      </c>
      <c r="P213">
        <f t="shared" si="192"/>
        <v>0</v>
      </c>
      <c r="Q213">
        <f>P213/($F213-I213)</f>
        <v>0</v>
      </c>
    </row>
    <row r="214" spans="2:17" hidden="1">
      <c r="B214" t="str">
        <f t="shared" si="185"/>
        <v>AGL Resources</v>
      </c>
      <c r="C214" s="36">
        <f t="shared" si="185"/>
        <v>0</v>
      </c>
      <c r="D214" s="36">
        <f t="shared" si="186"/>
        <v>51.392768656709954</v>
      </c>
      <c r="E214" s="305">
        <f t="shared" si="187"/>
        <v>-51.392768656709954</v>
      </c>
      <c r="F214" s="124">
        <v>8.3629999999999996E-2</v>
      </c>
      <c r="G214" s="36">
        <f t="shared" si="188"/>
        <v>1.861</v>
      </c>
      <c r="H214" s="21" t="e">
        <f t="shared" si="188"/>
        <v>#DIV/0!</v>
      </c>
      <c r="I214" s="21">
        <f t="shared" si="188"/>
        <v>4.6766666666666672E-2</v>
      </c>
      <c r="J214" s="21">
        <f t="shared" si="188"/>
        <v>4.4999999999999998E-2</v>
      </c>
      <c r="K214">
        <f t="shared" si="193"/>
        <v>1.9028725</v>
      </c>
      <c r="L214">
        <f t="shared" si="194"/>
        <v>1.9885017624999999</v>
      </c>
      <c r="M214">
        <f t="shared" si="189"/>
        <v>2.0779843418124999</v>
      </c>
      <c r="N214">
        <f t="shared" si="190"/>
        <v>2.1714936371940623</v>
      </c>
      <c r="O214">
        <f t="shared" si="191"/>
        <v>2.2692108508677951</v>
      </c>
      <c r="P214">
        <f t="shared" si="192"/>
        <v>2.3713253391568458</v>
      </c>
      <c r="Q214">
        <f t="shared" ref="Q214:Q219" si="195">P214/($F214-I214)</f>
        <v>64.32748003861596</v>
      </c>
    </row>
    <row r="215" spans="2:17" hidden="1">
      <c r="B215" t="str">
        <f t="shared" si="185"/>
        <v>Atmos Energy</v>
      </c>
      <c r="C215" s="36">
        <f t="shared" si="185"/>
        <v>0</v>
      </c>
      <c r="D215" s="36">
        <f t="shared" si="186"/>
        <v>-453.04005007365424</v>
      </c>
      <c r="E215" s="305">
        <f t="shared" si="187"/>
        <v>453.04005007365424</v>
      </c>
      <c r="F215" s="124">
        <v>5.9354999999999998E-2</v>
      </c>
      <c r="G215" s="36">
        <f t="shared" si="188"/>
        <v>1.4049999999999998</v>
      </c>
      <c r="H215" s="21" t="e">
        <f t="shared" si="188"/>
        <v>#DIV/0!</v>
      </c>
      <c r="I215" s="21">
        <f t="shared" si="188"/>
        <v>6.1766666666666664E-2</v>
      </c>
      <c r="J215" s="21">
        <f t="shared" si="188"/>
        <v>1.4999999999999999E-2</v>
      </c>
      <c r="K215">
        <f t="shared" si="193"/>
        <v>1.4155374999999999</v>
      </c>
      <c r="L215">
        <f t="shared" si="194"/>
        <v>1.4367705624999998</v>
      </c>
      <c r="M215">
        <f t="shared" si="189"/>
        <v>1.4583221209374997</v>
      </c>
      <c r="N215">
        <f t="shared" si="190"/>
        <v>1.4801969527515619</v>
      </c>
      <c r="O215">
        <f t="shared" si="191"/>
        <v>1.5023999070428353</v>
      </c>
      <c r="P215">
        <f t="shared" si="192"/>
        <v>1.5249359056484777</v>
      </c>
      <c r="Q215">
        <f t="shared" si="195"/>
        <v>-632.31620137462812</v>
      </c>
    </row>
    <row r="216" spans="2:17" hidden="1">
      <c r="B216" t="str">
        <f t="shared" si="185"/>
        <v>Laclede Group</v>
      </c>
      <c r="C216" s="36">
        <f t="shared" si="185"/>
        <v>0</v>
      </c>
      <c r="D216" s="36">
        <f t="shared" si="186"/>
        <v>35.516195098580909</v>
      </c>
      <c r="E216" s="305">
        <f t="shared" si="187"/>
        <v>-35.516195098580909</v>
      </c>
      <c r="F216" s="124">
        <v>9.2590000000000006E-2</v>
      </c>
      <c r="G216" s="36">
        <f t="shared" si="188"/>
        <v>1.71</v>
      </c>
      <c r="H216" s="21" t="e">
        <f t="shared" si="188"/>
        <v>#DIV/0!</v>
      </c>
      <c r="I216" s="21">
        <f t="shared" si="188"/>
        <v>4.5133333333333338E-2</v>
      </c>
      <c r="J216" s="21">
        <f t="shared" si="188"/>
        <v>3.5000000000000003E-2</v>
      </c>
      <c r="K216">
        <f t="shared" si="193"/>
        <v>1.7399250000000002</v>
      </c>
      <c r="L216">
        <f t="shared" si="194"/>
        <v>1.8008223750000001</v>
      </c>
      <c r="M216">
        <f t="shared" si="189"/>
        <v>1.8638511581249999</v>
      </c>
      <c r="N216">
        <f t="shared" si="190"/>
        <v>1.9290859486593748</v>
      </c>
      <c r="O216">
        <f t="shared" si="191"/>
        <v>1.9966039568624527</v>
      </c>
      <c r="P216">
        <f t="shared" si="192"/>
        <v>2.0664850953526384</v>
      </c>
      <c r="Q216">
        <f t="shared" si="195"/>
        <v>43.544674341911325</v>
      </c>
    </row>
    <row r="217" spans="2:17" hidden="1">
      <c r="B217" t="str">
        <f t="shared" si="185"/>
        <v>Northwest Nat. Gas</v>
      </c>
      <c r="C217" s="36">
        <f t="shared" si="185"/>
        <v>0</v>
      </c>
      <c r="D217" s="36">
        <f t="shared" si="186"/>
        <v>32.488251903698803</v>
      </c>
      <c r="E217" s="305">
        <f t="shared" si="187"/>
        <v>-32.488251903698803</v>
      </c>
      <c r="F217" s="124">
        <v>9.4805E-2</v>
      </c>
      <c r="G217" s="36">
        <f t="shared" si="188"/>
        <v>1.84</v>
      </c>
      <c r="H217" s="21" t="e">
        <f t="shared" si="188"/>
        <v>#DIV/0!</v>
      </c>
      <c r="I217" s="21">
        <f t="shared" si="188"/>
        <v>0.04</v>
      </c>
      <c r="J217" s="21">
        <f t="shared" si="188"/>
        <v>2.5000000000000001E-2</v>
      </c>
      <c r="K217">
        <f t="shared" si="193"/>
        <v>1.863</v>
      </c>
      <c r="L217">
        <f t="shared" si="194"/>
        <v>1.9095749999999998</v>
      </c>
      <c r="M217">
        <f t="shared" si="189"/>
        <v>1.9573143749999997</v>
      </c>
      <c r="N217">
        <f t="shared" si="190"/>
        <v>2.0062472343749995</v>
      </c>
      <c r="O217">
        <f t="shared" si="191"/>
        <v>2.0564034152343744</v>
      </c>
      <c r="P217">
        <f t="shared" si="192"/>
        <v>2.1078135006152334</v>
      </c>
      <c r="Q217">
        <f t="shared" si="195"/>
        <v>38.460240865162547</v>
      </c>
    </row>
    <row r="218" spans="2:17" hidden="1">
      <c r="B218" t="str">
        <f t="shared" si="185"/>
        <v>Piedmont Natural Gas</v>
      </c>
      <c r="C218" s="36">
        <f t="shared" si="185"/>
        <v>0</v>
      </c>
      <c r="D218" s="36">
        <f t="shared" si="186"/>
        <v>26.645742535789449</v>
      </c>
      <c r="E218" s="305">
        <f t="shared" si="187"/>
        <v>-26.645742535789449</v>
      </c>
      <c r="F218" s="124">
        <v>9.3704999999999997E-2</v>
      </c>
      <c r="G218" s="36">
        <f t="shared" si="188"/>
        <v>1.24</v>
      </c>
      <c r="H218" s="21" t="e">
        <f t="shared" si="188"/>
        <v>#DIV/0!</v>
      </c>
      <c r="I218" s="21">
        <f t="shared" si="188"/>
        <v>5.000000000000001E-2</v>
      </c>
      <c r="J218" s="21">
        <f t="shared" si="188"/>
        <v>0.03</v>
      </c>
      <c r="K218">
        <f t="shared" si="193"/>
        <v>1.2585999999999999</v>
      </c>
      <c r="L218">
        <f t="shared" si="194"/>
        <v>1.2963579999999999</v>
      </c>
      <c r="M218">
        <f t="shared" si="189"/>
        <v>1.3352487399999999</v>
      </c>
      <c r="N218">
        <f t="shared" si="190"/>
        <v>1.3753062022</v>
      </c>
      <c r="O218">
        <f t="shared" si="191"/>
        <v>1.4165653882660001</v>
      </c>
      <c r="P218">
        <f t="shared" si="192"/>
        <v>1.4590623499139801</v>
      </c>
      <c r="Q218">
        <f t="shared" si="195"/>
        <v>33.384334742340251</v>
      </c>
    </row>
    <row r="219" spans="2:17" hidden="1">
      <c r="B219" t="str">
        <f t="shared" si="185"/>
        <v>South Jersey Inds.</v>
      </c>
      <c r="C219" s="36">
        <f t="shared" si="185"/>
        <v>0</v>
      </c>
      <c r="D219" s="36">
        <f t="shared" si="186"/>
        <v>82.86423817858099</v>
      </c>
      <c r="E219" s="305">
        <f t="shared" si="187"/>
        <v>-82.86423817858099</v>
      </c>
      <c r="F219" s="124">
        <v>8.5169999999999996E-2</v>
      </c>
      <c r="G219" s="36">
        <f t="shared" si="188"/>
        <v>1.8120000000000001</v>
      </c>
      <c r="H219" s="21" t="e">
        <f t="shared" si="188"/>
        <v>#DIV/0!</v>
      </c>
      <c r="I219" s="21">
        <f t="shared" si="188"/>
        <v>0.06</v>
      </c>
      <c r="J219" s="21">
        <f t="shared" si="188"/>
        <v>8.5000000000000006E-2</v>
      </c>
      <c r="K219">
        <f t="shared" si="193"/>
        <v>1.8890100000000001</v>
      </c>
      <c r="L219">
        <f t="shared" si="194"/>
        <v>2.0495758500000001</v>
      </c>
      <c r="M219">
        <f t="shared" si="189"/>
        <v>2.2237897972499998</v>
      </c>
      <c r="N219">
        <f t="shared" si="190"/>
        <v>2.4128119300162498</v>
      </c>
      <c r="O219">
        <f t="shared" si="191"/>
        <v>2.6179009440676309</v>
      </c>
      <c r="P219">
        <f t="shared" si="192"/>
        <v>2.8404225243133796</v>
      </c>
      <c r="Q219">
        <f t="shared" si="195"/>
        <v>112.84952420792133</v>
      </c>
    </row>
    <row r="220" spans="2:17" hidden="1">
      <c r="D220" s="12"/>
      <c r="E220" s="12"/>
      <c r="F220" s="6"/>
      <c r="H220" s="3"/>
      <c r="I220" s="11"/>
      <c r="J220" s="3"/>
      <c r="O220"/>
      <c r="P220"/>
    </row>
    <row r="221" spans="2:17" hidden="1">
      <c r="B221" s="5" t="s">
        <v>77</v>
      </c>
      <c r="D221" s="12"/>
      <c r="E221" s="12"/>
      <c r="F221" s="6">
        <f>AVERAGE(F212:F220)</f>
        <v>8.4685625E-2</v>
      </c>
      <c r="H221" s="6" t="e">
        <f>AVERAGE(H212:H220)</f>
        <v>#VALUE!</v>
      </c>
      <c r="I221" s="6">
        <f>AVERAGE(I212:I220)</f>
        <v>4.3380952380952388E-2</v>
      </c>
      <c r="J221" s="6">
        <f>AVERAGE(J212:J220)</f>
        <v>3.3571428571428572E-2</v>
      </c>
      <c r="O221"/>
      <c r="P221"/>
    </row>
    <row r="222" spans="2:17" hidden="1">
      <c r="B222" s="5" t="s">
        <v>43</v>
      </c>
      <c r="F222" s="6">
        <f>STDEV(F212:F220)</f>
        <v>1.1276202640168521E-2</v>
      </c>
      <c r="H222" s="6"/>
      <c r="I222" s="6"/>
      <c r="J222" s="6"/>
      <c r="O222"/>
      <c r="P222"/>
    </row>
    <row r="223" spans="2:17" hidden="1">
      <c r="B223" s="5" t="s">
        <v>21</v>
      </c>
      <c r="F223" s="6">
        <f>+MEDIAN(F212:F219)</f>
        <v>8.48E-2</v>
      </c>
      <c r="H223" s="6"/>
      <c r="I223" s="6"/>
      <c r="J223" s="6"/>
      <c r="O223"/>
      <c r="P223"/>
    </row>
    <row r="224" spans="2:17" hidden="1">
      <c r="B224" s="5"/>
      <c r="H224" s="6"/>
      <c r="K224" s="6"/>
      <c r="O224"/>
      <c r="P224"/>
    </row>
    <row r="225" spans="2:16" ht="15.75" hidden="1">
      <c r="B225" s="8" t="s">
        <v>42</v>
      </c>
      <c r="C225" s="9">
        <f>F221</f>
        <v>8.4685625E-2</v>
      </c>
      <c r="D225" s="9"/>
      <c r="E225" s="9"/>
      <c r="F225" s="9"/>
      <c r="G225" s="4"/>
      <c r="H225" s="9"/>
      <c r="K225" s="6"/>
      <c r="O225"/>
      <c r="P225"/>
    </row>
    <row r="226" spans="2:16" hidden="1">
      <c r="M226" s="12"/>
      <c r="N226" s="12"/>
      <c r="O226"/>
      <c r="P226"/>
    </row>
    <row r="227" spans="2:16" hidden="1">
      <c r="C227" s="37" t="s">
        <v>142</v>
      </c>
    </row>
    <row r="228" spans="2:16" hidden="1">
      <c r="C228" t="s">
        <v>100</v>
      </c>
    </row>
    <row r="229" spans="2:16" hidden="1"/>
  </sheetData>
  <phoneticPr fontId="3" type="noConversion"/>
  <pageMargins left="0.75" right="0.75" top="1" bottom="1" header="0.5" footer="0.5"/>
  <pageSetup scale="65" fitToHeight="3" orientation="landscape" r:id="rId1"/>
  <headerFooter alignWithMargins="0"/>
  <rowBreaks count="3" manualBreakCount="3">
    <brk id="59" max="16" man="1"/>
    <brk id="118" max="16" man="1"/>
    <brk id="171" max="16" man="1"/>
  </rowBreaks>
  <colBreaks count="1" manualBreakCount="1">
    <brk id="18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="110" zoomScaleNormal="11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U10" sqref="U10"/>
    </sheetView>
  </sheetViews>
  <sheetFormatPr defaultRowHeight="12.75"/>
  <cols>
    <col min="1" max="1" width="2.83203125" hidden="1" customWidth="1"/>
    <col min="2" max="2" width="22.6640625" customWidth="1"/>
    <col min="4" max="8" width="13.83203125" hidden="1" customWidth="1"/>
    <col min="9" max="9" width="12.5" hidden="1" customWidth="1"/>
    <col min="10" max="10" width="9.1640625" customWidth="1"/>
    <col min="14" max="14" width="9.83203125" bestFit="1" customWidth="1"/>
    <col min="15" max="15" width="9.5" bestFit="1" customWidth="1"/>
    <col min="16" max="16" width="9.83203125" style="58" hidden="1" customWidth="1"/>
    <col min="17" max="17" width="9.5" style="58" hidden="1" customWidth="1"/>
    <col min="18" max="18" width="11.83203125" style="23" bestFit="1" customWidth="1"/>
    <col min="19" max="19" width="11.5" style="23" bestFit="1" customWidth="1"/>
    <col min="22" max="22" width="10.5" hidden="1" customWidth="1"/>
    <col min="23" max="36" width="0" hidden="1" customWidth="1"/>
    <col min="37" max="37" width="9.5" hidden="1" customWidth="1"/>
    <col min="38" max="38" width="15.1640625" hidden="1" customWidth="1"/>
  </cols>
  <sheetData>
    <row r="1" spans="1:45" ht="15.75">
      <c r="S1" s="8" t="s">
        <v>288</v>
      </c>
    </row>
    <row r="2" spans="1:45" ht="15.75">
      <c r="S2" s="613"/>
    </row>
    <row r="3" spans="1:45" ht="18.75">
      <c r="B3" s="28" t="s">
        <v>86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3"/>
      <c r="Q3" s="53"/>
      <c r="R3" s="44"/>
      <c r="S3" s="44"/>
    </row>
    <row r="4" spans="1:45" ht="15.75">
      <c r="B4" s="31" t="s">
        <v>89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4"/>
      <c r="Q4" s="54"/>
      <c r="R4" s="44"/>
      <c r="S4" s="44"/>
      <c r="W4" s="2"/>
    </row>
    <row r="5" spans="1:45" ht="15.75">
      <c r="B5" s="47">
        <v>41634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54"/>
      <c r="Q5" s="54"/>
      <c r="R5" s="44"/>
      <c r="S5" s="44"/>
      <c r="W5" s="2"/>
    </row>
    <row r="6" spans="1:45">
      <c r="W6" s="2"/>
    </row>
    <row r="8" spans="1:45">
      <c r="D8" s="2"/>
      <c r="E8" s="2"/>
      <c r="F8" s="2"/>
      <c r="G8" s="2"/>
      <c r="H8" s="2"/>
      <c r="I8" s="2"/>
      <c r="J8" s="15" t="s">
        <v>54</v>
      </c>
      <c r="K8" s="15" t="s">
        <v>55</v>
      </c>
      <c r="L8" s="132" t="s">
        <v>81</v>
      </c>
      <c r="M8" s="132" t="s">
        <v>274</v>
      </c>
      <c r="N8" s="15"/>
      <c r="O8" s="15"/>
      <c r="P8" s="55"/>
      <c r="Q8" s="55"/>
      <c r="R8" s="39" t="s">
        <v>25</v>
      </c>
      <c r="S8" s="39" t="s">
        <v>84</v>
      </c>
      <c r="V8" s="17" t="s">
        <v>158</v>
      </c>
      <c r="W8" s="17" t="s">
        <v>158</v>
      </c>
      <c r="X8" s="88">
        <v>2012</v>
      </c>
      <c r="Y8" s="17"/>
      <c r="Z8" s="88">
        <v>2012</v>
      </c>
      <c r="AA8" s="17"/>
      <c r="AB8" s="17" t="s">
        <v>55</v>
      </c>
      <c r="AC8" s="17" t="s">
        <v>155</v>
      </c>
      <c r="AD8" s="17" t="s">
        <v>166</v>
      </c>
      <c r="AE8" s="17" t="s">
        <v>163</v>
      </c>
      <c r="AF8" s="17" t="s">
        <v>165</v>
      </c>
      <c r="AG8" s="17"/>
      <c r="AH8" s="17"/>
      <c r="AI8" s="17" t="s">
        <v>161</v>
      </c>
      <c r="AJ8" s="17" t="s">
        <v>161</v>
      </c>
      <c r="AK8" s="88">
        <v>2012</v>
      </c>
      <c r="AL8" s="17"/>
      <c r="AM8" s="17"/>
      <c r="AN8" s="17"/>
      <c r="AO8" s="17"/>
      <c r="AP8" s="17"/>
      <c r="AQ8" s="17"/>
      <c r="AR8" s="17"/>
      <c r="AS8" s="17"/>
    </row>
    <row r="9" spans="1:45">
      <c r="C9" s="2" t="s">
        <v>20</v>
      </c>
      <c r="D9" s="2"/>
      <c r="E9" s="2"/>
      <c r="F9" s="2"/>
      <c r="G9" s="2"/>
      <c r="H9" s="2"/>
      <c r="I9" s="2"/>
      <c r="J9" s="15" t="s">
        <v>35</v>
      </c>
      <c r="K9" s="15" t="s">
        <v>56</v>
      </c>
      <c r="L9" s="132" t="s">
        <v>56</v>
      </c>
      <c r="M9" s="132" t="s">
        <v>56</v>
      </c>
      <c r="N9" s="70" t="s">
        <v>290</v>
      </c>
      <c r="O9" s="70"/>
      <c r="P9" s="70" t="s">
        <v>126</v>
      </c>
      <c r="Q9" s="70"/>
      <c r="R9" s="39" t="s">
        <v>78</v>
      </c>
      <c r="S9" s="39" t="s">
        <v>85</v>
      </c>
      <c r="V9" s="17" t="s">
        <v>149</v>
      </c>
      <c r="W9" s="88">
        <v>2012</v>
      </c>
      <c r="X9" s="17" t="s">
        <v>152</v>
      </c>
      <c r="Y9" s="17" t="s">
        <v>23</v>
      </c>
      <c r="Z9" s="17" t="s">
        <v>159</v>
      </c>
      <c r="AA9" s="17"/>
      <c r="AB9" s="17" t="s">
        <v>168</v>
      </c>
      <c r="AC9" s="17" t="s">
        <v>156</v>
      </c>
      <c r="AD9" s="17" t="s">
        <v>164</v>
      </c>
      <c r="AE9" s="17" t="s">
        <v>164</v>
      </c>
      <c r="AF9" s="17" t="s">
        <v>164</v>
      </c>
      <c r="AG9" s="17"/>
      <c r="AH9" s="17"/>
      <c r="AI9" s="17" t="s">
        <v>152</v>
      </c>
      <c r="AJ9" s="17" t="s">
        <v>23</v>
      </c>
      <c r="AK9" s="17" t="s">
        <v>84</v>
      </c>
      <c r="AL9" s="17"/>
      <c r="AM9" s="17"/>
      <c r="AN9" s="17"/>
      <c r="AO9" s="17"/>
      <c r="AP9" s="17"/>
      <c r="AQ9" s="17"/>
      <c r="AR9" s="17"/>
      <c r="AS9" s="17"/>
    </row>
    <row r="10" spans="1:45">
      <c r="B10" s="2" t="s">
        <v>3</v>
      </c>
      <c r="C10" s="2" t="s">
        <v>73</v>
      </c>
      <c r="D10" s="2" t="s">
        <v>74</v>
      </c>
      <c r="E10" s="2"/>
      <c r="F10" s="2"/>
      <c r="G10" s="2"/>
      <c r="H10" s="2"/>
      <c r="I10" s="2"/>
      <c r="J10" s="15" t="s">
        <v>36</v>
      </c>
      <c r="K10" s="15" t="s">
        <v>57</v>
      </c>
      <c r="L10" s="132" t="s">
        <v>57</v>
      </c>
      <c r="M10" s="132" t="s">
        <v>57</v>
      </c>
      <c r="N10" s="55" t="s">
        <v>78</v>
      </c>
      <c r="O10" s="55" t="s">
        <v>127</v>
      </c>
      <c r="P10" s="55" t="s">
        <v>78</v>
      </c>
      <c r="Q10" s="55" t="s">
        <v>127</v>
      </c>
      <c r="R10" s="40" t="s">
        <v>90</v>
      </c>
      <c r="S10" s="40"/>
      <c r="V10" s="17" t="s">
        <v>150</v>
      </c>
      <c r="W10" s="17" t="s">
        <v>151</v>
      </c>
      <c r="X10" s="17" t="s">
        <v>153</v>
      </c>
      <c r="Y10" s="17" t="s">
        <v>154</v>
      </c>
      <c r="Z10" s="17" t="s">
        <v>1</v>
      </c>
      <c r="AA10" s="17" t="s">
        <v>98</v>
      </c>
      <c r="AB10" s="17" t="s">
        <v>36</v>
      </c>
      <c r="AC10" s="17" t="s">
        <v>57</v>
      </c>
      <c r="AD10" s="17" t="s">
        <v>116</v>
      </c>
      <c r="AE10" s="17" t="s">
        <v>116</v>
      </c>
      <c r="AF10" s="17" t="s">
        <v>116</v>
      </c>
      <c r="AG10" s="17" t="s">
        <v>157</v>
      </c>
      <c r="AH10" s="17" t="s">
        <v>160</v>
      </c>
      <c r="AI10" s="17" t="s">
        <v>26</v>
      </c>
      <c r="AJ10" s="17" t="s">
        <v>26</v>
      </c>
      <c r="AK10" s="17" t="s">
        <v>162</v>
      </c>
      <c r="AL10" s="123" t="s">
        <v>177</v>
      </c>
      <c r="AM10" s="17"/>
      <c r="AN10" s="17"/>
      <c r="AO10" s="17"/>
      <c r="AP10" s="17"/>
      <c r="AQ10" s="17"/>
      <c r="AR10" s="17"/>
      <c r="AS10" s="17"/>
    </row>
    <row r="11" spans="1:45" ht="12.75" customHeight="1">
      <c r="B11" s="3"/>
      <c r="C11" s="3"/>
      <c r="D11" s="3"/>
      <c r="E11" s="3"/>
      <c r="F11" s="3"/>
      <c r="G11" s="3"/>
      <c r="H11" s="3"/>
      <c r="I11" s="3"/>
      <c r="J11" s="19"/>
      <c r="K11" s="19"/>
      <c r="L11" s="373"/>
      <c r="M11" s="373"/>
      <c r="N11" s="56"/>
      <c r="O11" s="56"/>
      <c r="P11" s="56"/>
      <c r="Q11" s="56"/>
      <c r="R11" s="41"/>
      <c r="S11" s="41"/>
      <c r="Z11" s="99"/>
    </row>
    <row r="12" spans="1:45">
      <c r="A12" s="451"/>
      <c r="B12" s="79" t="s">
        <v>5</v>
      </c>
      <c r="C12" t="s">
        <v>99</v>
      </c>
      <c r="D12" s="37" t="s">
        <v>129</v>
      </c>
      <c r="J12" s="131" t="str">
        <f>+'Value Line'!E20</f>
        <v>A</v>
      </c>
      <c r="K12" s="133" t="s">
        <v>181</v>
      </c>
      <c r="L12" s="133" t="s">
        <v>83</v>
      </c>
      <c r="M12" s="133" t="s">
        <v>181</v>
      </c>
      <c r="N12" s="532">
        <f>+'Comp Detail'!P13</f>
        <v>0.69097399286078531</v>
      </c>
      <c r="O12" s="532">
        <f>+'Comp Detail'!Q13</f>
        <v>0.83911671924290221</v>
      </c>
      <c r="P12" s="532">
        <v>0</v>
      </c>
      <c r="Q12" s="532">
        <v>0</v>
      </c>
      <c r="R12" s="533">
        <f>+'Comp Detail'!X13</f>
        <v>3922</v>
      </c>
      <c r="S12" s="533">
        <f>+'Comp Detail'!AD13</f>
        <v>8347</v>
      </c>
      <c r="V12" s="166">
        <f>+'Comp Detail'!AI13</f>
        <v>5038.3</v>
      </c>
      <c r="W12" s="534">
        <f>+'Comp Detail'!X13</f>
        <v>3922</v>
      </c>
      <c r="X12" s="79">
        <f>+'Comp Detail'!AN13</f>
        <v>2.3199999999999998</v>
      </c>
      <c r="Y12" s="377">
        <f>+'1.3 SR DCF SS'!D16*100</f>
        <v>3.9486526628474432</v>
      </c>
      <c r="Z12" s="167">
        <f>+'Comp Detail'!AS13</f>
        <v>0.75043103448275861</v>
      </c>
      <c r="AA12" s="79">
        <f>+'Beta Report'!B12</f>
        <v>0.75</v>
      </c>
      <c r="AB12" s="479">
        <v>68</v>
      </c>
      <c r="AC12" s="133" t="s">
        <v>59</v>
      </c>
      <c r="AD12" s="167">
        <f>+'Comp Detail'!AX13</f>
        <v>0.49362017804154301</v>
      </c>
      <c r="AE12" s="167"/>
      <c r="AF12" s="167">
        <f>+'Comp Detail'!BC13</f>
        <v>0.50637982195845699</v>
      </c>
      <c r="AG12" s="167">
        <f>+'Comp Detail'!BH13</f>
        <v>7.889374090247453E-2</v>
      </c>
      <c r="AH12" s="535">
        <v>8</v>
      </c>
      <c r="AI12" s="79"/>
      <c r="AJ12" s="79"/>
      <c r="AK12" s="385">
        <f>+'Comp Detail'!AD13</f>
        <v>8347</v>
      </c>
      <c r="AL12" s="79"/>
    </row>
    <row r="13" spans="1:45">
      <c r="A13" s="451"/>
      <c r="B13" s="79" t="s">
        <v>7</v>
      </c>
      <c r="C13" t="s">
        <v>8</v>
      </c>
      <c r="D13" s="37" t="s">
        <v>130</v>
      </c>
      <c r="J13" s="131" t="str">
        <f>+'Value Line'!E21</f>
        <v>B++</v>
      </c>
      <c r="K13" s="133" t="s">
        <v>59</v>
      </c>
      <c r="L13" s="133" t="s">
        <v>83</v>
      </c>
      <c r="M13" s="133" t="s">
        <v>181</v>
      </c>
      <c r="N13" s="532">
        <f>+'Comp Detail'!P14</f>
        <v>0.62364013432667842</v>
      </c>
      <c r="O13" s="532">
        <f>+'Comp Detail'!Q14</f>
        <v>0.68462095728530759</v>
      </c>
      <c r="P13" s="532">
        <v>0.03</v>
      </c>
      <c r="Q13" s="532">
        <v>0.18</v>
      </c>
      <c r="R13" s="533">
        <f>+'Comp Detail'!X14</f>
        <v>3438.4830000000002</v>
      </c>
      <c r="S13" s="533">
        <f>+'Comp Detail'!AD14</f>
        <v>5475.6040000000003</v>
      </c>
      <c r="V13" s="166">
        <f>+'Comp Detail'!AI14</f>
        <v>3888.6</v>
      </c>
      <c r="W13" s="534">
        <f>+'Comp Detail'!X14</f>
        <v>3438.4830000000002</v>
      </c>
      <c r="X13" s="79">
        <f>+'Comp Detail'!AN14</f>
        <v>2.37</v>
      </c>
      <c r="Y13" s="377">
        <f>+'1.3 SR DCF SS'!D17*100</f>
        <v>3.1215285492112859</v>
      </c>
      <c r="Z13" s="167">
        <f>+'Comp Detail'!AS14</f>
        <v>0.5843881856540083</v>
      </c>
      <c r="AA13" s="79">
        <f>+'Beta Report'!B13</f>
        <v>0.7</v>
      </c>
      <c r="AB13" s="479">
        <v>67</v>
      </c>
      <c r="AC13" s="133"/>
      <c r="AD13" s="167">
        <f>+'Comp Detail'!AX14</f>
        <v>0.45331554648447892</v>
      </c>
      <c r="AE13" s="167"/>
      <c r="AF13" s="167">
        <f>+'Comp Detail'!BC14</f>
        <v>0.54668445351552108</v>
      </c>
      <c r="AG13" s="167">
        <f>+'Comp Detail'!BH14</f>
        <v>9.1858702134540615E-2</v>
      </c>
      <c r="AH13" s="535">
        <v>10</v>
      </c>
      <c r="AI13" s="79"/>
      <c r="AJ13" s="79"/>
      <c r="AK13" s="385">
        <f>+'Comp Detail'!AD14</f>
        <v>5475.6040000000003</v>
      </c>
      <c r="AL13" s="79"/>
    </row>
    <row r="14" spans="1:45">
      <c r="B14" s="79" t="s">
        <v>10</v>
      </c>
      <c r="C14" t="s">
        <v>11</v>
      </c>
      <c r="D14" s="37" t="s">
        <v>131</v>
      </c>
      <c r="J14" s="131" t="str">
        <f>+'Value Line'!E22</f>
        <v>B++</v>
      </c>
      <c r="K14" s="133" t="s">
        <v>59</v>
      </c>
      <c r="L14" s="133" t="s">
        <v>178</v>
      </c>
      <c r="M14" s="133" t="s">
        <v>181</v>
      </c>
      <c r="N14" s="532">
        <f>+'Comp Detail'!P15</f>
        <v>0.67833314822630442</v>
      </c>
      <c r="O14" s="532">
        <f>+'Comp Detail'!Q15</f>
        <v>0.76804765859579638</v>
      </c>
      <c r="P14" s="532">
        <v>0</v>
      </c>
      <c r="Q14" s="532">
        <v>0</v>
      </c>
      <c r="R14" s="533">
        <f>+'Comp Detail'!X15</f>
        <v>1125.4749999999999</v>
      </c>
      <c r="S14" s="533">
        <f>+'Comp Detail'!AD15</f>
        <v>1019.299</v>
      </c>
      <c r="V14" s="166">
        <f>+'Comp Detail'!AI15</f>
        <v>998.2</v>
      </c>
      <c r="W14" s="534">
        <f>+'Comp Detail'!X15</f>
        <v>1125.4749999999999</v>
      </c>
      <c r="X14" s="79">
        <f>+'Comp Detail'!AN15</f>
        <v>2.8</v>
      </c>
      <c r="Y14" s="377">
        <f>+'1.3 SR DCF SS'!D18*100</f>
        <v>3.7532923617208072</v>
      </c>
      <c r="Z14" s="167">
        <f>+'Comp Detail'!AS15</f>
        <v>0.59642857142857142</v>
      </c>
      <c r="AA14" s="79">
        <f>+'Beta Report'!B14</f>
        <v>0.6</v>
      </c>
      <c r="AB14" s="479">
        <v>73</v>
      </c>
      <c r="AC14" s="133"/>
      <c r="AD14" s="167">
        <f>+'Comp Detail'!AX15</f>
        <v>0.36068678156949802</v>
      </c>
      <c r="AE14" s="167">
        <v>1E-3</v>
      </c>
      <c r="AF14" s="167">
        <f>+'Comp Detail'!BC15</f>
        <v>0.63931321843050193</v>
      </c>
      <c r="AG14" s="167">
        <f>+'Comp Detail'!BH15</f>
        <v>0.10412043662765474</v>
      </c>
      <c r="AH14" s="535">
        <v>3</v>
      </c>
      <c r="AI14" s="79"/>
      <c r="AJ14" s="79"/>
      <c r="AK14" s="385">
        <f>+'Comp Detail'!AD15</f>
        <v>1019.299</v>
      </c>
      <c r="AL14" s="79"/>
    </row>
    <row r="15" spans="1:45">
      <c r="B15" s="458" t="s">
        <v>12</v>
      </c>
      <c r="C15" t="s">
        <v>190</v>
      </c>
      <c r="J15" s="131" t="str">
        <f>+'Value Line'!E23</f>
        <v>A</v>
      </c>
      <c r="K15" s="79"/>
      <c r="L15" s="79"/>
      <c r="M15" s="79"/>
      <c r="N15" s="603">
        <f>627713/2248923</f>
        <v>0.27911715963596795</v>
      </c>
      <c r="O15" s="602">
        <f>73238/110230</f>
        <v>0.66441077746529986</v>
      </c>
      <c r="P15" s="460"/>
      <c r="Q15" s="460"/>
      <c r="R15" s="461">
        <v>2210.5810000000001</v>
      </c>
      <c r="S15" s="461"/>
      <c r="V15" s="166"/>
      <c r="W15" s="534"/>
      <c r="X15" s="79"/>
      <c r="Y15" s="377"/>
      <c r="Z15" s="167"/>
      <c r="AA15" s="79"/>
      <c r="AB15" s="479"/>
      <c r="AC15" s="133"/>
      <c r="AD15" s="167"/>
      <c r="AE15" s="167"/>
      <c r="AF15" s="167"/>
      <c r="AG15" s="167"/>
      <c r="AH15" s="535"/>
      <c r="AI15" s="79"/>
      <c r="AJ15" s="79"/>
      <c r="AK15" s="385"/>
      <c r="AL15" s="79"/>
    </row>
    <row r="16" spans="1:45">
      <c r="A16" s="451"/>
      <c r="B16" s="596" t="s">
        <v>14</v>
      </c>
      <c r="C16" s="596" t="s">
        <v>15</v>
      </c>
      <c r="D16" s="597" t="s">
        <v>132</v>
      </c>
      <c r="E16" s="596"/>
      <c r="F16" s="596"/>
      <c r="G16" s="596"/>
      <c r="H16" s="596"/>
      <c r="I16" s="596"/>
      <c r="J16" s="598" t="str">
        <f>+'Value Line'!E24</f>
        <v>A</v>
      </c>
      <c r="K16" s="599" t="s">
        <v>273</v>
      </c>
      <c r="L16" s="599" t="s">
        <v>82</v>
      </c>
      <c r="M16" s="599" t="s">
        <v>110</v>
      </c>
      <c r="N16" s="600">
        <f>+'Comp Detail'!P17</f>
        <v>0.95791855265553161</v>
      </c>
      <c r="O16" s="600">
        <f>+'Comp Detail'!Q17</f>
        <v>0.92097569125386358</v>
      </c>
      <c r="P16" s="600">
        <v>0</v>
      </c>
      <c r="Q16" s="600">
        <v>0</v>
      </c>
      <c r="R16" s="601">
        <f>+'Comp Detail'!X17</f>
        <v>730.60699999999997</v>
      </c>
      <c r="S16" s="601">
        <f>+'Comp Detail'!AD17</f>
        <v>1973.6120000000001</v>
      </c>
      <c r="V16" s="166">
        <f>+'Comp Detail'!AI17</f>
        <v>1188.8</v>
      </c>
      <c r="W16" s="534">
        <f>+'Comp Detail'!X17</f>
        <v>730.60699999999997</v>
      </c>
      <c r="X16" s="79">
        <f>+'Comp Detail'!AN17</f>
        <v>2.2200000000000002</v>
      </c>
      <c r="Y16" s="377">
        <f>+'1.3 SR DCF SS'!D20*100</f>
        <v>4.2860470533426511</v>
      </c>
      <c r="Z16" s="167">
        <f>+'Comp Detail'!AS17</f>
        <v>0.80630630630630629</v>
      </c>
      <c r="AA16" s="79">
        <f>+'Beta Report'!B16</f>
        <v>0.6</v>
      </c>
      <c r="AB16" s="479">
        <v>65</v>
      </c>
      <c r="AC16" s="133"/>
      <c r="AD16" s="167">
        <f>+'Comp Detail'!AX17</f>
        <v>0.49240674206415025</v>
      </c>
      <c r="AE16" s="167"/>
      <c r="AF16" s="167">
        <f>+'Comp Detail'!BC17</f>
        <v>0.50759325793584975</v>
      </c>
      <c r="AG16" s="167">
        <f>+'Comp Detail'!BH17</f>
        <v>8.1653895527213638E-2</v>
      </c>
      <c r="AH16" s="535">
        <v>5</v>
      </c>
      <c r="AI16" s="79"/>
      <c r="AJ16" s="79"/>
      <c r="AK16" s="385">
        <f>+'Comp Detail'!AD17</f>
        <v>1973.6120000000001</v>
      </c>
      <c r="AL16" s="79"/>
    </row>
    <row r="17" spans="1:40">
      <c r="A17" s="451"/>
      <c r="B17" s="596" t="s">
        <v>16</v>
      </c>
      <c r="C17" s="596" t="s">
        <v>17</v>
      </c>
      <c r="D17" s="597" t="s">
        <v>132</v>
      </c>
      <c r="E17" s="596"/>
      <c r="F17" s="596"/>
      <c r="G17" s="596"/>
      <c r="H17" s="596"/>
      <c r="I17" s="596"/>
      <c r="J17" s="598" t="str">
        <f>+'Value Line'!E25</f>
        <v>B++</v>
      </c>
      <c r="K17" s="599" t="s">
        <v>13</v>
      </c>
      <c r="L17" s="598" t="s">
        <v>82</v>
      </c>
      <c r="M17" s="599" t="s">
        <v>110</v>
      </c>
      <c r="N17" s="600">
        <f>+'Comp Detail'!P18</f>
        <v>1</v>
      </c>
      <c r="O17" s="600">
        <f>+'Comp Detail'!Q18</f>
        <v>1</v>
      </c>
      <c r="P17" s="600">
        <v>0</v>
      </c>
      <c r="Q17" s="600">
        <v>0</v>
      </c>
      <c r="R17" s="601">
        <f>+'Comp Detail'!X18</f>
        <v>1122.78</v>
      </c>
      <c r="S17" s="601">
        <f>+'Comp Detail'!AD18</f>
        <v>3105.0859999999998</v>
      </c>
      <c r="V17" s="166">
        <f>+'Comp Detail'!AI18</f>
        <v>2465.4</v>
      </c>
      <c r="W17" s="534">
        <f>+'Comp Detail'!X18</f>
        <v>1122.78</v>
      </c>
      <c r="X17" s="79">
        <f>+'Comp Detail'!AN18</f>
        <v>1.66</v>
      </c>
      <c r="Y17" s="377">
        <f>+'1.3 SR DCF SS'!D21*100</f>
        <v>3.7575757575757573</v>
      </c>
      <c r="Z17" s="167">
        <f>+'Comp Detail'!AS18</f>
        <v>0.72289156626506024</v>
      </c>
      <c r="AA17" s="79">
        <f>+'Beta Report'!B17</f>
        <v>0.7</v>
      </c>
      <c r="AB17" s="479">
        <v>83</v>
      </c>
      <c r="AC17" s="133"/>
      <c r="AD17" s="167">
        <f>+'Comp Detail'!AX18</f>
        <v>0.48701201396201005</v>
      </c>
      <c r="AE17" s="167"/>
      <c r="AF17" s="167">
        <f>+'Comp Detail'!BC18</f>
        <v>0.51298798603799001</v>
      </c>
      <c r="AG17" s="167">
        <f>+'Comp Detail'!BH18</f>
        <v>0.11669574802045563</v>
      </c>
      <c r="AH17" s="535">
        <v>6</v>
      </c>
      <c r="AI17" s="167">
        <v>0.05</v>
      </c>
      <c r="AJ17" s="167">
        <v>0.05</v>
      </c>
      <c r="AK17" s="385">
        <f>+'Comp Detail'!AD18</f>
        <v>3105.0859999999998</v>
      </c>
      <c r="AL17" s="79"/>
    </row>
    <row r="18" spans="1:40">
      <c r="A18" s="451"/>
      <c r="B18" s="79" t="s">
        <v>18</v>
      </c>
      <c r="C18" t="s">
        <v>19</v>
      </c>
      <c r="D18" s="37" t="s">
        <v>133</v>
      </c>
      <c r="J18" s="131" t="str">
        <f>+'Value Line'!E26</f>
        <v>B++</v>
      </c>
      <c r="K18" s="133" t="s">
        <v>181</v>
      </c>
      <c r="L18" s="133" t="s">
        <v>110</v>
      </c>
      <c r="M18" s="133" t="s">
        <v>110</v>
      </c>
      <c r="N18" s="532">
        <f>+'Comp Detail'!P19</f>
        <v>0.59731834399954697</v>
      </c>
      <c r="O18" s="532">
        <f>+'Comp Detail'!Q19</f>
        <v>0.92596771551802581</v>
      </c>
      <c r="P18" s="532">
        <v>0</v>
      </c>
      <c r="Q18" s="532">
        <v>0</v>
      </c>
      <c r="R18" s="533">
        <f>+'Comp Detail'!X19</f>
        <v>706.28</v>
      </c>
      <c r="S18" s="533">
        <f>+'Comp Detail'!AD19</f>
        <v>1578.021</v>
      </c>
      <c r="V18" s="166">
        <f>+'Comp Detail'!AI19</f>
        <v>1820.4</v>
      </c>
      <c r="W18" s="534">
        <f>+'Comp Detail'!X19</f>
        <v>706.28</v>
      </c>
      <c r="X18" s="79">
        <f>+'Comp Detail'!AN19</f>
        <v>3.01</v>
      </c>
      <c r="Y18" s="377">
        <f>+'1.3 SR DCF SS'!D22*100</f>
        <v>3.2987438558164941</v>
      </c>
      <c r="Z18" s="167">
        <f>+'Comp Detail'!AS19</f>
        <v>0.54883720930232571</v>
      </c>
      <c r="AA18" s="79">
        <f>+'Beta Report'!B18</f>
        <v>0.65</v>
      </c>
      <c r="AB18" s="479">
        <v>74</v>
      </c>
      <c r="AC18" s="133"/>
      <c r="AD18" s="167">
        <f>+'Comp Detail'!AX19</f>
        <v>0.44960653820907975</v>
      </c>
      <c r="AE18" s="167"/>
      <c r="AF18" s="167">
        <f>+'Comp Detail'!BC19</f>
        <v>0.5503934617909203</v>
      </c>
      <c r="AG18" s="167">
        <f>+'Comp Detail'!BH19</f>
        <v>0.12443121157706862</v>
      </c>
      <c r="AH18" s="535">
        <v>6</v>
      </c>
      <c r="AI18" s="79"/>
      <c r="AJ18" s="79"/>
      <c r="AK18" s="385">
        <f>+'Comp Detail'!AD19</f>
        <v>1578.021</v>
      </c>
      <c r="AL18" s="79"/>
    </row>
    <row r="19" spans="1:40">
      <c r="A19" s="451"/>
      <c r="B19" s="79" t="s">
        <v>113</v>
      </c>
      <c r="C19" t="s">
        <v>114</v>
      </c>
      <c r="D19" s="37" t="s">
        <v>134</v>
      </c>
      <c r="J19" s="131" t="str">
        <f>+'Value Line'!E27</f>
        <v>B+</v>
      </c>
      <c r="K19" s="133" t="s">
        <v>59</v>
      </c>
      <c r="L19" s="133" t="s">
        <v>83</v>
      </c>
      <c r="M19" s="133" t="s">
        <v>59</v>
      </c>
      <c r="N19" s="532">
        <f>+'Comp Detail'!P20</f>
        <v>0.68562251462564672</v>
      </c>
      <c r="O19" s="532">
        <f>+'Comp Detail'!Q20</f>
        <v>0.87465780651161396</v>
      </c>
      <c r="P19" s="532">
        <v>0.21</v>
      </c>
      <c r="Q19" s="532">
        <v>0.15</v>
      </c>
      <c r="R19" s="533">
        <f>+'Comp Detail'!X20</f>
        <v>1927.778</v>
      </c>
      <c r="S19" s="533">
        <f>+'Comp Detail'!AD20</f>
        <v>3343.7939999999999</v>
      </c>
      <c r="V19" s="166"/>
      <c r="W19" s="534"/>
      <c r="X19" s="79"/>
      <c r="Y19" s="377"/>
      <c r="Z19" s="167"/>
      <c r="AA19" s="79"/>
      <c r="AB19" s="479"/>
      <c r="AC19" s="133"/>
      <c r="AD19" s="167"/>
      <c r="AE19" s="167"/>
      <c r="AF19" s="167"/>
      <c r="AG19" s="167"/>
      <c r="AH19" s="535"/>
      <c r="AI19" s="79"/>
      <c r="AJ19" s="79"/>
      <c r="AK19" s="385"/>
      <c r="AL19" s="79"/>
    </row>
    <row r="20" spans="1:40">
      <c r="A20" s="451"/>
      <c r="B20" s="79" t="s">
        <v>104</v>
      </c>
      <c r="C20" s="79" t="s">
        <v>101</v>
      </c>
      <c r="D20" s="83" t="s">
        <v>135</v>
      </c>
      <c r="E20" s="79"/>
      <c r="F20" s="79"/>
      <c r="G20" s="79"/>
      <c r="H20" s="79"/>
      <c r="I20" s="79"/>
      <c r="J20" s="131" t="str">
        <f>+'Value Line'!E28</f>
        <v>A</v>
      </c>
      <c r="K20" s="133" t="s">
        <v>273</v>
      </c>
      <c r="L20" s="133" t="s">
        <v>110</v>
      </c>
      <c r="M20" s="133" t="s">
        <v>273</v>
      </c>
      <c r="N20" s="532">
        <f>1109355/2425310</f>
        <v>0.45740750666925051</v>
      </c>
      <c r="O20" s="532">
        <f>109.7/139.8</f>
        <v>0.78469241773962795</v>
      </c>
      <c r="P20" s="532">
        <v>0</v>
      </c>
      <c r="Q20" s="532">
        <v>0</v>
      </c>
      <c r="R20" s="533">
        <v>2435.31</v>
      </c>
      <c r="S20" s="533">
        <v>2667.413</v>
      </c>
      <c r="V20" s="166">
        <f>+'Comp Detail'!AI20</f>
        <v>2244.6999999999998</v>
      </c>
      <c r="W20" s="534">
        <f>+'Comp Detail'!X20</f>
        <v>1927.778</v>
      </c>
      <c r="X20" s="79">
        <f>+'Comp Detail'!AN20</f>
        <v>2.86</v>
      </c>
      <c r="Y20" s="377">
        <f>+'1.3 SR DCF SS'!D23*100</f>
        <v>2.2878760583678619</v>
      </c>
      <c r="Z20" s="167">
        <f>+'Comp Detail'!AS20</f>
        <v>0.40209790209790208</v>
      </c>
      <c r="AA20" s="79">
        <f>+'Beta Report'!B19</f>
        <v>0.75</v>
      </c>
      <c r="AB20" s="479">
        <v>84</v>
      </c>
      <c r="AC20" s="133"/>
      <c r="AD20" s="167">
        <f>+'Comp Detail'!AX20</f>
        <v>0.49221439489986113</v>
      </c>
      <c r="AE20" s="167"/>
      <c r="AF20" s="167">
        <f>+'Comp Detail'!BC20</f>
        <v>0.50778560510013881</v>
      </c>
      <c r="AG20" s="167">
        <f>+'Comp Detail'!BH20</f>
        <v>0.10136736930434743</v>
      </c>
      <c r="AH20" s="535">
        <v>6</v>
      </c>
      <c r="AI20" s="79"/>
      <c r="AJ20" s="79"/>
      <c r="AK20" s="385">
        <f>+'Comp Detail'!AD20</f>
        <v>3343.7939999999999</v>
      </c>
      <c r="AL20" s="79"/>
    </row>
    <row r="21" spans="1:40" ht="12.75" customHeight="1">
      <c r="J21" s="11"/>
      <c r="K21" s="11"/>
      <c r="L21" s="82"/>
      <c r="M21" s="82"/>
      <c r="N21" s="71"/>
      <c r="O21" s="71"/>
      <c r="P21" s="71"/>
      <c r="Q21" s="71"/>
      <c r="R21" s="22"/>
      <c r="S21" s="22"/>
      <c r="V21" s="166"/>
      <c r="W21" s="534"/>
      <c r="X21" s="79"/>
      <c r="Y21" s="79"/>
      <c r="Z21" s="127"/>
      <c r="AA21" s="79"/>
      <c r="AB21" s="479"/>
      <c r="AC21" s="133"/>
      <c r="AD21" s="167"/>
      <c r="AE21" s="167"/>
      <c r="AF21" s="167"/>
      <c r="AG21" s="168"/>
      <c r="AH21" s="535"/>
      <c r="AI21" s="79"/>
      <c r="AJ21" s="79"/>
      <c r="AK21" s="385"/>
      <c r="AL21" s="79"/>
    </row>
    <row r="22" spans="1:40" ht="12.75" customHeight="1">
      <c r="B22" s="15" t="s">
        <v>38</v>
      </c>
      <c r="C22" s="2"/>
      <c r="D22" s="2"/>
      <c r="E22" s="2"/>
      <c r="F22" s="2"/>
      <c r="G22" s="2"/>
      <c r="H22" s="2" t="s">
        <v>128</v>
      </c>
      <c r="I22" s="2"/>
      <c r="J22" s="69"/>
      <c r="K22" s="69"/>
      <c r="L22" s="130"/>
      <c r="M22" s="130"/>
      <c r="N22" s="55">
        <f>AVERAGE(N12:N20)</f>
        <v>0.66337015033330127</v>
      </c>
      <c r="O22" s="55">
        <f>AVERAGE(O12:O20)</f>
        <v>0.82916552706804858</v>
      </c>
      <c r="P22" s="55">
        <f>AVERAGE(P12:P13,P14,P16:P17,P18:P19)</f>
        <v>3.4285714285714287E-2</v>
      </c>
      <c r="Q22" s="55">
        <f>AVERAGE(Q12:Q13,Q14,Q16:Q17,Q18:Q19)</f>
        <v>4.7142857142857139E-2</v>
      </c>
      <c r="R22" s="108">
        <f>AVERAGE(R12:R20)</f>
        <v>1957.6993333333335</v>
      </c>
      <c r="S22" s="108">
        <f>AVERAGE(S12:S20)</f>
        <v>3438.7286249999997</v>
      </c>
      <c r="T22" s="2"/>
      <c r="U22" s="2"/>
      <c r="V22" s="105">
        <f t="shared" ref="V22:AB22" si="0">AVERAGE(V12:V20)</f>
        <v>2520.6285714285709</v>
      </c>
      <c r="W22" s="105">
        <f t="shared" si="0"/>
        <v>1853.3432857142859</v>
      </c>
      <c r="X22" s="109">
        <f t="shared" si="0"/>
        <v>2.4628571428571426</v>
      </c>
      <c r="Y22" s="109">
        <f t="shared" si="0"/>
        <v>3.4933880426974713</v>
      </c>
      <c r="Z22" s="110">
        <f t="shared" si="0"/>
        <v>0.63019725364813339</v>
      </c>
      <c r="AA22" s="2">
        <f t="shared" si="0"/>
        <v>0.6785714285714286</v>
      </c>
      <c r="AB22" s="111">
        <f t="shared" si="0"/>
        <v>73.428571428571431</v>
      </c>
      <c r="AC22" s="15"/>
      <c r="AD22" s="110">
        <f>AVERAGE(AD12:AD20)</f>
        <v>0.46126602789008869</v>
      </c>
      <c r="AE22" s="110"/>
      <c r="AF22" s="110">
        <f>AVERAGE(AF12:AF20)</f>
        <v>0.53873397210991125</v>
      </c>
      <c r="AG22" s="110">
        <f>AVERAGE(AG12:AG20)</f>
        <v>9.9860157727679311E-2</v>
      </c>
      <c r="AH22" s="112"/>
      <c r="AI22" s="110">
        <f>AVERAGE(AI12:AI20)</f>
        <v>0.05</v>
      </c>
      <c r="AJ22" s="110">
        <f>AVERAGE(AJ12:AJ20)</f>
        <v>0.05</v>
      </c>
      <c r="AK22" s="105">
        <f>AVERAGE(AK12:AK20)</f>
        <v>3548.9165714285709</v>
      </c>
    </row>
    <row r="23" spans="1:40">
      <c r="B23" s="17"/>
      <c r="H23" t="s">
        <v>92</v>
      </c>
      <c r="J23" s="20"/>
      <c r="K23" s="35"/>
      <c r="L23" s="131"/>
      <c r="M23" s="131"/>
      <c r="N23" s="59"/>
      <c r="O23" s="59"/>
      <c r="P23" s="59">
        <f>AVERAGE(P11:P21)</f>
        <v>0.03</v>
      </c>
      <c r="Q23" s="59">
        <f>AVERAGE(Q11:Q21)</f>
        <v>4.1249999999999995E-2</v>
      </c>
      <c r="R23" s="72"/>
      <c r="S23" s="72"/>
      <c r="V23" s="97"/>
      <c r="W23" s="96"/>
      <c r="Z23" s="99"/>
      <c r="AB23" s="102"/>
      <c r="AC23" s="17"/>
      <c r="AD23" s="100"/>
      <c r="AE23" s="100"/>
      <c r="AF23" s="100"/>
      <c r="AH23" s="73"/>
      <c r="AK23" s="98"/>
    </row>
    <row r="24" spans="1:40">
      <c r="B24" s="658" t="s">
        <v>76</v>
      </c>
      <c r="C24" s="659"/>
      <c r="D24" s="659"/>
      <c r="E24" s="660"/>
      <c r="F24" s="658" t="s">
        <v>79</v>
      </c>
      <c r="G24" s="661">
        <v>8.2900000000000001E-2</v>
      </c>
      <c r="H24" s="662">
        <v>2.0400000000000001E-2</v>
      </c>
      <c r="I24" s="658" t="s">
        <v>79</v>
      </c>
      <c r="J24" s="658" t="s">
        <v>79</v>
      </c>
      <c r="K24" s="658" t="s">
        <v>59</v>
      </c>
      <c r="L24" s="658" t="s">
        <v>82</v>
      </c>
      <c r="M24" s="658"/>
      <c r="N24" s="663">
        <v>1</v>
      </c>
      <c r="O24" s="663">
        <v>1</v>
      </c>
      <c r="P24" s="664"/>
      <c r="Q24" s="664"/>
      <c r="R24" s="665">
        <v>962.5</v>
      </c>
      <c r="S24" s="665">
        <v>771.2</v>
      </c>
      <c r="T24" s="2"/>
      <c r="U24" s="2"/>
      <c r="V24" s="105"/>
      <c r="W24" s="10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7"/>
      <c r="AL24" s="2"/>
      <c r="AM24" s="2"/>
      <c r="AN24" s="2"/>
    </row>
    <row r="25" spans="1:40">
      <c r="B25" s="17"/>
      <c r="J25" s="20"/>
      <c r="K25" s="20"/>
      <c r="L25" s="131"/>
      <c r="M25" s="131"/>
      <c r="N25" s="59"/>
      <c r="O25" s="59"/>
      <c r="P25" s="59"/>
      <c r="Q25" s="59"/>
      <c r="R25" s="72"/>
      <c r="S25" s="72"/>
      <c r="V25" s="97"/>
      <c r="W25" s="96"/>
      <c r="Z25" s="99"/>
      <c r="AB25" s="102"/>
      <c r="AC25" s="17"/>
      <c r="AD25" s="100"/>
      <c r="AE25" s="100"/>
      <c r="AF25" s="100"/>
      <c r="AH25" s="73"/>
      <c r="AK25" s="98"/>
    </row>
    <row r="26" spans="1:40">
      <c r="J26" s="20"/>
      <c r="K26" s="20"/>
      <c r="L26" s="131"/>
      <c r="M26" s="131"/>
      <c r="N26" s="20"/>
      <c r="O26" s="20"/>
      <c r="P26" s="57"/>
      <c r="Q26" s="57"/>
      <c r="V26" s="97"/>
      <c r="W26" s="96"/>
      <c r="Z26" s="99"/>
      <c r="AB26" s="102"/>
      <c r="AC26" s="17"/>
      <c r="AD26" s="100"/>
      <c r="AE26" s="100"/>
      <c r="AF26" s="100"/>
      <c r="AH26" s="73"/>
      <c r="AK26" s="98"/>
    </row>
    <row r="27" spans="1:40">
      <c r="B27" t="s">
        <v>144</v>
      </c>
      <c r="C27" t="s">
        <v>145</v>
      </c>
      <c r="D27" s="37"/>
      <c r="K27" s="133" t="s">
        <v>110</v>
      </c>
      <c r="L27" s="133" t="s">
        <v>176</v>
      </c>
      <c r="M27" s="133" t="s">
        <v>110</v>
      </c>
      <c r="N27" s="532">
        <f>143603/392502</f>
        <v>0.36586565163999163</v>
      </c>
      <c r="O27" s="532"/>
      <c r="P27" s="532"/>
      <c r="Q27" s="532"/>
      <c r="R27" s="533">
        <f>+W27</f>
        <v>392.50200000000001</v>
      </c>
      <c r="S27" s="533">
        <v>520.36599999999999</v>
      </c>
      <c r="V27" s="346">
        <v>572.1</v>
      </c>
      <c r="W27" s="347">
        <v>392.50200000000001</v>
      </c>
      <c r="X27" s="101">
        <v>3.01</v>
      </c>
      <c r="Y27" s="101">
        <v>2.62</v>
      </c>
      <c r="Z27" s="99">
        <v>0.61</v>
      </c>
      <c r="AA27">
        <v>0.42</v>
      </c>
      <c r="AB27" s="102">
        <v>48</v>
      </c>
      <c r="AC27" s="17"/>
      <c r="AD27" s="100">
        <v>0.5</v>
      </c>
      <c r="AE27" s="100">
        <v>2E-3</v>
      </c>
      <c r="AF27" s="100">
        <v>0.498</v>
      </c>
      <c r="AG27" s="100">
        <v>0.11199999999999999</v>
      </c>
      <c r="AH27" s="73">
        <v>4</v>
      </c>
      <c r="AK27" s="98">
        <v>281</v>
      </c>
    </row>
    <row r="28" spans="1:40">
      <c r="B28" t="s">
        <v>291</v>
      </c>
      <c r="C28" t="s">
        <v>292</v>
      </c>
      <c r="D28" s="37"/>
      <c r="K28" s="133" t="s">
        <v>110</v>
      </c>
      <c r="L28" s="133" t="s">
        <v>110</v>
      </c>
      <c r="M28" s="133" t="s">
        <v>110</v>
      </c>
      <c r="N28" s="532"/>
      <c r="O28" s="532"/>
      <c r="P28" s="532"/>
      <c r="Q28" s="532"/>
      <c r="R28" s="533"/>
      <c r="S28" s="533"/>
      <c r="V28" s="97"/>
      <c r="W28" s="96"/>
      <c r="Z28" s="99"/>
      <c r="AB28" s="102"/>
      <c r="AC28" s="453"/>
      <c r="AD28" s="100"/>
      <c r="AE28" s="100"/>
      <c r="AF28" s="100"/>
      <c r="AG28" s="100"/>
      <c r="AH28" s="73"/>
      <c r="AK28" s="98"/>
    </row>
    <row r="29" spans="1:40">
      <c r="B29" t="s">
        <v>293</v>
      </c>
      <c r="C29" t="s">
        <v>294</v>
      </c>
      <c r="D29" s="37"/>
      <c r="K29" s="133" t="s">
        <v>110</v>
      </c>
      <c r="L29" s="133" t="s">
        <v>110</v>
      </c>
      <c r="M29" s="133" t="s">
        <v>110</v>
      </c>
      <c r="N29" s="532">
        <f>42655378/74078322</f>
        <v>0.57581458176117972</v>
      </c>
      <c r="O29" s="532">
        <f>7159/5783</f>
        <v>1.2379387860971813</v>
      </c>
      <c r="P29" s="532"/>
      <c r="Q29" s="532"/>
      <c r="R29" s="533">
        <f>+W29</f>
        <v>42.6</v>
      </c>
      <c r="S29" s="533">
        <v>134.33699999999999</v>
      </c>
      <c r="V29" s="346">
        <v>152.5</v>
      </c>
      <c r="W29" s="347">
        <v>42.6</v>
      </c>
      <c r="X29" s="101">
        <v>0.85</v>
      </c>
      <c r="Y29" s="101">
        <v>3.24</v>
      </c>
      <c r="Z29" s="472">
        <f>70/85</f>
        <v>0.82352941176470584</v>
      </c>
      <c r="AB29" s="102"/>
      <c r="AC29" s="453"/>
      <c r="AD29" s="100"/>
      <c r="AE29" s="100"/>
      <c r="AF29" s="100"/>
      <c r="AG29" s="100"/>
      <c r="AH29" s="73"/>
      <c r="AK29" s="98"/>
    </row>
    <row r="30" spans="1:40">
      <c r="B30" t="s">
        <v>296</v>
      </c>
      <c r="C30" t="s">
        <v>295</v>
      </c>
      <c r="D30" s="37"/>
      <c r="K30" s="133" t="s">
        <v>58</v>
      </c>
      <c r="L30" s="133" t="s">
        <v>178</v>
      </c>
      <c r="M30" s="133" t="s">
        <v>58</v>
      </c>
      <c r="N30" s="532">
        <f>313990/1641608</f>
        <v>0.19126977938704001</v>
      </c>
      <c r="O30" s="532">
        <f>68614/470528</f>
        <v>0.14582341539717084</v>
      </c>
      <c r="P30" s="532"/>
      <c r="Q30" s="532"/>
      <c r="R30" s="533">
        <v>1.6419999999999999</v>
      </c>
      <c r="S30" s="533">
        <v>7.7149999999999999</v>
      </c>
      <c r="V30" s="346">
        <v>12.6</v>
      </c>
      <c r="W30" s="347">
        <f>+R30</f>
        <v>1.6419999999999999</v>
      </c>
      <c r="X30" s="101">
        <v>1.49</v>
      </c>
      <c r="Z30" s="99"/>
      <c r="AB30" s="102"/>
      <c r="AC30" s="453"/>
      <c r="AD30" s="100"/>
      <c r="AE30" s="100"/>
      <c r="AF30" s="100"/>
      <c r="AG30" s="100"/>
      <c r="AH30" s="73"/>
      <c r="AK30" s="98"/>
    </row>
    <row r="31" spans="1:40">
      <c r="B31" t="s">
        <v>275</v>
      </c>
      <c r="C31" t="s">
        <v>146</v>
      </c>
      <c r="D31" s="37"/>
      <c r="J31" s="20"/>
      <c r="K31" s="133" t="s">
        <v>110</v>
      </c>
      <c r="L31" s="133" t="s">
        <v>110</v>
      </c>
      <c r="M31" s="133" t="s">
        <v>110</v>
      </c>
      <c r="N31" s="532"/>
      <c r="O31" s="532"/>
      <c r="P31" s="532"/>
      <c r="Q31" s="532"/>
      <c r="R31" s="533"/>
      <c r="S31" s="533"/>
      <c r="V31" s="97">
        <v>41</v>
      </c>
      <c r="W31" s="96">
        <v>76.83</v>
      </c>
      <c r="X31">
        <v>0.77</v>
      </c>
      <c r="Y31">
        <v>5.71</v>
      </c>
      <c r="Z31" s="99">
        <v>0.20779220000000001</v>
      </c>
      <c r="AA31">
        <v>0.2</v>
      </c>
      <c r="AB31" s="102">
        <v>80</v>
      </c>
      <c r="AC31" s="17"/>
      <c r="AD31" s="100">
        <v>0.3</v>
      </c>
      <c r="AE31" s="100"/>
      <c r="AF31" s="100">
        <v>0.7</v>
      </c>
      <c r="AG31" s="100">
        <v>0.125</v>
      </c>
      <c r="AH31" s="73"/>
      <c r="AK31" s="98"/>
    </row>
    <row r="32" spans="1:40">
      <c r="B32" t="s">
        <v>297</v>
      </c>
      <c r="C32" t="s">
        <v>298</v>
      </c>
      <c r="D32" s="37"/>
      <c r="J32" s="20"/>
      <c r="K32" s="133"/>
      <c r="L32" s="133"/>
      <c r="M32" s="133"/>
      <c r="N32" s="532">
        <f>1662.1/4212.4</f>
        <v>0.394573164941601</v>
      </c>
      <c r="O32" s="532">
        <f>94/294</f>
        <v>0.31972789115646261</v>
      </c>
      <c r="P32" s="532"/>
      <c r="Q32" s="532"/>
      <c r="R32" s="533">
        <v>4212.3999999999996</v>
      </c>
      <c r="S32" s="533">
        <v>5501.9</v>
      </c>
      <c r="V32" s="97"/>
      <c r="W32" s="96"/>
      <c r="Z32" s="99"/>
      <c r="AB32" s="102"/>
      <c r="AC32" s="453"/>
      <c r="AD32" s="100"/>
      <c r="AE32" s="100"/>
      <c r="AF32" s="100"/>
      <c r="AG32" s="100"/>
      <c r="AH32" s="73"/>
      <c r="AK32" s="98"/>
    </row>
    <row r="33" spans="1:38">
      <c r="A33" s="79"/>
      <c r="B33" t="s">
        <v>87</v>
      </c>
      <c r="C33" t="s">
        <v>88</v>
      </c>
      <c r="D33" s="26" t="s">
        <v>0</v>
      </c>
      <c r="J33" s="20" t="s">
        <v>6</v>
      </c>
      <c r="K33" s="133" t="s">
        <v>58</v>
      </c>
      <c r="L33" s="131" t="s">
        <v>83</v>
      </c>
      <c r="M33" s="133" t="s">
        <v>181</v>
      </c>
      <c r="N33" s="532">
        <v>0.56000000000000005</v>
      </c>
      <c r="O33" s="532">
        <v>0.26</v>
      </c>
      <c r="P33" s="532">
        <v>0</v>
      </c>
      <c r="Q33" s="532">
        <v>0</v>
      </c>
      <c r="R33" s="533">
        <v>2103.6</v>
      </c>
      <c r="S33" s="533">
        <v>2909.1</v>
      </c>
      <c r="V33" s="97">
        <v>3978</v>
      </c>
      <c r="W33" s="96">
        <v>2400</v>
      </c>
      <c r="X33">
        <v>3.18</v>
      </c>
      <c r="Y33">
        <v>2.71</v>
      </c>
      <c r="Z33" s="99">
        <v>0.4</v>
      </c>
      <c r="AA33">
        <v>0.75</v>
      </c>
      <c r="AB33" s="102">
        <v>75</v>
      </c>
      <c r="AC33" s="17" t="s">
        <v>58</v>
      </c>
      <c r="AD33" s="100">
        <v>0.309</v>
      </c>
      <c r="AE33" s="100"/>
      <c r="AF33" s="100">
        <v>0.69099999999999995</v>
      </c>
      <c r="AG33" s="100">
        <v>0.16600000000000001</v>
      </c>
      <c r="AH33" s="73">
        <v>9</v>
      </c>
      <c r="AK33" s="98"/>
    </row>
    <row r="34" spans="1:38">
      <c r="A34" s="451"/>
      <c r="U34" s="79"/>
      <c r="V34" s="166"/>
      <c r="W34" s="534"/>
      <c r="X34" s="79"/>
      <c r="Y34" s="79"/>
      <c r="Z34" s="99"/>
      <c r="AB34" s="102"/>
      <c r="AC34" s="17"/>
      <c r="AD34" s="100"/>
      <c r="AE34" s="100"/>
      <c r="AF34" s="100"/>
      <c r="AH34" s="73"/>
      <c r="AK34" s="98"/>
    </row>
    <row r="35" spans="1:38">
      <c r="B35" t="s">
        <v>147</v>
      </c>
      <c r="C35" t="s">
        <v>148</v>
      </c>
      <c r="D35" s="37"/>
      <c r="J35" s="20"/>
      <c r="K35" s="133" t="s">
        <v>91</v>
      </c>
      <c r="L35" s="133" t="s">
        <v>176</v>
      </c>
      <c r="M35" s="133" t="s">
        <v>91</v>
      </c>
      <c r="N35" s="532"/>
      <c r="O35" s="648"/>
      <c r="P35" s="532"/>
      <c r="Q35" s="532"/>
      <c r="R35" s="533"/>
      <c r="S35" s="533"/>
      <c r="V35" s="97">
        <v>4263</v>
      </c>
      <c r="W35" s="96">
        <v>8874</v>
      </c>
      <c r="X35">
        <v>1.34</v>
      </c>
      <c r="Y35">
        <v>5.95</v>
      </c>
      <c r="Z35" s="99">
        <v>0.69</v>
      </c>
      <c r="AA35" s="5" t="s">
        <v>167</v>
      </c>
      <c r="AB35" s="102">
        <v>87</v>
      </c>
      <c r="AC35" s="17" t="s">
        <v>91</v>
      </c>
      <c r="AD35" s="100">
        <v>0.48599999999999999</v>
      </c>
      <c r="AE35" s="100"/>
      <c r="AF35" s="100">
        <v>0.51400000000000001</v>
      </c>
      <c r="AG35" s="100">
        <v>7.4999999999999997E-2</v>
      </c>
      <c r="AH35" s="73">
        <v>10</v>
      </c>
      <c r="AK35" s="98"/>
    </row>
    <row r="36" spans="1:38">
      <c r="B36" t="s">
        <v>299</v>
      </c>
      <c r="C36" t="s">
        <v>300</v>
      </c>
      <c r="D36" s="37"/>
      <c r="J36" s="20"/>
      <c r="K36" s="133" t="s">
        <v>58</v>
      </c>
      <c r="L36" s="133" t="s">
        <v>178</v>
      </c>
      <c r="M36" s="133" t="s">
        <v>110</v>
      </c>
      <c r="N36" s="532"/>
      <c r="O36" s="648"/>
      <c r="P36" s="532"/>
      <c r="Q36" s="532"/>
      <c r="R36" s="533"/>
      <c r="S36" s="533"/>
      <c r="V36" s="97"/>
      <c r="W36" s="96"/>
      <c r="Z36" s="99"/>
      <c r="AA36" s="5"/>
      <c r="AB36" s="102"/>
      <c r="AC36" s="453"/>
      <c r="AD36" s="100"/>
      <c r="AE36" s="100"/>
      <c r="AF36" s="100"/>
      <c r="AG36" s="100"/>
      <c r="AH36" s="73"/>
      <c r="AK36" s="98"/>
    </row>
    <row r="37" spans="1:38" s="2" customFormat="1" ht="14.25">
      <c r="B37" s="278" t="s">
        <v>301</v>
      </c>
      <c r="C37" s="278" t="s">
        <v>302</v>
      </c>
      <c r="D37" s="45"/>
      <c r="J37" s="454"/>
      <c r="K37" s="132" t="s">
        <v>13</v>
      </c>
      <c r="L37" s="132" t="s">
        <v>82</v>
      </c>
      <c r="M37" s="132" t="s">
        <v>110</v>
      </c>
      <c r="N37" s="648">
        <f>859.7/1098.9</f>
        <v>0.78232778232778233</v>
      </c>
      <c r="O37" s="648">
        <f>47.1/212</f>
        <v>0.22216981132075472</v>
      </c>
      <c r="P37" s="648"/>
      <c r="Q37" s="648"/>
      <c r="R37" s="649">
        <v>1098.9000000000001</v>
      </c>
      <c r="S37" s="649">
        <v>3317</v>
      </c>
      <c r="V37" s="105"/>
      <c r="W37" s="106"/>
      <c r="Z37" s="457"/>
      <c r="AA37" s="125"/>
      <c r="AB37" s="111"/>
      <c r="AC37" s="454"/>
      <c r="AD37" s="110"/>
      <c r="AE37" s="110"/>
      <c r="AF37" s="110"/>
      <c r="AG37" s="110"/>
      <c r="AH37" s="112"/>
      <c r="AK37" s="107"/>
    </row>
    <row r="38" spans="1:38">
      <c r="B38" t="s">
        <v>179</v>
      </c>
      <c r="C38" t="s">
        <v>180</v>
      </c>
      <c r="D38" s="37"/>
      <c r="J38" s="20"/>
      <c r="K38" s="133" t="s">
        <v>110</v>
      </c>
      <c r="L38" s="133" t="s">
        <v>110</v>
      </c>
      <c r="M38" s="133" t="s">
        <v>110</v>
      </c>
      <c r="N38" s="532"/>
      <c r="O38" s="648"/>
      <c r="P38" s="532"/>
      <c r="Q38" s="532"/>
      <c r="R38" s="533">
        <v>82.844729999999998</v>
      </c>
      <c r="S38" s="533">
        <v>78.509</v>
      </c>
      <c r="V38" s="97">
        <v>69.06</v>
      </c>
      <c r="W38" s="96">
        <v>82.184472999999997</v>
      </c>
      <c r="X38">
        <v>4.8689999999999998</v>
      </c>
      <c r="Y38">
        <v>4.4000000000000004</v>
      </c>
      <c r="Z38" s="99">
        <v>0.58029249999999999</v>
      </c>
      <c r="AA38" s="5">
        <v>0.24</v>
      </c>
      <c r="AB38" s="102"/>
      <c r="AC38" s="129"/>
      <c r="AD38" s="100">
        <v>0.38</v>
      </c>
      <c r="AE38" s="100"/>
      <c r="AF38" s="100">
        <f>1-AD38</f>
        <v>0.62</v>
      </c>
      <c r="AG38" s="100">
        <v>0.10868356999999999</v>
      </c>
      <c r="AH38" s="73">
        <v>0</v>
      </c>
      <c r="AK38" s="98">
        <v>78.509</v>
      </c>
      <c r="AL38" s="73">
        <v>56100</v>
      </c>
    </row>
    <row r="39" spans="1:38">
      <c r="B39" t="s">
        <v>303</v>
      </c>
      <c r="C39" t="s">
        <v>304</v>
      </c>
      <c r="D39" s="37"/>
      <c r="J39" s="20"/>
      <c r="K39" s="133" t="s">
        <v>181</v>
      </c>
      <c r="L39" s="133" t="s">
        <v>83</v>
      </c>
      <c r="M39" s="133" t="s">
        <v>181</v>
      </c>
      <c r="N39" s="532"/>
      <c r="O39" s="648"/>
      <c r="P39" s="532"/>
      <c r="Q39" s="532"/>
      <c r="R39" s="533"/>
      <c r="S39" s="533"/>
      <c r="V39" s="97"/>
      <c r="W39" s="96"/>
      <c r="Z39" s="99"/>
      <c r="AA39" s="5"/>
      <c r="AB39" s="102"/>
      <c r="AC39" s="453"/>
      <c r="AD39" s="100"/>
      <c r="AE39" s="100"/>
      <c r="AF39" s="100"/>
      <c r="AG39" s="100"/>
      <c r="AH39" s="73"/>
      <c r="AK39" s="98"/>
      <c r="AL39" s="73"/>
    </row>
    <row r="40" spans="1:38">
      <c r="A40" s="451"/>
      <c r="V40" s="346" t="e">
        <f>+'Comp Detail'!#REF!</f>
        <v>#REF!</v>
      </c>
      <c r="W40" s="347" t="e">
        <f>+'Comp Detail'!#REF!</f>
        <v>#REF!</v>
      </c>
      <c r="X40" s="101" t="e">
        <f>+'Comp Detail'!#REF!</f>
        <v>#REF!</v>
      </c>
      <c r="Y40" s="375">
        <f>+'1.3 SR DCF SS'!D42*100</f>
        <v>0</v>
      </c>
      <c r="Z40" s="348" t="e">
        <f>+'Comp Detail'!#REF!</f>
        <v>#REF!</v>
      </c>
      <c r="AA40" s="101">
        <f>+'Beta Report'!B38</f>
        <v>0</v>
      </c>
      <c r="AB40" s="102">
        <v>62</v>
      </c>
      <c r="AC40" s="452"/>
      <c r="AD40" s="348" t="e">
        <f>+'Comp Detail'!#REF!</f>
        <v>#REF!</v>
      </c>
      <c r="AE40" s="100"/>
      <c r="AF40" s="348" t="e">
        <f>+'Comp Detail'!#REF!</f>
        <v>#REF!</v>
      </c>
      <c r="AG40" s="348" t="e">
        <f>+'Comp Detail'!#REF!</f>
        <v>#REF!</v>
      </c>
      <c r="AH40" s="73">
        <v>5</v>
      </c>
      <c r="AK40" s="374" t="e">
        <f>+'Comp Detail'!#REF!</f>
        <v>#REF!</v>
      </c>
    </row>
    <row r="41" spans="1:38" ht="15.75">
      <c r="B41" s="4"/>
      <c r="N41" s="79"/>
      <c r="O41" s="79"/>
      <c r="P41" s="460"/>
      <c r="Q41" s="460"/>
      <c r="R41" s="461"/>
      <c r="S41" s="461"/>
      <c r="V41" s="97"/>
      <c r="W41" s="96"/>
      <c r="Z41" s="99"/>
      <c r="AB41" s="102"/>
      <c r="AC41" s="17"/>
      <c r="AD41" s="100"/>
      <c r="AE41" s="100"/>
      <c r="AF41" s="100"/>
      <c r="AH41" s="73"/>
      <c r="AK41" s="98"/>
    </row>
    <row r="44" spans="1:38" ht="15.75">
      <c r="B44" s="4"/>
      <c r="R44" s="42"/>
      <c r="S44" s="42"/>
      <c r="V44" s="97"/>
      <c r="W44" s="96"/>
      <c r="Z44" s="99"/>
      <c r="AB44" s="102"/>
      <c r="AC44" s="17"/>
      <c r="AD44" s="100"/>
      <c r="AE44" s="100"/>
      <c r="AF44" s="100"/>
      <c r="AH44" s="73"/>
      <c r="AK44" s="98"/>
    </row>
    <row r="45" spans="1:38" ht="15.75">
      <c r="B45" s="4"/>
      <c r="R45" s="42"/>
      <c r="S45" s="42"/>
      <c r="V45" s="97"/>
      <c r="W45" s="96"/>
      <c r="Z45" s="99"/>
      <c r="AB45" s="102"/>
      <c r="AC45" s="17"/>
      <c r="AD45" s="100"/>
      <c r="AE45" s="100"/>
      <c r="AF45" s="100"/>
      <c r="AH45" s="73"/>
      <c r="AK45" s="98"/>
    </row>
    <row r="46" spans="1:38" ht="15.75">
      <c r="B46" s="4"/>
      <c r="C46" s="79"/>
      <c r="D46" s="79"/>
      <c r="E46" s="79"/>
      <c r="F46" s="79"/>
      <c r="G46" s="79"/>
      <c r="H46" s="79"/>
      <c r="I46" s="79"/>
      <c r="J46" s="79"/>
      <c r="K46" s="79"/>
      <c r="R46" s="42"/>
      <c r="S46" s="42"/>
      <c r="V46" s="97"/>
      <c r="W46" s="96"/>
      <c r="Z46" s="99"/>
      <c r="AC46" s="17"/>
      <c r="AD46" s="100"/>
      <c r="AE46" s="100"/>
      <c r="AF46" s="100"/>
      <c r="AH46" s="73"/>
      <c r="AK46" s="98"/>
    </row>
    <row r="47" spans="1:38" ht="12.75" customHeight="1">
      <c r="B47" s="4"/>
      <c r="R47" s="42"/>
      <c r="S47" s="42"/>
      <c r="V47" s="97"/>
      <c r="W47" s="96"/>
      <c r="Z47" s="99"/>
      <c r="AC47" s="17"/>
      <c r="AD47" s="100"/>
      <c r="AE47" s="100"/>
      <c r="AF47" s="100"/>
      <c r="AH47" s="73"/>
      <c r="AK47" s="98"/>
    </row>
    <row r="48" spans="1:38" ht="12.75" customHeight="1"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57"/>
      <c r="Q48" s="57"/>
      <c r="R48" s="43"/>
      <c r="S48" s="43"/>
      <c r="V48" s="97"/>
      <c r="W48" s="96"/>
      <c r="Z48" s="99"/>
      <c r="AC48" s="17"/>
      <c r="AD48" s="100"/>
      <c r="AE48" s="100"/>
      <c r="AF48" s="100"/>
      <c r="AH48" s="73"/>
      <c r="AK48" s="98"/>
    </row>
    <row r="49" spans="2:37">
      <c r="F49" s="20"/>
      <c r="G49" s="20"/>
      <c r="H49" s="20"/>
      <c r="I49" s="35"/>
      <c r="J49" s="20"/>
      <c r="K49" s="20"/>
      <c r="L49" s="20"/>
      <c r="M49" s="20"/>
      <c r="N49" s="20"/>
      <c r="O49" s="20"/>
      <c r="P49" s="57"/>
      <c r="Q49" s="57"/>
      <c r="R49" s="43"/>
      <c r="S49" s="43"/>
      <c r="V49" s="97"/>
      <c r="W49" s="96"/>
      <c r="Z49" s="99"/>
      <c r="AC49" s="17"/>
      <c r="AD49" s="100"/>
      <c r="AE49" s="100"/>
      <c r="AF49" s="100"/>
      <c r="AH49" s="73"/>
      <c r="AK49" s="98"/>
    </row>
    <row r="51" spans="2:37" ht="12.75" customHeight="1">
      <c r="E51" s="34"/>
      <c r="AK51" s="97"/>
    </row>
    <row r="52" spans="2:37">
      <c r="E52" s="34"/>
      <c r="F52" s="6"/>
      <c r="G52" s="6"/>
      <c r="H52" s="6"/>
      <c r="I52" s="6"/>
      <c r="J52" s="17"/>
      <c r="K52" s="17"/>
      <c r="L52" s="17"/>
      <c r="M52" s="340"/>
      <c r="N52" s="17"/>
      <c r="O52" s="17"/>
      <c r="P52" s="59"/>
      <c r="Q52" s="59"/>
    </row>
    <row r="53" spans="2:37">
      <c r="B53" s="37"/>
      <c r="E53" s="34"/>
      <c r="F53" s="6"/>
      <c r="G53" s="6"/>
      <c r="H53" s="6"/>
      <c r="I53" s="6"/>
      <c r="J53" s="20"/>
      <c r="K53" s="20"/>
      <c r="L53" s="20"/>
      <c r="M53" s="20"/>
      <c r="N53" s="20"/>
      <c r="O53" s="20"/>
      <c r="P53" s="57"/>
      <c r="Q53" s="57"/>
    </row>
    <row r="54" spans="2:37">
      <c r="E54" s="34"/>
    </row>
  </sheetData>
  <phoneticPr fontId="3" type="noConversion"/>
  <printOptions horizontalCentered="1"/>
  <pageMargins left="0.75" right="0.75" top="1" bottom="1" header="0.5" footer="0.5"/>
  <pageSetup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6"/>
  <sheetViews>
    <sheetView zoomScale="120" zoomScaleNormal="120" zoomScaleSheetLayoutView="100" workbookViewId="0">
      <selection activeCell="I12" sqref="I12"/>
    </sheetView>
  </sheetViews>
  <sheetFormatPr defaultRowHeight="12.75"/>
  <cols>
    <col min="1" max="1" width="24.83203125" customWidth="1"/>
    <col min="2" max="2" width="10.83203125" customWidth="1"/>
    <col min="3" max="3" width="3.83203125" customWidth="1"/>
    <col min="4" max="6" width="10.83203125" customWidth="1"/>
    <col min="7" max="7" width="3.83203125" customWidth="1"/>
    <col min="8" max="9" width="10.83203125" customWidth="1"/>
  </cols>
  <sheetData>
    <row r="1" spans="1:20" ht="15.75">
      <c r="I1" s="8" t="s">
        <v>288</v>
      </c>
    </row>
    <row r="2" spans="1:20" ht="15.75">
      <c r="I2" s="8"/>
    </row>
    <row r="3" spans="1:20">
      <c r="B3" s="6"/>
      <c r="C3" s="6"/>
      <c r="D3" s="6"/>
      <c r="E3" s="6"/>
      <c r="F3" s="6"/>
      <c r="G3" s="6"/>
      <c r="H3" s="6"/>
      <c r="I3" s="74"/>
      <c r="J3" s="122"/>
    </row>
    <row r="4" spans="1:20" ht="20.25">
      <c r="A4" s="90" t="s">
        <v>86</v>
      </c>
      <c r="B4" s="33"/>
      <c r="C4" s="33"/>
      <c r="D4" s="33"/>
      <c r="E4" s="90"/>
      <c r="F4" s="29"/>
      <c r="G4" s="29"/>
      <c r="H4" s="90"/>
      <c r="I4" s="33"/>
    </row>
    <row r="5" spans="1:20" ht="20.25">
      <c r="A5" s="48">
        <v>41634</v>
      </c>
      <c r="B5" s="33"/>
      <c r="C5" s="33"/>
      <c r="D5" s="33"/>
      <c r="E5" s="90"/>
      <c r="F5" s="29"/>
      <c r="G5" s="29"/>
      <c r="H5" s="90"/>
      <c r="I5" s="33"/>
    </row>
    <row r="6" spans="1:20" ht="15.75">
      <c r="B6" s="33"/>
      <c r="C6" s="33"/>
      <c r="D6" s="91"/>
      <c r="E6" s="91"/>
      <c r="F6" s="29"/>
      <c r="G6" s="29"/>
      <c r="H6" s="91"/>
      <c r="I6" s="33"/>
    </row>
    <row r="7" spans="1:20" ht="18.75">
      <c r="A7" s="794" t="s">
        <v>28</v>
      </c>
      <c r="B7" s="795"/>
      <c r="C7" s="795"/>
      <c r="D7" s="795"/>
      <c r="E7" s="795"/>
      <c r="F7" s="795"/>
      <c r="G7" s="795"/>
      <c r="H7" s="795"/>
      <c r="I7" s="796"/>
    </row>
    <row r="8" spans="1:20">
      <c r="B8" s="60"/>
      <c r="C8" s="60"/>
      <c r="D8" s="60"/>
      <c r="E8" s="60"/>
      <c r="F8" s="60"/>
      <c r="G8" s="60"/>
      <c r="H8" s="60" t="s">
        <v>238</v>
      </c>
      <c r="I8" s="60" t="s">
        <v>21</v>
      </c>
      <c r="M8" s="60"/>
      <c r="N8" s="60"/>
      <c r="O8" s="60"/>
      <c r="P8" s="60"/>
      <c r="Q8" s="60"/>
      <c r="R8" s="60"/>
      <c r="S8" s="60"/>
    </row>
    <row r="9" spans="1:20">
      <c r="B9" s="60" t="s">
        <v>52</v>
      </c>
      <c r="C9" s="60"/>
      <c r="D9" s="60"/>
      <c r="E9" s="60"/>
      <c r="F9" s="60" t="s">
        <v>31</v>
      </c>
      <c r="G9" s="60"/>
      <c r="H9" s="60" t="s">
        <v>236</v>
      </c>
      <c r="I9" s="60" t="s">
        <v>236</v>
      </c>
      <c r="M9" s="60"/>
      <c r="N9" s="62"/>
      <c r="O9" s="60"/>
      <c r="P9" s="60"/>
      <c r="Q9" s="60"/>
      <c r="R9" s="60"/>
      <c r="S9" s="60"/>
    </row>
    <row r="10" spans="1:20">
      <c r="A10" t="s">
        <v>3</v>
      </c>
      <c r="B10" s="60" t="s">
        <v>29</v>
      </c>
      <c r="C10" s="60"/>
      <c r="D10" s="60" t="s">
        <v>33</v>
      </c>
      <c r="E10" s="60" t="s">
        <v>30</v>
      </c>
      <c r="F10" s="60" t="s">
        <v>32</v>
      </c>
      <c r="G10" s="60"/>
      <c r="H10" s="60" t="s">
        <v>140</v>
      </c>
      <c r="I10" s="60" t="s">
        <v>140</v>
      </c>
      <c r="L10" s="36"/>
      <c r="M10" s="66"/>
      <c r="N10" s="264"/>
      <c r="O10" s="66"/>
      <c r="P10" s="66"/>
      <c r="Q10" s="66"/>
      <c r="R10" s="66"/>
      <c r="S10" s="66"/>
      <c r="T10" s="36"/>
    </row>
    <row r="11" spans="1:20">
      <c r="A11" s="3"/>
      <c r="B11" s="11"/>
      <c r="C11" s="11"/>
      <c r="D11" s="11"/>
      <c r="E11" s="11"/>
      <c r="F11" s="11"/>
      <c r="G11" s="11"/>
      <c r="H11" s="11"/>
      <c r="I11" s="11"/>
      <c r="L11" s="36"/>
      <c r="M11" s="21"/>
      <c r="N11" s="117"/>
      <c r="O11" s="21"/>
      <c r="P11" s="21"/>
      <c r="Q11" s="21"/>
      <c r="R11" s="21"/>
      <c r="S11" s="21"/>
      <c r="T11" s="36"/>
    </row>
    <row r="12" spans="1:20">
      <c r="A12" s="36" t="s">
        <v>5</v>
      </c>
      <c r="B12" s="117">
        <f>+'Value Line'!H20</f>
        <v>0.09</v>
      </c>
      <c r="C12" s="117"/>
      <c r="D12" s="117">
        <v>0.05</v>
      </c>
      <c r="E12" s="117">
        <v>4.0300000000000002E-2</v>
      </c>
      <c r="F12" s="117">
        <v>0.05</v>
      </c>
      <c r="G12" s="117"/>
      <c r="H12" s="84">
        <f t="shared" ref="H12:H19" si="0">AVERAGE(D12:F12)</f>
        <v>4.6766666666666672E-2</v>
      </c>
      <c r="I12" s="6">
        <f t="shared" ref="I12:I19" si="1">MEDIAN(D12:F12)</f>
        <v>0.05</v>
      </c>
      <c r="L12" s="36"/>
      <c r="M12" s="117"/>
      <c r="N12" s="84"/>
      <c r="O12" s="117"/>
      <c r="P12" s="117"/>
      <c r="Q12" s="117"/>
      <c r="R12" s="6"/>
      <c r="S12" s="6"/>
    </row>
    <row r="13" spans="1:20">
      <c r="A13" s="36" t="s">
        <v>7</v>
      </c>
      <c r="B13" s="117">
        <f>+'Value Line'!H21</f>
        <v>5.5E-2</v>
      </c>
      <c r="C13" s="117"/>
      <c r="D13" s="84">
        <v>6.2E-2</v>
      </c>
      <c r="E13" s="84">
        <v>6.13E-2</v>
      </c>
      <c r="F13" s="84">
        <v>6.2E-2</v>
      </c>
      <c r="G13" s="84"/>
      <c r="H13" s="84">
        <f t="shared" si="0"/>
        <v>6.1766666666666664E-2</v>
      </c>
      <c r="I13" s="6">
        <f t="shared" si="1"/>
        <v>6.2E-2</v>
      </c>
      <c r="L13" s="36"/>
      <c r="M13" s="117"/>
      <c r="N13" s="84"/>
      <c r="O13" s="84"/>
      <c r="P13" s="84"/>
      <c r="Q13" s="84"/>
      <c r="R13" s="6"/>
      <c r="S13" s="6"/>
    </row>
    <row r="14" spans="1:20">
      <c r="A14" s="36" t="s">
        <v>10</v>
      </c>
      <c r="B14" s="117">
        <f>+'Value Line'!H22</f>
        <v>0.06</v>
      </c>
      <c r="C14" s="117"/>
      <c r="D14" s="118">
        <v>4.7E-2</v>
      </c>
      <c r="E14" s="118">
        <v>4.1399999999999999E-2</v>
      </c>
      <c r="F14" s="84">
        <v>4.7E-2</v>
      </c>
      <c r="G14" s="84"/>
      <c r="H14" s="84">
        <f t="shared" si="0"/>
        <v>4.5133333333333338E-2</v>
      </c>
      <c r="I14" s="6">
        <f t="shared" si="1"/>
        <v>4.7E-2</v>
      </c>
      <c r="L14" s="36"/>
      <c r="M14" s="117"/>
      <c r="N14" s="84"/>
      <c r="O14" s="118"/>
      <c r="P14" s="118"/>
      <c r="Q14" s="84"/>
      <c r="R14" s="6"/>
      <c r="S14" s="6"/>
    </row>
    <row r="15" spans="1:20">
      <c r="A15" s="89" t="s">
        <v>12</v>
      </c>
      <c r="B15" s="117">
        <f>+'Value Line'!H23</f>
        <v>5.5E-2</v>
      </c>
      <c r="C15" s="117"/>
      <c r="D15" s="118">
        <v>2.5000000000000001E-2</v>
      </c>
      <c r="E15" s="118">
        <v>0.04</v>
      </c>
      <c r="F15" s="84">
        <v>2.5000000000000001E-2</v>
      </c>
      <c r="G15" s="84"/>
      <c r="H15" s="84">
        <f t="shared" ref="H15" si="2">AVERAGE(D15:F15)</f>
        <v>0.03</v>
      </c>
      <c r="I15" s="6">
        <f t="shared" ref="I15" si="3">MEDIAN(D15:F15)</f>
        <v>2.5000000000000001E-2</v>
      </c>
      <c r="L15" s="36"/>
      <c r="M15" s="117"/>
      <c r="N15" s="84"/>
      <c r="O15" s="118"/>
      <c r="P15" s="118"/>
      <c r="Q15" s="84"/>
      <c r="R15" s="6"/>
      <c r="S15" s="6"/>
    </row>
    <row r="16" spans="1:20">
      <c r="A16" s="36" t="s">
        <v>14</v>
      </c>
      <c r="B16" s="117">
        <f>+'Value Line'!H24</f>
        <v>4.4999999999999998E-2</v>
      </c>
      <c r="C16" s="117"/>
      <c r="D16" s="84">
        <v>0.04</v>
      </c>
      <c r="E16" s="84">
        <v>0.04</v>
      </c>
      <c r="F16" s="117">
        <v>0.04</v>
      </c>
      <c r="G16" s="117"/>
      <c r="H16" s="84">
        <f t="shared" si="0"/>
        <v>0.04</v>
      </c>
      <c r="I16" s="6">
        <f t="shared" si="1"/>
        <v>0.04</v>
      </c>
      <c r="L16" s="36"/>
      <c r="M16" s="117"/>
      <c r="N16" s="84"/>
      <c r="O16" s="84"/>
      <c r="P16" s="84"/>
      <c r="Q16" s="84"/>
      <c r="R16" s="6"/>
      <c r="S16" s="6"/>
    </row>
    <row r="17" spans="1:19">
      <c r="A17" s="36" t="s">
        <v>16</v>
      </c>
      <c r="B17" s="117">
        <f>+'Value Line'!H25</f>
        <v>4.4999999999999998E-2</v>
      </c>
      <c r="C17" s="117"/>
      <c r="D17" s="84">
        <v>0.05</v>
      </c>
      <c r="E17" s="118">
        <v>0.05</v>
      </c>
      <c r="F17" s="118">
        <v>0.05</v>
      </c>
      <c r="G17" s="118"/>
      <c r="H17" s="84">
        <f t="shared" si="0"/>
        <v>5.000000000000001E-2</v>
      </c>
      <c r="I17" s="6">
        <f t="shared" si="1"/>
        <v>0.05</v>
      </c>
      <c r="L17" s="36"/>
      <c r="M17" s="117"/>
      <c r="N17" s="84"/>
      <c r="O17" s="84"/>
      <c r="P17" s="118"/>
      <c r="Q17" s="118"/>
      <c r="R17" s="6"/>
      <c r="S17" s="6"/>
    </row>
    <row r="18" spans="1:19">
      <c r="A18" s="36" t="s">
        <v>18</v>
      </c>
      <c r="B18" s="117">
        <f>+'Value Line'!H26</f>
        <v>7.4999999999999997E-2</v>
      </c>
      <c r="C18" s="117"/>
      <c r="D18" s="84">
        <v>0.06</v>
      </c>
      <c r="E18" s="84">
        <v>0.06</v>
      </c>
      <c r="F18" s="84">
        <v>0.06</v>
      </c>
      <c r="G18" s="84"/>
      <c r="H18" s="84">
        <f t="shared" si="0"/>
        <v>0.06</v>
      </c>
      <c r="I18" s="6">
        <f t="shared" si="1"/>
        <v>0.06</v>
      </c>
      <c r="L18" s="36"/>
      <c r="M18" s="117"/>
      <c r="N18" s="84"/>
      <c r="O18" s="84"/>
      <c r="P18" s="84"/>
      <c r="Q18" s="84"/>
      <c r="R18" s="6"/>
      <c r="S18" s="6"/>
    </row>
    <row r="19" spans="1:19">
      <c r="A19" s="36" t="s">
        <v>113</v>
      </c>
      <c r="B19" s="117">
        <f>+'Value Line'!H27</f>
        <v>0.08</v>
      </c>
      <c r="C19" s="117"/>
      <c r="D19" s="84">
        <v>3.5299999999999998E-2</v>
      </c>
      <c r="E19" s="118">
        <v>3.5299999999999998E-2</v>
      </c>
      <c r="F19" s="84">
        <v>3.5299999999999998E-2</v>
      </c>
      <c r="G19" s="84"/>
      <c r="H19" s="84">
        <f t="shared" si="0"/>
        <v>3.5299999999999998E-2</v>
      </c>
      <c r="I19" s="6">
        <f t="shared" si="1"/>
        <v>3.5299999999999998E-2</v>
      </c>
      <c r="L19" s="36"/>
      <c r="M19" s="117"/>
      <c r="N19" s="84"/>
      <c r="O19" s="84"/>
      <c r="P19" s="118"/>
      <c r="Q19" s="84"/>
      <c r="R19" s="6"/>
      <c r="S19" s="6"/>
    </row>
    <row r="20" spans="1:19">
      <c r="A20" s="89" t="s">
        <v>104</v>
      </c>
      <c r="B20" s="117">
        <f>+'Value Line'!H28</f>
        <v>3.5000000000000003E-2</v>
      </c>
      <c r="C20" s="117"/>
      <c r="D20" s="84">
        <v>4.5999999999999999E-2</v>
      </c>
      <c r="E20" s="118">
        <v>4.5999999999999999E-2</v>
      </c>
      <c r="F20" s="84">
        <v>4.5999999999999999E-2</v>
      </c>
      <c r="G20" s="84"/>
      <c r="H20" s="84">
        <f t="shared" ref="H20" si="4">AVERAGE(D20:F20)</f>
        <v>4.6000000000000006E-2</v>
      </c>
      <c r="I20" s="6">
        <f t="shared" ref="I20" si="5">MEDIAN(D20:F20)</f>
        <v>4.5999999999999999E-2</v>
      </c>
      <c r="L20" s="36"/>
      <c r="M20" s="117"/>
      <c r="N20" s="84"/>
      <c r="O20" s="84"/>
      <c r="P20" s="118"/>
      <c r="Q20" s="84"/>
      <c r="R20" s="6"/>
      <c r="S20" s="6"/>
    </row>
    <row r="21" spans="1:19">
      <c r="B21" s="6"/>
      <c r="C21" s="6"/>
      <c r="D21" s="6"/>
      <c r="E21" s="6"/>
      <c r="F21" s="6"/>
      <c r="G21" s="6"/>
      <c r="H21" s="6"/>
      <c r="I21" s="6"/>
      <c r="M21" s="6"/>
      <c r="N21" s="6"/>
      <c r="O21" s="6"/>
      <c r="P21" s="6"/>
      <c r="Q21" s="6"/>
      <c r="R21" s="6"/>
      <c r="S21" s="6"/>
    </row>
    <row r="22" spans="1:19">
      <c r="A22" s="5" t="s">
        <v>38</v>
      </c>
      <c r="B22" s="6">
        <f>AVERAGE(B12:B20)</f>
        <v>6.0000000000000005E-2</v>
      </c>
      <c r="C22" s="6"/>
      <c r="D22" s="6">
        <f>AVERAGE(D12:D20)</f>
        <v>4.6144444444444446E-2</v>
      </c>
      <c r="E22" s="6">
        <f t="shared" ref="E22:F22" si="6">AVERAGE(E12:E20)</f>
        <v>4.6033333333333336E-2</v>
      </c>
      <c r="F22" s="6">
        <f t="shared" si="6"/>
        <v>4.6144444444444446E-2</v>
      </c>
      <c r="G22" s="6"/>
      <c r="H22" s="6">
        <f t="shared" ref="H22:I22" si="7">AVERAGE(H12:H20)</f>
        <v>4.6107407407407403E-2</v>
      </c>
      <c r="I22" s="6">
        <f t="shared" si="7"/>
        <v>4.6144444444444446E-2</v>
      </c>
      <c r="M22" s="6"/>
      <c r="N22" s="6"/>
      <c r="O22" s="6"/>
      <c r="P22" s="6"/>
      <c r="Q22" s="6"/>
      <c r="R22" s="6"/>
      <c r="S22" s="6"/>
    </row>
    <row r="23" spans="1:19">
      <c r="A23" s="5" t="s">
        <v>21</v>
      </c>
      <c r="B23" s="6">
        <f>MEDIAN(B12:B20)</f>
        <v>5.5E-2</v>
      </c>
      <c r="C23" s="6"/>
      <c r="D23" s="6">
        <f>MEDIAN(D12:D20)</f>
        <v>4.7E-2</v>
      </c>
      <c r="E23" s="6">
        <f t="shared" ref="E23:F23" si="8">MEDIAN(E12:E20)</f>
        <v>4.1399999999999999E-2</v>
      </c>
      <c r="F23" s="6">
        <f t="shared" si="8"/>
        <v>4.7E-2</v>
      </c>
      <c r="G23" s="6"/>
      <c r="H23" s="6">
        <f t="shared" ref="H23:I23" si="9">MEDIAN(H12:H20)</f>
        <v>4.6000000000000006E-2</v>
      </c>
      <c r="I23" s="6">
        <f t="shared" si="9"/>
        <v>4.7E-2</v>
      </c>
      <c r="L23" s="5"/>
      <c r="M23" s="6"/>
      <c r="N23" s="6"/>
      <c r="O23" s="6"/>
      <c r="P23" s="6"/>
      <c r="Q23" s="6"/>
      <c r="R23" s="6"/>
      <c r="S23" s="6"/>
    </row>
    <row r="24" spans="1:19">
      <c r="B24" s="6"/>
      <c r="C24" s="6"/>
      <c r="D24" s="6"/>
      <c r="E24" s="6"/>
      <c r="F24" s="6"/>
      <c r="G24" s="6"/>
      <c r="H24" s="6"/>
      <c r="I24" s="6"/>
      <c r="L24" s="5"/>
      <c r="M24" s="6"/>
      <c r="N24" s="6"/>
      <c r="O24" s="6"/>
      <c r="P24" s="6"/>
      <c r="Q24" s="6"/>
      <c r="R24" s="6"/>
      <c r="S24" s="6"/>
    </row>
    <row r="25" spans="1:19">
      <c r="A25" s="5"/>
      <c r="B25" s="95"/>
      <c r="C25" s="95"/>
      <c r="D25" s="95"/>
      <c r="E25" s="95"/>
      <c r="F25" s="95"/>
      <c r="G25" s="95"/>
      <c r="H25" s="95"/>
      <c r="I25" s="95"/>
    </row>
    <row r="26" spans="1:19" ht="18.75">
      <c r="A26" s="794" t="s">
        <v>136</v>
      </c>
      <c r="B26" s="795"/>
      <c r="C26" s="795"/>
      <c r="D26" s="795"/>
      <c r="E26" s="795"/>
      <c r="F26" s="795"/>
      <c r="G26" s="795"/>
      <c r="H26" s="795"/>
      <c r="I26" s="796"/>
      <c r="K26" s="2"/>
      <c r="L26" s="6"/>
      <c r="M26" s="60"/>
      <c r="N26" s="6"/>
      <c r="O26" s="6"/>
      <c r="P26" s="6"/>
      <c r="Q26" s="6"/>
      <c r="R26" s="6"/>
    </row>
    <row r="27" spans="1:19">
      <c r="B27" s="261"/>
      <c r="C27" s="261"/>
      <c r="D27" s="261"/>
      <c r="E27" s="261"/>
      <c r="F27" s="261"/>
      <c r="H27" s="60" t="s">
        <v>38</v>
      </c>
      <c r="I27" s="60" t="s">
        <v>21</v>
      </c>
      <c r="L27" s="261"/>
      <c r="M27" s="261"/>
      <c r="N27" s="261"/>
      <c r="O27" s="261"/>
      <c r="P27" s="261"/>
      <c r="Q27" s="60"/>
      <c r="R27" s="60"/>
    </row>
    <row r="28" spans="1:19">
      <c r="B28" s="60" t="s">
        <v>52</v>
      </c>
      <c r="C28" s="6"/>
      <c r="D28" s="62"/>
      <c r="E28" s="60"/>
      <c r="F28" s="60" t="s">
        <v>31</v>
      </c>
      <c r="H28" s="60" t="s">
        <v>236</v>
      </c>
      <c r="I28" s="60" t="s">
        <v>236</v>
      </c>
      <c r="L28" s="60"/>
      <c r="M28" s="6"/>
      <c r="N28" s="62"/>
      <c r="O28" s="60"/>
      <c r="P28" s="60"/>
      <c r="Q28" s="60"/>
      <c r="R28" s="60"/>
    </row>
    <row r="29" spans="1:19">
      <c r="A29" t="str">
        <f>+A10</f>
        <v>Company Name</v>
      </c>
      <c r="B29" s="60" t="s">
        <v>29</v>
      </c>
      <c r="C29" s="260"/>
      <c r="D29" s="60" t="s">
        <v>33</v>
      </c>
      <c r="E29" s="60" t="s">
        <v>30</v>
      </c>
      <c r="F29" s="60" t="s">
        <v>32</v>
      </c>
      <c r="H29" s="60" t="s">
        <v>140</v>
      </c>
      <c r="I29" s="60" t="s">
        <v>140</v>
      </c>
      <c r="K29" s="36"/>
      <c r="L29" s="66"/>
      <c r="M29" s="66"/>
      <c r="N29" s="66"/>
      <c r="O29" s="66"/>
      <c r="P29" s="66"/>
      <c r="Q29" s="66"/>
      <c r="R29" s="66"/>
    </row>
    <row r="30" spans="1:19">
      <c r="A30" s="3"/>
      <c r="B30" s="11"/>
      <c r="C30" s="6"/>
      <c r="D30" s="11"/>
      <c r="E30" s="11"/>
      <c r="F30" s="11"/>
      <c r="H30" s="11"/>
      <c r="I30" s="11"/>
      <c r="K30" s="36"/>
      <c r="L30" s="21"/>
      <c r="M30" s="21"/>
      <c r="N30" s="21"/>
      <c r="O30" s="21"/>
      <c r="P30" s="21"/>
      <c r="Q30" s="21"/>
      <c r="R30" s="21"/>
    </row>
    <row r="31" spans="1:19">
      <c r="A31" s="36" t="str">
        <f>+A12</f>
        <v>AGL Resources</v>
      </c>
      <c r="B31" s="377">
        <f>+'Value Line'!D20</f>
        <v>0.75</v>
      </c>
      <c r="C31" s="263"/>
      <c r="D31" s="487">
        <v>0.51</v>
      </c>
      <c r="E31" s="486">
        <v>0.42</v>
      </c>
      <c r="F31" s="79">
        <v>0.36</v>
      </c>
      <c r="G31" s="263"/>
      <c r="H31" s="263">
        <f t="shared" ref="H31:H38" si="10">AVERAGE(C31:F31)</f>
        <v>0.43</v>
      </c>
      <c r="I31" s="263">
        <f t="shared" ref="I31:I38" si="11">MEDIAN(C31:F31)</f>
        <v>0.42</v>
      </c>
      <c r="K31" s="36"/>
      <c r="L31" s="115"/>
      <c r="M31" s="36"/>
      <c r="N31" s="115"/>
      <c r="O31" s="115"/>
      <c r="P31" s="115"/>
      <c r="Q31" s="265"/>
      <c r="R31" s="265"/>
    </row>
    <row r="32" spans="1:19">
      <c r="A32" s="36" t="str">
        <f>+A13</f>
        <v>Atmos Energy</v>
      </c>
      <c r="B32" s="377">
        <f>+'Value Line'!D21</f>
        <v>0.7</v>
      </c>
      <c r="C32" s="263"/>
      <c r="D32" s="487">
        <v>0.53</v>
      </c>
      <c r="E32" s="487">
        <v>0.51</v>
      </c>
      <c r="F32" s="79">
        <v>0.54</v>
      </c>
      <c r="G32" s="263"/>
      <c r="H32" s="263">
        <f t="shared" si="10"/>
        <v>0.52666666666666673</v>
      </c>
      <c r="I32" s="263">
        <f t="shared" si="11"/>
        <v>0.53</v>
      </c>
      <c r="K32" s="36"/>
      <c r="L32" s="114"/>
      <c r="N32" s="114"/>
      <c r="O32" s="114"/>
      <c r="P32" s="114"/>
      <c r="Q32" s="12"/>
      <c r="R32" s="12"/>
    </row>
    <row r="33" spans="1:18">
      <c r="A33" s="36" t="str">
        <f>+A14</f>
        <v>Laclede Group</v>
      </c>
      <c r="B33" s="377">
        <f>+'Value Line'!D22</f>
        <v>0.6</v>
      </c>
      <c r="C33" s="263"/>
      <c r="D33" s="487">
        <v>0.28000000000000003</v>
      </c>
      <c r="E33" s="487">
        <v>0.15</v>
      </c>
      <c r="F33" s="79">
        <v>0.35</v>
      </c>
      <c r="G33" s="263"/>
      <c r="H33" s="263">
        <f t="shared" si="10"/>
        <v>0.26</v>
      </c>
      <c r="I33" s="263">
        <f t="shared" si="11"/>
        <v>0.28000000000000003</v>
      </c>
      <c r="K33" s="36"/>
      <c r="L33" s="114"/>
      <c r="N33" s="114"/>
      <c r="O33" s="114"/>
      <c r="P33" s="114"/>
      <c r="Q33" s="12"/>
      <c r="R33" s="12"/>
    </row>
    <row r="34" spans="1:18">
      <c r="A34" s="36" t="str">
        <f>+A15</f>
        <v>New Jersey Resources</v>
      </c>
      <c r="B34" s="377">
        <v>0.7</v>
      </c>
      <c r="C34" s="263"/>
      <c r="D34" s="487">
        <v>0.43</v>
      </c>
      <c r="E34" s="487">
        <v>0.44</v>
      </c>
      <c r="F34" s="79">
        <v>0.57999999999999996</v>
      </c>
      <c r="G34" s="263"/>
      <c r="H34" s="263">
        <f t="shared" ref="H34" si="12">AVERAGE(C34:F34)</f>
        <v>0.48333333333333334</v>
      </c>
      <c r="I34" s="263">
        <f t="shared" ref="I34" si="13">MEDIAN(C34:F34)</f>
        <v>0.44</v>
      </c>
      <c r="K34" s="36"/>
      <c r="L34" s="114"/>
      <c r="N34" s="114"/>
      <c r="O34" s="114"/>
      <c r="P34" s="114"/>
      <c r="Q34" s="12"/>
      <c r="R34" s="12"/>
    </row>
    <row r="35" spans="1:18">
      <c r="A35" s="36" t="str">
        <f t="shared" ref="A35:A38" si="14">+A16</f>
        <v>Northwest Nat. Gas</v>
      </c>
      <c r="B35" s="377">
        <f>+'Value Line'!D24</f>
        <v>0.6</v>
      </c>
      <c r="C35" s="263"/>
      <c r="D35" s="487">
        <v>0.36</v>
      </c>
      <c r="E35" s="487">
        <v>0.32</v>
      </c>
      <c r="F35" s="79">
        <v>0.27</v>
      </c>
      <c r="G35" s="263"/>
      <c r="H35" s="263">
        <f t="shared" si="10"/>
        <v>0.31666666666666665</v>
      </c>
      <c r="I35" s="263">
        <f t="shared" si="11"/>
        <v>0.32</v>
      </c>
      <c r="K35" s="36"/>
      <c r="L35" s="114"/>
      <c r="N35" s="114"/>
      <c r="O35" s="114"/>
      <c r="P35" s="114"/>
      <c r="Q35" s="12"/>
      <c r="R35" s="12"/>
    </row>
    <row r="36" spans="1:18">
      <c r="A36" s="36" t="str">
        <f t="shared" si="14"/>
        <v>Piedmont Natural Gas</v>
      </c>
      <c r="B36" s="377">
        <f>+'Value Line'!D25</f>
        <v>0.7</v>
      </c>
      <c r="C36" s="263"/>
      <c r="D36" s="487">
        <v>0.51</v>
      </c>
      <c r="E36" s="487">
        <v>0.39</v>
      </c>
      <c r="F36" s="79">
        <v>0.48</v>
      </c>
      <c r="G36" s="263"/>
      <c r="H36" s="263">
        <f t="shared" si="10"/>
        <v>0.45999999999999996</v>
      </c>
      <c r="I36" s="263">
        <f t="shared" si="11"/>
        <v>0.48</v>
      </c>
      <c r="K36" s="36"/>
      <c r="L36" s="114"/>
      <c r="N36" s="114"/>
      <c r="O36" s="114"/>
      <c r="P36" s="114"/>
      <c r="Q36" s="12"/>
      <c r="R36" s="12"/>
    </row>
    <row r="37" spans="1:18">
      <c r="A37" s="36" t="str">
        <f t="shared" si="14"/>
        <v>South Jersey Inds.</v>
      </c>
      <c r="B37" s="377">
        <f>+'Value Line'!D26</f>
        <v>0.65</v>
      </c>
      <c r="C37" s="263"/>
      <c r="D37" s="487">
        <v>0.35</v>
      </c>
      <c r="E37" s="487">
        <v>0.35</v>
      </c>
      <c r="F37" s="79">
        <v>0.7</v>
      </c>
      <c r="G37" s="263"/>
      <c r="H37" s="263">
        <f t="shared" si="10"/>
        <v>0.46666666666666662</v>
      </c>
      <c r="I37" s="263">
        <f t="shared" si="11"/>
        <v>0.35</v>
      </c>
      <c r="K37" s="36"/>
      <c r="L37" s="114"/>
      <c r="N37" s="114"/>
      <c r="O37" s="114"/>
      <c r="P37" s="116"/>
      <c r="Q37" s="12"/>
      <c r="R37" s="12"/>
    </row>
    <row r="38" spans="1:18">
      <c r="A38" s="36" t="str">
        <f t="shared" si="14"/>
        <v>Southwest Gas</v>
      </c>
      <c r="B38" s="377">
        <f>+'Value Line'!D27</f>
        <v>0.75</v>
      </c>
      <c r="C38" s="263"/>
      <c r="D38" s="487">
        <v>0.72</v>
      </c>
      <c r="E38" s="487">
        <v>0.72</v>
      </c>
      <c r="F38" s="79">
        <v>0.64</v>
      </c>
      <c r="G38" s="263"/>
      <c r="H38" s="263">
        <f t="shared" si="10"/>
        <v>0.69333333333333336</v>
      </c>
      <c r="I38" s="263">
        <f t="shared" si="11"/>
        <v>0.72</v>
      </c>
      <c r="K38" s="36"/>
      <c r="L38" s="114"/>
      <c r="N38" s="114"/>
      <c r="O38" s="114"/>
      <c r="P38" s="114"/>
      <c r="Q38" s="12"/>
      <c r="R38" s="12"/>
    </row>
    <row r="39" spans="1:18">
      <c r="A39" s="36" t="str">
        <f>+A20</f>
        <v>WGL Holdings</v>
      </c>
      <c r="B39" s="377">
        <v>0.65</v>
      </c>
      <c r="C39" s="263"/>
      <c r="D39" s="487">
        <v>0.41</v>
      </c>
      <c r="E39" s="487">
        <v>0.42</v>
      </c>
      <c r="F39" s="79">
        <v>0.46</v>
      </c>
      <c r="G39" s="263"/>
      <c r="H39" s="263">
        <f t="shared" ref="H39" si="15">AVERAGE(C39:F39)</f>
        <v>0.43</v>
      </c>
      <c r="I39" s="263">
        <f t="shared" ref="I39" si="16">MEDIAN(C39:F39)</f>
        <v>0.42</v>
      </c>
      <c r="K39" s="36"/>
      <c r="L39" s="114"/>
      <c r="N39" s="114"/>
      <c r="O39" s="114"/>
      <c r="P39" s="114"/>
      <c r="Q39" s="12"/>
      <c r="R39" s="12"/>
    </row>
    <row r="40" spans="1:18">
      <c r="A40" s="36"/>
      <c r="B40" s="263"/>
      <c r="C40" s="263"/>
      <c r="D40" s="263"/>
      <c r="E40" s="263"/>
      <c r="F40" s="263"/>
      <c r="G40" s="263"/>
      <c r="H40" s="263"/>
      <c r="I40" s="263"/>
      <c r="K40" s="36"/>
      <c r="L40" s="12"/>
      <c r="M40" s="6"/>
      <c r="N40" s="12"/>
      <c r="O40" s="12"/>
      <c r="P40" s="12"/>
      <c r="Q40" s="12"/>
      <c r="R40" s="12"/>
    </row>
    <row r="41" spans="1:18">
      <c r="A41" s="5" t="s">
        <v>38</v>
      </c>
      <c r="B41" s="263">
        <f>AVERAGE(B30:B40)</f>
        <v>0.67777777777777781</v>
      </c>
      <c r="C41" s="263"/>
      <c r="D41" s="263">
        <f>AVERAGE(D30:D40)</f>
        <v>0.4555555555555556</v>
      </c>
      <c r="E41" s="263">
        <f>AVERAGE(E30:E40)</f>
        <v>0.41333333333333333</v>
      </c>
      <c r="F41" s="263">
        <f>AVERAGE(F30:F40)</f>
        <v>0.48666666666666675</v>
      </c>
      <c r="G41" s="263"/>
      <c r="H41" s="263">
        <f>AVERAGE(H30:H40)</f>
        <v>0.45185185185185184</v>
      </c>
      <c r="I41" s="263">
        <f>AVERAGE(I30:I40)</f>
        <v>0.44</v>
      </c>
      <c r="K41" s="5"/>
      <c r="L41" s="12"/>
      <c r="M41" s="12"/>
      <c r="N41" s="12"/>
      <c r="O41" s="12"/>
      <c r="P41" s="12"/>
      <c r="Q41" s="12"/>
      <c r="R41" s="12"/>
    </row>
    <row r="42" spans="1:18">
      <c r="A42" s="5" t="s">
        <v>21</v>
      </c>
      <c r="B42" s="263">
        <f>MEDIAN(B30:B40)</f>
        <v>0.7</v>
      </c>
      <c r="C42" s="263"/>
      <c r="D42" s="263">
        <f>MEDIAN(D30:D40)</f>
        <v>0.43</v>
      </c>
      <c r="E42" s="263">
        <f>MEDIAN(E30:E40)</f>
        <v>0.42</v>
      </c>
      <c r="F42" s="263">
        <f>MEDIAN(F30:F40)</f>
        <v>0.48</v>
      </c>
      <c r="G42" s="263"/>
      <c r="H42" s="263">
        <f>MEDIAN(H30:H40)</f>
        <v>0.45999999999999996</v>
      </c>
      <c r="I42" s="263">
        <f>MEDIAN(I30:I40)</f>
        <v>0.42</v>
      </c>
      <c r="K42" s="5"/>
      <c r="L42" s="12"/>
      <c r="M42" s="12"/>
      <c r="N42" s="12"/>
      <c r="O42" s="12"/>
      <c r="P42" s="12"/>
      <c r="Q42" s="12"/>
      <c r="R42" s="12"/>
    </row>
    <row r="44" spans="1:18">
      <c r="H44" s="6"/>
    </row>
    <row r="47" spans="1:18">
      <c r="B47" s="68"/>
      <c r="D47" s="262"/>
      <c r="E47" s="262"/>
      <c r="F47" s="262"/>
    </row>
    <row r="66" spans="1:8">
      <c r="A66" s="5"/>
      <c r="B66" s="6"/>
      <c r="C66" s="6"/>
      <c r="D66" s="6"/>
      <c r="E66" s="6"/>
      <c r="F66" s="6"/>
      <c r="G66" s="6"/>
      <c r="H66" s="6"/>
    </row>
  </sheetData>
  <mergeCells count="2">
    <mergeCell ref="A7:I7"/>
    <mergeCell ref="A26:I26"/>
  </mergeCells>
  <phoneticPr fontId="3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zoomScaleNormal="10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E28" sqref="E28"/>
    </sheetView>
  </sheetViews>
  <sheetFormatPr defaultRowHeight="12.75"/>
  <cols>
    <col min="1" max="1" width="4.33203125" customWidth="1"/>
    <col min="2" max="2" width="7.83203125" customWidth="1"/>
    <col min="3" max="3" width="22.33203125" customWidth="1"/>
    <col min="4" max="4" width="8.33203125" customWidth="1"/>
    <col min="6" max="6" width="12.5" customWidth="1"/>
    <col min="7" max="8" width="10.1640625" customWidth="1"/>
    <col min="9" max="9" width="10" customWidth="1"/>
    <col min="10" max="10" width="9.83203125" customWidth="1"/>
    <col min="11" max="11" width="10.33203125" customWidth="1"/>
    <col min="12" max="12" width="8.5" customWidth="1"/>
    <col min="13" max="13" width="10" customWidth="1"/>
    <col min="14" max="16" width="9.5" bestFit="1" customWidth="1"/>
    <col min="17" max="18" width="9.33203125" hidden="1" customWidth="1"/>
    <col min="19" max="19" width="9.5" bestFit="1" customWidth="1"/>
    <col min="20" max="20" width="11.33203125" customWidth="1"/>
    <col min="21" max="21" width="9.83203125" customWidth="1"/>
    <col min="22" max="22" width="10.1640625" customWidth="1"/>
    <col min="23" max="23" width="9.83203125" customWidth="1"/>
    <col min="24" max="24" width="10.1640625" customWidth="1"/>
  </cols>
  <sheetData>
    <row r="1" spans="1:27" ht="18.75">
      <c r="A1" s="736" t="s">
        <v>194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</row>
    <row r="2" spans="1:27" ht="18.75">
      <c r="A2" s="182"/>
      <c r="B2" s="182"/>
      <c r="C2" s="182"/>
      <c r="D2" s="182"/>
      <c r="E2" s="182"/>
      <c r="F2" s="182"/>
      <c r="G2" s="182"/>
      <c r="H2" s="182"/>
      <c r="I2" s="182"/>
      <c r="J2" s="34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7" ht="18.75">
      <c r="A3" s="182"/>
      <c r="B3" s="182"/>
      <c r="C3" s="182"/>
      <c r="D3" s="182"/>
      <c r="E3" s="182"/>
      <c r="F3" s="797" t="s">
        <v>207</v>
      </c>
      <c r="G3" s="798"/>
      <c r="H3" s="799"/>
      <c r="I3" s="797" t="s">
        <v>208</v>
      </c>
      <c r="J3" s="798"/>
      <c r="K3" s="798"/>
      <c r="L3" s="798"/>
      <c r="M3" s="799"/>
      <c r="N3" s="797" t="s">
        <v>200</v>
      </c>
      <c r="O3" s="798"/>
      <c r="P3" s="798"/>
      <c r="Q3" s="798"/>
      <c r="R3" s="798"/>
      <c r="S3" s="799"/>
      <c r="T3" s="797" t="s">
        <v>215</v>
      </c>
      <c r="U3" s="798"/>
      <c r="V3" s="799"/>
      <c r="W3" s="797" t="s">
        <v>157</v>
      </c>
      <c r="X3" s="799"/>
    </row>
    <row r="4" spans="1:27" ht="38.25">
      <c r="D4" s="92" t="s">
        <v>98</v>
      </c>
      <c r="E4" s="92" t="s">
        <v>195</v>
      </c>
      <c r="F4" s="266" t="s">
        <v>199</v>
      </c>
      <c r="G4" s="203" t="s">
        <v>209</v>
      </c>
      <c r="H4" s="271" t="s">
        <v>210</v>
      </c>
      <c r="I4" s="270" t="s">
        <v>286</v>
      </c>
      <c r="J4" s="203" t="str">
        <f>+G4</f>
        <v>Historical 5 Yr Growth</v>
      </c>
      <c r="K4" s="203" t="s">
        <v>206</v>
      </c>
      <c r="L4" s="203" t="s">
        <v>186</v>
      </c>
      <c r="M4" s="268" t="s">
        <v>212</v>
      </c>
      <c r="N4" s="266" t="s">
        <v>201</v>
      </c>
      <c r="O4" s="203" t="s">
        <v>202</v>
      </c>
      <c r="P4" s="203" t="s">
        <v>203</v>
      </c>
      <c r="Q4" s="203" t="s">
        <v>204</v>
      </c>
      <c r="R4" s="203" t="s">
        <v>205</v>
      </c>
      <c r="S4" s="436" t="s">
        <v>211</v>
      </c>
      <c r="T4" s="266" t="s">
        <v>213</v>
      </c>
      <c r="U4" s="203" t="s">
        <v>214</v>
      </c>
      <c r="V4" s="267" t="s">
        <v>105</v>
      </c>
      <c r="W4" s="270" t="s">
        <v>216</v>
      </c>
      <c r="X4" s="271" t="s">
        <v>217</v>
      </c>
      <c r="Y4" s="183"/>
      <c r="Z4" s="183"/>
    </row>
    <row r="5" spans="1:27" hidden="1">
      <c r="A5" s="102">
        <v>1</v>
      </c>
      <c r="B5" s="102" t="s">
        <v>143</v>
      </c>
      <c r="C5" s="181" t="s">
        <v>5</v>
      </c>
      <c r="D5" s="25">
        <v>0.75</v>
      </c>
      <c r="E5" s="178" t="s">
        <v>6</v>
      </c>
      <c r="F5" s="204">
        <v>90</v>
      </c>
      <c r="G5" s="205">
        <v>8.5000000000000006E-2</v>
      </c>
      <c r="H5" s="206">
        <v>3.5000000000000003E-2</v>
      </c>
      <c r="I5" s="213">
        <v>0.05</v>
      </c>
      <c r="J5" s="205"/>
      <c r="K5" s="205">
        <v>2.5000000000000001E-2</v>
      </c>
      <c r="L5" s="218">
        <v>0.63</v>
      </c>
      <c r="M5" s="219">
        <v>0.56999999999999995</v>
      </c>
      <c r="N5" s="185">
        <v>20.9</v>
      </c>
      <c r="O5" s="186">
        <v>3.9</v>
      </c>
      <c r="P5" s="186">
        <v>30</v>
      </c>
      <c r="Q5" s="186">
        <v>15</v>
      </c>
      <c r="R5" s="186">
        <v>8</v>
      </c>
      <c r="S5" s="199">
        <f>(+Q5+R5)/2</f>
        <v>11.5</v>
      </c>
      <c r="T5" s="214">
        <v>0.53500000000000003</v>
      </c>
      <c r="U5" s="205">
        <v>0.46500000000000002</v>
      </c>
      <c r="V5" s="146">
        <v>3740</v>
      </c>
      <c r="W5" s="272">
        <v>0.12</v>
      </c>
      <c r="X5" s="273">
        <v>0.13</v>
      </c>
      <c r="Z5" s="100"/>
      <c r="AA5" s="100"/>
    </row>
    <row r="6" spans="1:27" hidden="1">
      <c r="A6" s="102">
        <v>2</v>
      </c>
      <c r="B6" s="102" t="s">
        <v>8</v>
      </c>
      <c r="C6" s="181" t="s">
        <v>7</v>
      </c>
      <c r="D6" s="25">
        <v>0.85</v>
      </c>
      <c r="E6" s="178" t="s">
        <v>9</v>
      </c>
      <c r="F6" s="204">
        <v>90</v>
      </c>
      <c r="G6" s="205">
        <v>0.05</v>
      </c>
      <c r="H6" s="206">
        <v>0.04</v>
      </c>
      <c r="I6" s="213">
        <v>4.9000000000000002E-2</v>
      </c>
      <c r="J6" s="205"/>
      <c r="K6" s="205">
        <v>1.4999999999999999E-2</v>
      </c>
      <c r="L6" s="218">
        <v>0.5</v>
      </c>
      <c r="M6" s="58">
        <v>0.51</v>
      </c>
      <c r="N6" s="185">
        <v>15.7</v>
      </c>
      <c r="O6" s="186">
        <v>-3.4</v>
      </c>
      <c r="P6" s="186">
        <v>28.3</v>
      </c>
      <c r="Q6" s="186">
        <v>13</v>
      </c>
      <c r="R6" s="186">
        <v>6</v>
      </c>
      <c r="S6" s="199">
        <f t="shared" ref="S6:S14" si="0">(+Q6+R6)/2</f>
        <v>9.5</v>
      </c>
      <c r="T6" s="213">
        <v>0.5</v>
      </c>
      <c r="U6" s="205">
        <v>0.5</v>
      </c>
      <c r="V6" s="146">
        <v>4345</v>
      </c>
      <c r="W6" s="213">
        <v>8.5000000000000006E-2</v>
      </c>
      <c r="X6" s="206">
        <v>9.5000000000000001E-2</v>
      </c>
      <c r="Z6" s="100"/>
      <c r="AA6" s="100"/>
    </row>
    <row r="7" spans="1:27" hidden="1">
      <c r="A7" s="102">
        <v>3</v>
      </c>
      <c r="B7" s="102" t="s">
        <v>11</v>
      </c>
      <c r="C7" s="181" t="s">
        <v>10</v>
      </c>
      <c r="D7" s="25">
        <v>0.6</v>
      </c>
      <c r="E7" s="178" t="s">
        <v>9</v>
      </c>
      <c r="F7" s="204">
        <v>85</v>
      </c>
      <c r="G7" s="205">
        <v>9.5000000000000001E-2</v>
      </c>
      <c r="H7" s="206">
        <v>3.5000000000000003E-2</v>
      </c>
      <c r="I7" s="213">
        <v>0.05</v>
      </c>
      <c r="J7" s="205"/>
      <c r="K7" s="205">
        <v>2.5000000000000001E-2</v>
      </c>
      <c r="L7" s="218">
        <v>0.54</v>
      </c>
      <c r="M7" s="58">
        <v>0.55000000000000004</v>
      </c>
      <c r="N7" s="185">
        <v>-38</v>
      </c>
      <c r="O7" s="186">
        <v>-2.8</v>
      </c>
      <c r="P7" s="186">
        <v>20.7</v>
      </c>
      <c r="Q7" s="186">
        <v>18</v>
      </c>
      <c r="R7" s="186">
        <v>10</v>
      </c>
      <c r="S7" s="199">
        <f t="shared" si="0"/>
        <v>14</v>
      </c>
      <c r="T7" s="213">
        <v>0.42499999999999999</v>
      </c>
      <c r="U7" s="205">
        <v>0.57499999999999996</v>
      </c>
      <c r="V7" s="146">
        <v>925</v>
      </c>
      <c r="W7" s="213">
        <v>0.12</v>
      </c>
      <c r="X7" s="206">
        <v>0.11</v>
      </c>
      <c r="Z7" s="100"/>
      <c r="AA7" s="100"/>
    </row>
    <row r="8" spans="1:27" hidden="1">
      <c r="A8" s="225">
        <v>4</v>
      </c>
      <c r="B8" s="225" t="s">
        <v>190</v>
      </c>
      <c r="C8" s="226" t="s">
        <v>12</v>
      </c>
      <c r="D8" s="25">
        <v>0.65</v>
      </c>
      <c r="E8" s="178" t="s">
        <v>13</v>
      </c>
      <c r="F8" s="207">
        <v>45</v>
      </c>
      <c r="G8" s="208">
        <v>7.4999999999999997E-2</v>
      </c>
      <c r="H8" s="209">
        <v>5.5E-2</v>
      </c>
      <c r="I8" s="214">
        <v>3.7999999999999999E-2</v>
      </c>
      <c r="J8" s="208"/>
      <c r="K8" s="208">
        <v>7.0000000000000007E-2</v>
      </c>
      <c r="L8" s="219">
        <v>0.51</v>
      </c>
      <c r="M8" s="58">
        <v>0.54</v>
      </c>
      <c r="N8" s="185">
        <v>-9.1</v>
      </c>
      <c r="O8" s="186">
        <v>12.8</v>
      </c>
      <c r="P8" s="186">
        <v>42.8</v>
      </c>
      <c r="Q8" s="186">
        <v>9</v>
      </c>
      <c r="R8" s="186">
        <v>3</v>
      </c>
      <c r="S8" s="199">
        <f t="shared" si="0"/>
        <v>6</v>
      </c>
      <c r="T8" s="213">
        <v>0.39800000000000002</v>
      </c>
      <c r="U8" s="205">
        <v>0.60199999999999998</v>
      </c>
      <c r="V8" s="146">
        <v>1145.2</v>
      </c>
      <c r="W8" s="213">
        <v>0.14800000000000002</v>
      </c>
      <c r="X8" s="206">
        <v>0.115</v>
      </c>
      <c r="Z8" s="100"/>
      <c r="AA8" s="100"/>
    </row>
    <row r="9" spans="1:27" hidden="1">
      <c r="A9" s="102">
        <v>5</v>
      </c>
      <c r="B9" s="102" t="s">
        <v>99</v>
      </c>
      <c r="C9" s="181" t="s">
        <v>191</v>
      </c>
      <c r="D9" s="25">
        <v>0.75</v>
      </c>
      <c r="E9" s="178" t="s">
        <v>13</v>
      </c>
      <c r="F9" s="204">
        <v>80</v>
      </c>
      <c r="G9" s="205">
        <v>0.01</v>
      </c>
      <c r="H9" s="206">
        <v>1.4999999999999999E-2</v>
      </c>
      <c r="I9" s="213">
        <v>4.7E-2</v>
      </c>
      <c r="J9" s="205"/>
      <c r="K9" s="205">
        <v>0</v>
      </c>
      <c r="L9" s="218">
        <v>0.67</v>
      </c>
      <c r="M9" s="58">
        <v>0.6</v>
      </c>
      <c r="N9" s="185">
        <v>1.3</v>
      </c>
      <c r="O9" s="186">
        <v>-9.1999999999999993</v>
      </c>
      <c r="P9" s="186">
        <v>33.799999999999997</v>
      </c>
      <c r="Q9" s="186">
        <v>14</v>
      </c>
      <c r="R9" s="186">
        <v>5</v>
      </c>
      <c r="S9" s="199">
        <f t="shared" si="0"/>
        <v>9.5</v>
      </c>
      <c r="T9" s="213">
        <v>0.33</v>
      </c>
      <c r="U9" s="205">
        <v>0.67</v>
      </c>
      <c r="V9" s="146">
        <v>1500</v>
      </c>
      <c r="W9" s="213">
        <v>0.125</v>
      </c>
      <c r="X9" s="206">
        <v>0.115</v>
      </c>
      <c r="Z9" s="100"/>
      <c r="AA9" s="100"/>
    </row>
    <row r="10" spans="1:27" hidden="1">
      <c r="A10" s="102">
        <v>6</v>
      </c>
      <c r="B10" s="102" t="s">
        <v>15</v>
      </c>
      <c r="C10" s="181" t="s">
        <v>125</v>
      </c>
      <c r="D10" s="25">
        <v>0.6</v>
      </c>
      <c r="E10" s="178" t="s">
        <v>13</v>
      </c>
      <c r="F10" s="204">
        <v>90</v>
      </c>
      <c r="G10" s="205">
        <v>0.08</v>
      </c>
      <c r="H10" s="206">
        <v>0.05</v>
      </c>
      <c r="I10" s="213">
        <v>3.9E-2</v>
      </c>
      <c r="J10" s="205"/>
      <c r="K10" s="205">
        <v>6.5000000000000002E-2</v>
      </c>
      <c r="L10" s="218">
        <v>0.56000000000000005</v>
      </c>
      <c r="M10" s="58">
        <v>0.61</v>
      </c>
      <c r="N10" s="185">
        <v>-10.9</v>
      </c>
      <c r="O10" s="186">
        <v>15.2</v>
      </c>
      <c r="P10" s="186">
        <v>51.2</v>
      </c>
      <c r="Q10" s="186">
        <v>16</v>
      </c>
      <c r="R10" s="186">
        <v>10</v>
      </c>
      <c r="S10" s="199">
        <f t="shared" si="0"/>
        <v>13</v>
      </c>
      <c r="T10" s="213">
        <v>0.47</v>
      </c>
      <c r="U10" s="205">
        <v>0.53</v>
      </c>
      <c r="V10" s="146">
        <v>1275</v>
      </c>
      <c r="W10" s="213">
        <v>0.115</v>
      </c>
      <c r="X10" s="206">
        <v>0.11</v>
      </c>
      <c r="Z10" s="100"/>
      <c r="AA10" s="100"/>
    </row>
    <row r="11" spans="1:27" hidden="1">
      <c r="A11" s="102">
        <v>7</v>
      </c>
      <c r="B11" s="102" t="s">
        <v>17</v>
      </c>
      <c r="C11" s="181" t="s">
        <v>16</v>
      </c>
      <c r="D11" s="25">
        <v>0.65</v>
      </c>
      <c r="E11" s="178" t="s">
        <v>6</v>
      </c>
      <c r="F11" s="204">
        <v>95</v>
      </c>
      <c r="G11" s="205">
        <v>6.5000000000000002E-2</v>
      </c>
      <c r="H11" s="206">
        <v>0.08</v>
      </c>
      <c r="I11" s="213">
        <v>4.4999999999999998E-2</v>
      </c>
      <c r="J11" s="205"/>
      <c r="K11" s="205">
        <v>3.5000000000000003E-2</v>
      </c>
      <c r="L11" s="218">
        <v>0.67</v>
      </c>
      <c r="M11" s="58">
        <v>0.57999999999999996</v>
      </c>
      <c r="N11" s="185">
        <v>-26.5</v>
      </c>
      <c r="O11" s="186">
        <v>-4.5999999999999996</v>
      </c>
      <c r="P11" s="186">
        <v>22.2</v>
      </c>
      <c r="Q11" s="186">
        <v>20</v>
      </c>
      <c r="R11" s="186">
        <v>10</v>
      </c>
      <c r="S11" s="199">
        <f t="shared" si="0"/>
        <v>15</v>
      </c>
      <c r="T11" s="213">
        <v>0.48</v>
      </c>
      <c r="U11" s="205">
        <v>0.52</v>
      </c>
      <c r="V11" s="146">
        <v>1765</v>
      </c>
      <c r="W11" s="213">
        <v>0.125</v>
      </c>
      <c r="X11" s="206">
        <v>0.14000000000000001</v>
      </c>
      <c r="Z11" s="100"/>
      <c r="AA11" s="100"/>
    </row>
    <row r="12" spans="1:27" hidden="1">
      <c r="A12" s="102">
        <v>8</v>
      </c>
      <c r="B12" s="102" t="s">
        <v>19</v>
      </c>
      <c r="C12" s="181" t="s">
        <v>192</v>
      </c>
      <c r="D12" s="25">
        <v>0.65</v>
      </c>
      <c r="E12" s="178" t="s">
        <v>6</v>
      </c>
      <c r="F12" s="204">
        <v>85</v>
      </c>
      <c r="G12" s="205">
        <v>0.13</v>
      </c>
      <c r="H12" s="206">
        <v>5.5E-2</v>
      </c>
      <c r="I12" s="213">
        <v>3.6999999999999998E-2</v>
      </c>
      <c r="J12" s="205"/>
      <c r="K12" s="205">
        <v>0.08</v>
      </c>
      <c r="L12" s="218">
        <v>0.51</v>
      </c>
      <c r="M12" s="58">
        <v>0.51</v>
      </c>
      <c r="N12" s="185">
        <v>-4.3</v>
      </c>
      <c r="O12" s="186">
        <v>18.7</v>
      </c>
      <c r="P12" s="186">
        <v>64</v>
      </c>
      <c r="Q12" s="186">
        <v>11</v>
      </c>
      <c r="R12" s="186">
        <v>3</v>
      </c>
      <c r="S12" s="199">
        <f t="shared" si="0"/>
        <v>7</v>
      </c>
      <c r="T12" s="213">
        <v>0.375</v>
      </c>
      <c r="U12" s="205">
        <v>0.625</v>
      </c>
      <c r="V12" s="146">
        <v>885</v>
      </c>
      <c r="W12" s="213">
        <v>0.125</v>
      </c>
      <c r="X12" s="206">
        <v>0.14499999999999999</v>
      </c>
      <c r="Z12" s="100"/>
      <c r="AA12" s="100"/>
    </row>
    <row r="13" spans="1:27" hidden="1">
      <c r="A13" s="102">
        <v>9</v>
      </c>
      <c r="B13" s="102" t="s">
        <v>114</v>
      </c>
      <c r="C13" s="181" t="s">
        <v>113</v>
      </c>
      <c r="D13" s="25">
        <v>0.75</v>
      </c>
      <c r="E13" s="178" t="s">
        <v>111</v>
      </c>
      <c r="F13" s="204">
        <v>70</v>
      </c>
      <c r="G13" s="205">
        <v>0.09</v>
      </c>
      <c r="H13" s="206">
        <v>0.06</v>
      </c>
      <c r="I13" s="213">
        <v>3.6999999999999998E-2</v>
      </c>
      <c r="J13" s="205"/>
      <c r="K13" s="205">
        <v>0.05</v>
      </c>
      <c r="L13" s="218">
        <v>0.51</v>
      </c>
      <c r="M13" s="58">
        <v>0.46</v>
      </c>
      <c r="N13" s="185">
        <v>5.3</v>
      </c>
      <c r="O13" s="186">
        <v>-23.1</v>
      </c>
      <c r="P13" s="186">
        <v>20.399999999999999</v>
      </c>
      <c r="Q13" s="186">
        <v>16</v>
      </c>
      <c r="R13" s="186">
        <v>6</v>
      </c>
      <c r="S13" s="199">
        <f t="shared" si="0"/>
        <v>11</v>
      </c>
      <c r="T13" s="213">
        <v>0.505</v>
      </c>
      <c r="U13" s="205">
        <v>0.495</v>
      </c>
      <c r="V13" s="146">
        <v>2280</v>
      </c>
      <c r="W13" s="213">
        <v>0.08</v>
      </c>
      <c r="X13" s="206">
        <v>8.5000000000000006E-2</v>
      </c>
      <c r="Z13" s="100"/>
      <c r="AA13" s="100"/>
    </row>
    <row r="14" spans="1:27" hidden="1">
      <c r="A14" s="102">
        <v>10</v>
      </c>
      <c r="B14" s="102" t="s">
        <v>101</v>
      </c>
      <c r="C14" s="181" t="s">
        <v>193</v>
      </c>
      <c r="D14" s="25">
        <v>0.65</v>
      </c>
      <c r="E14" s="178" t="s">
        <v>13</v>
      </c>
      <c r="F14" s="204">
        <v>80</v>
      </c>
      <c r="G14" s="205">
        <v>0.04</v>
      </c>
      <c r="H14" s="206">
        <v>0.04</v>
      </c>
      <c r="I14" s="213">
        <v>4.7E-2</v>
      </c>
      <c r="J14" s="205"/>
      <c r="K14" s="205">
        <v>0.03</v>
      </c>
      <c r="L14" s="218">
        <v>0.57999999999999996</v>
      </c>
      <c r="M14" s="58">
        <v>0.59</v>
      </c>
      <c r="N14" s="185">
        <v>-8.6999999999999993</v>
      </c>
      <c r="O14" s="186">
        <v>8.6999999999999993</v>
      </c>
      <c r="P14" s="186">
        <v>29.2</v>
      </c>
      <c r="Q14" s="186">
        <v>12</v>
      </c>
      <c r="R14" s="186">
        <v>7</v>
      </c>
      <c r="S14" s="199">
        <f t="shared" si="0"/>
        <v>9.5</v>
      </c>
      <c r="T14" s="269">
        <v>0.36499999999999999</v>
      </c>
      <c r="U14" s="211">
        <v>0.61899999999999999</v>
      </c>
      <c r="V14" s="147">
        <v>1780</v>
      </c>
      <c r="W14" s="269">
        <v>0.12</v>
      </c>
      <c r="X14" s="212">
        <v>0.11</v>
      </c>
      <c r="Z14" s="100"/>
      <c r="AA14" s="100"/>
    </row>
    <row r="15" spans="1:27" hidden="1">
      <c r="A15" s="102"/>
      <c r="B15" s="102"/>
      <c r="C15" s="181"/>
      <c r="D15" s="25"/>
      <c r="E15" s="178"/>
      <c r="F15" s="204"/>
      <c r="G15" s="205"/>
      <c r="H15" s="206"/>
      <c r="I15" s="213"/>
      <c r="J15" s="205"/>
      <c r="K15" s="205"/>
      <c r="L15" s="218"/>
      <c r="M15" s="58"/>
      <c r="N15" s="200"/>
      <c r="O15" s="201"/>
      <c r="P15" s="201"/>
      <c r="Q15" s="201"/>
      <c r="R15" s="201"/>
      <c r="S15" s="202"/>
      <c r="T15" s="222"/>
      <c r="U15" s="223"/>
      <c r="V15" s="224"/>
      <c r="W15" s="274"/>
      <c r="X15" s="275"/>
    </row>
    <row r="16" spans="1:27" hidden="1">
      <c r="A16" s="102"/>
      <c r="B16" s="73"/>
      <c r="C16" s="181" t="s">
        <v>77</v>
      </c>
      <c r="D16" s="25">
        <f>AVERAGE(D5:D14)</f>
        <v>0.69000000000000017</v>
      </c>
      <c r="E16" s="178"/>
      <c r="F16" s="204">
        <f>AVERAGE(F5:F14)</f>
        <v>81</v>
      </c>
      <c r="G16" s="205">
        <f>AVERAGE(G5:G14)</f>
        <v>7.2000000000000008E-2</v>
      </c>
      <c r="H16" s="206">
        <f>AVERAGE(H5:H14)</f>
        <v>4.65E-2</v>
      </c>
      <c r="I16" s="215">
        <f>AVERAGE(I5:I14)</f>
        <v>4.3899999999999995E-2</v>
      </c>
      <c r="J16" s="197"/>
      <c r="K16" s="197">
        <f t="shared" ref="K16:X16" si="1">AVERAGE(K5:K14)</f>
        <v>3.95E-2</v>
      </c>
      <c r="L16" s="197">
        <f t="shared" si="1"/>
        <v>0.56799999999999995</v>
      </c>
      <c r="M16" s="197">
        <f t="shared" si="1"/>
        <v>0.55199999999999994</v>
      </c>
      <c r="N16" s="187">
        <f t="shared" si="1"/>
        <v>-5.4300000000000015</v>
      </c>
      <c r="O16" s="188">
        <f t="shared" si="1"/>
        <v>1.6199999999999999</v>
      </c>
      <c r="P16" s="188">
        <f t="shared" si="1"/>
        <v>34.26</v>
      </c>
      <c r="Q16" s="188">
        <f t="shared" si="1"/>
        <v>14.4</v>
      </c>
      <c r="R16" s="188">
        <f t="shared" si="1"/>
        <v>6.8</v>
      </c>
      <c r="S16" s="189">
        <f t="shared" si="1"/>
        <v>10.6</v>
      </c>
      <c r="T16" s="215">
        <f t="shared" si="1"/>
        <v>0.43830000000000008</v>
      </c>
      <c r="U16" s="197">
        <f t="shared" si="1"/>
        <v>0.56010000000000004</v>
      </c>
      <c r="V16" s="146">
        <f t="shared" si="1"/>
        <v>1964.02</v>
      </c>
      <c r="W16" s="213">
        <f t="shared" si="1"/>
        <v>0.11630000000000003</v>
      </c>
      <c r="X16" s="206">
        <f t="shared" si="1"/>
        <v>0.11550000000000002</v>
      </c>
    </row>
    <row r="17" spans="1:24" hidden="1">
      <c r="C17" s="181" t="s">
        <v>21</v>
      </c>
      <c r="D17" s="178">
        <f>MEDIAN(D5:D14)</f>
        <v>0.65</v>
      </c>
      <c r="E17" s="178"/>
      <c r="F17" s="210">
        <f>MEDIAN(F5:F14)</f>
        <v>85</v>
      </c>
      <c r="G17" s="211">
        <f>MEDIAN(G5:G14)</f>
        <v>7.7499999999999999E-2</v>
      </c>
      <c r="H17" s="212">
        <f>MEDIAN(H5:H14)</f>
        <v>4.4999999999999998E-2</v>
      </c>
      <c r="I17" s="216">
        <f>MEDIAN(I5:I14)</f>
        <v>4.5999999999999999E-2</v>
      </c>
      <c r="J17" s="217"/>
      <c r="K17" s="217">
        <f t="shared" ref="K17:X17" si="2">MEDIAN(K5:K14)</f>
        <v>3.2500000000000001E-2</v>
      </c>
      <c r="L17" s="217">
        <f t="shared" si="2"/>
        <v>0.55000000000000004</v>
      </c>
      <c r="M17" s="217">
        <f t="shared" si="2"/>
        <v>0.56000000000000005</v>
      </c>
      <c r="N17" s="190">
        <f t="shared" si="2"/>
        <v>-6.5</v>
      </c>
      <c r="O17" s="191">
        <f t="shared" si="2"/>
        <v>0.54999999999999982</v>
      </c>
      <c r="P17" s="191">
        <f t="shared" si="2"/>
        <v>29.6</v>
      </c>
      <c r="Q17" s="191">
        <f t="shared" si="2"/>
        <v>14.5</v>
      </c>
      <c r="R17" s="191">
        <f t="shared" si="2"/>
        <v>6.5</v>
      </c>
      <c r="S17" s="194">
        <f t="shared" si="2"/>
        <v>10.25</v>
      </c>
      <c r="T17" s="216">
        <f t="shared" si="2"/>
        <v>0.44750000000000001</v>
      </c>
      <c r="U17" s="217">
        <f t="shared" si="2"/>
        <v>0.55249999999999999</v>
      </c>
      <c r="V17" s="147">
        <f t="shared" si="2"/>
        <v>1632.5</v>
      </c>
      <c r="W17" s="269">
        <f t="shared" si="2"/>
        <v>0.12</v>
      </c>
      <c r="X17" s="212">
        <f t="shared" si="2"/>
        <v>0.1125</v>
      </c>
    </row>
    <row r="18" spans="1:24" hidden="1">
      <c r="E18" s="178"/>
      <c r="F18" s="178"/>
      <c r="G18" s="195"/>
      <c r="H18" s="195"/>
      <c r="I18" s="196"/>
      <c r="J18" s="196"/>
      <c r="K18" s="197"/>
      <c r="L18" s="59"/>
      <c r="M18" s="58"/>
      <c r="N18" s="188"/>
      <c r="O18" s="188"/>
      <c r="P18" s="188"/>
      <c r="Q18" s="188"/>
      <c r="R18" s="188"/>
      <c r="S18" s="188"/>
      <c r="T18" s="198"/>
      <c r="U18" s="100"/>
      <c r="V18" s="97"/>
    </row>
    <row r="19" spans="1:24" hidden="1">
      <c r="E19" s="178"/>
      <c r="F19" s="178"/>
      <c r="G19" s="195"/>
      <c r="H19" s="195"/>
      <c r="I19" s="196"/>
      <c r="J19" s="196"/>
      <c r="K19" s="196"/>
      <c r="L19" s="59"/>
      <c r="M19" s="58"/>
      <c r="N19" s="184"/>
      <c r="O19" s="184"/>
      <c r="P19" s="184"/>
      <c r="Q19" s="184"/>
      <c r="R19" s="184"/>
      <c r="S19" s="184"/>
      <c r="T19" s="100"/>
      <c r="U19" s="100"/>
      <c r="V19" s="97"/>
    </row>
    <row r="20" spans="1:24">
      <c r="A20" s="73">
        <v>1</v>
      </c>
      <c r="B20" t="s">
        <v>143</v>
      </c>
      <c r="C20" s="26" t="s">
        <v>5</v>
      </c>
      <c r="D20" s="377">
        <v>0.75</v>
      </c>
      <c r="E20" s="614" t="s">
        <v>13</v>
      </c>
      <c r="F20" s="615">
        <v>70</v>
      </c>
      <c r="G20" s="616">
        <v>1.4999999999999999E-2</v>
      </c>
      <c r="H20" s="617">
        <v>0.09</v>
      </c>
      <c r="I20" s="214">
        <v>0.05</v>
      </c>
      <c r="J20" s="616">
        <v>6.5000000000000002E-2</v>
      </c>
      <c r="K20" s="616">
        <v>4.4999999999999998E-2</v>
      </c>
      <c r="L20" s="616">
        <v>0.75</v>
      </c>
      <c r="M20" s="618">
        <v>0.56000000000000005</v>
      </c>
      <c r="N20" s="619">
        <v>18.100000000000001</v>
      </c>
      <c r="O20" s="620">
        <v>38.299999999999997</v>
      </c>
      <c r="P20" s="620">
        <v>68.599999999999994</v>
      </c>
      <c r="Q20" s="620">
        <v>15</v>
      </c>
      <c r="R20" s="620">
        <v>9</v>
      </c>
      <c r="S20" s="163">
        <f>(+Q20+R20)/2</f>
        <v>12</v>
      </c>
      <c r="T20" s="621">
        <f>1-U20</f>
        <v>0.495</v>
      </c>
      <c r="U20" s="616">
        <v>0.505</v>
      </c>
      <c r="V20" s="622">
        <v>6716</v>
      </c>
      <c r="W20" s="621">
        <v>0.08</v>
      </c>
      <c r="X20" s="618">
        <v>0.115</v>
      </c>
    </row>
    <row r="21" spans="1:24">
      <c r="A21" s="73">
        <v>2</v>
      </c>
      <c r="B21" t="s">
        <v>8</v>
      </c>
      <c r="C21" s="26" t="s">
        <v>7</v>
      </c>
      <c r="D21" s="377">
        <v>0.7</v>
      </c>
      <c r="E21" s="614" t="s">
        <v>6</v>
      </c>
      <c r="F21" s="623">
        <v>90</v>
      </c>
      <c r="G21" s="624">
        <v>0.03</v>
      </c>
      <c r="H21" s="617">
        <v>5.5E-2</v>
      </c>
      <c r="I21" s="214">
        <v>1.4999999999999999E-2</v>
      </c>
      <c r="J21" s="624">
        <v>1.4999999999999999E-2</v>
      </c>
      <c r="K21" s="624">
        <v>1.4999999999999999E-2</v>
      </c>
      <c r="L21" s="624">
        <v>0.65</v>
      </c>
      <c r="M21" s="625">
        <v>0.5</v>
      </c>
      <c r="N21" s="626">
        <v>28</v>
      </c>
      <c r="O21" s="627">
        <v>72.400000000000006</v>
      </c>
      <c r="P21" s="627">
        <v>109.2</v>
      </c>
      <c r="Q21" s="627">
        <v>8</v>
      </c>
      <c r="R21" s="627">
        <v>0</v>
      </c>
      <c r="S21" s="367">
        <f t="shared" ref="S21:S28" si="3">(+Q21+R21)/2</f>
        <v>4</v>
      </c>
      <c r="T21" s="628">
        <f t="shared" ref="T21:T27" si="4">1-U21</f>
        <v>0.45299999999999996</v>
      </c>
      <c r="U21" s="624">
        <v>0.54700000000000004</v>
      </c>
      <c r="V21" s="629">
        <v>4315.5</v>
      </c>
      <c r="W21" s="628">
        <v>8.1000000000000003E-2</v>
      </c>
      <c r="X21" s="625">
        <v>8.5000000000000006E-2</v>
      </c>
    </row>
    <row r="22" spans="1:24">
      <c r="A22" s="73">
        <v>3</v>
      </c>
      <c r="B22" t="s">
        <v>11</v>
      </c>
      <c r="C22" s="26" t="s">
        <v>10</v>
      </c>
      <c r="D22" s="377">
        <v>0.6</v>
      </c>
      <c r="E22" s="614" t="s">
        <v>6</v>
      </c>
      <c r="F22" s="623">
        <v>85</v>
      </c>
      <c r="G22" s="624">
        <v>0.04</v>
      </c>
      <c r="H22" s="617">
        <v>0.06</v>
      </c>
      <c r="I22" s="214">
        <v>0.02</v>
      </c>
      <c r="J22" s="624">
        <v>0.03</v>
      </c>
      <c r="K22" s="624">
        <v>3.5000000000000003E-2</v>
      </c>
      <c r="L22" s="624">
        <v>0.6</v>
      </c>
      <c r="M22" s="625">
        <v>0.52</v>
      </c>
      <c r="N22" s="626">
        <v>14.2</v>
      </c>
      <c r="O22" s="627">
        <v>48.9</v>
      </c>
      <c r="P22" s="627">
        <v>33.799999999999997</v>
      </c>
      <c r="Q22" s="627">
        <v>15</v>
      </c>
      <c r="R22" s="627">
        <v>7</v>
      </c>
      <c r="S22" s="367">
        <f>(+Q22+R22)/2</f>
        <v>11</v>
      </c>
      <c r="T22" s="628">
        <f t="shared" si="4"/>
        <v>0.36</v>
      </c>
      <c r="U22" s="624">
        <v>0.64</v>
      </c>
      <c r="V22" s="629">
        <v>941</v>
      </c>
      <c r="W22" s="628">
        <v>0.106</v>
      </c>
      <c r="X22" s="625">
        <v>0.09</v>
      </c>
    </row>
    <row r="23" spans="1:24">
      <c r="A23" s="719"/>
      <c r="B23" t="s">
        <v>190</v>
      </c>
      <c r="C23" s="26" t="s">
        <v>12</v>
      </c>
      <c r="D23" s="377">
        <v>0.7</v>
      </c>
      <c r="E23" s="614" t="s">
        <v>13</v>
      </c>
      <c r="F23" s="623">
        <v>55</v>
      </c>
      <c r="G23" s="624">
        <v>8.5000000000000006E-2</v>
      </c>
      <c r="H23" s="617">
        <v>5.5E-2</v>
      </c>
      <c r="I23" s="214">
        <v>3.6999999999999998E-2</v>
      </c>
      <c r="J23" s="624">
        <v>8.5000000000000006E-2</v>
      </c>
      <c r="K23" s="624">
        <v>0.03</v>
      </c>
      <c r="L23" s="624">
        <v>0.56000000000000005</v>
      </c>
      <c r="M23" s="625">
        <v>0.48</v>
      </c>
      <c r="N23" s="626">
        <v>7.5</v>
      </c>
      <c r="O23" s="627">
        <v>26.2</v>
      </c>
      <c r="P23" s="627">
        <v>47.6</v>
      </c>
      <c r="Q23" s="627">
        <v>8</v>
      </c>
      <c r="R23" s="627">
        <v>3</v>
      </c>
      <c r="S23" s="367">
        <f>(+Q23+R23)/2</f>
        <v>5.5</v>
      </c>
      <c r="T23" s="628">
        <v>0.375</v>
      </c>
      <c r="U23" s="624">
        <v>0.625</v>
      </c>
      <c r="V23" s="629">
        <v>1330</v>
      </c>
      <c r="W23" s="628">
        <v>0.13500000000000001</v>
      </c>
      <c r="X23" s="625">
        <v>0.14000000000000001</v>
      </c>
    </row>
    <row r="24" spans="1:24">
      <c r="A24" s="73">
        <v>4</v>
      </c>
      <c r="B24" t="s">
        <v>15</v>
      </c>
      <c r="C24" s="26" t="s">
        <v>125</v>
      </c>
      <c r="D24" s="377">
        <v>0.6</v>
      </c>
      <c r="E24" s="614" t="s">
        <v>13</v>
      </c>
      <c r="F24" s="623">
        <v>95</v>
      </c>
      <c r="G24" s="624">
        <v>5.0000000000000001E-3</v>
      </c>
      <c r="H24" s="617">
        <v>4.4999999999999998E-2</v>
      </c>
      <c r="I24" s="214">
        <v>3.5000000000000003E-2</v>
      </c>
      <c r="J24" s="624">
        <v>4.4999999999999998E-2</v>
      </c>
      <c r="K24" s="624">
        <v>2.5000000000000001E-2</v>
      </c>
      <c r="L24" s="624">
        <v>0.8</v>
      </c>
      <c r="M24" s="625">
        <v>0.63</v>
      </c>
      <c r="N24" s="626">
        <v>-7</v>
      </c>
      <c r="O24" s="627">
        <v>3</v>
      </c>
      <c r="P24" s="627">
        <v>15.9</v>
      </c>
      <c r="Q24" s="627">
        <v>13</v>
      </c>
      <c r="R24" s="627">
        <v>8</v>
      </c>
      <c r="S24" s="367">
        <f t="shared" si="3"/>
        <v>10.5</v>
      </c>
      <c r="T24" s="628">
        <f t="shared" si="4"/>
        <v>0.48499999999999999</v>
      </c>
      <c r="U24" s="624">
        <v>0.51500000000000001</v>
      </c>
      <c r="V24" s="629">
        <v>1424.7</v>
      </c>
      <c r="W24" s="628">
        <v>8.2000000000000003E-2</v>
      </c>
      <c r="X24" s="625">
        <v>0.1</v>
      </c>
    </row>
    <row r="25" spans="1:24">
      <c r="A25" s="73">
        <v>5</v>
      </c>
      <c r="B25" t="s">
        <v>17</v>
      </c>
      <c r="C25" s="26" t="s">
        <v>16</v>
      </c>
      <c r="D25" s="377">
        <v>0.7</v>
      </c>
      <c r="E25" s="614" t="s">
        <v>6</v>
      </c>
      <c r="F25" s="623">
        <v>95</v>
      </c>
      <c r="G25" s="624">
        <v>3.5000000000000003E-2</v>
      </c>
      <c r="H25" s="617">
        <v>4.4999999999999998E-2</v>
      </c>
      <c r="I25" s="214">
        <v>0.05</v>
      </c>
      <c r="J25" s="624">
        <v>5.5E-2</v>
      </c>
      <c r="K25" s="624">
        <v>0.03</v>
      </c>
      <c r="L25" s="624">
        <v>0.72</v>
      </c>
      <c r="M25" s="625">
        <v>0.68</v>
      </c>
      <c r="N25" s="626">
        <v>11.8</v>
      </c>
      <c r="O25" s="627">
        <v>44.4</v>
      </c>
      <c r="P25" s="627">
        <v>53.5</v>
      </c>
      <c r="Q25" s="627">
        <v>8</v>
      </c>
      <c r="R25" s="627">
        <v>2</v>
      </c>
      <c r="S25" s="367">
        <f t="shared" si="3"/>
        <v>5</v>
      </c>
      <c r="T25" s="628">
        <f t="shared" si="4"/>
        <v>0.48699999999999999</v>
      </c>
      <c r="U25" s="624">
        <v>0.51300000000000001</v>
      </c>
      <c r="V25" s="629">
        <v>2002</v>
      </c>
      <c r="W25" s="628">
        <v>0.11700000000000001</v>
      </c>
      <c r="X25" s="625">
        <v>0.115</v>
      </c>
    </row>
    <row r="26" spans="1:24">
      <c r="A26" s="73">
        <v>6</v>
      </c>
      <c r="B26" t="s">
        <v>19</v>
      </c>
      <c r="C26" s="26" t="s">
        <v>192</v>
      </c>
      <c r="D26" s="377">
        <v>0.65</v>
      </c>
      <c r="E26" s="614" t="s">
        <v>6</v>
      </c>
      <c r="F26" s="623">
        <v>90</v>
      </c>
      <c r="G26" s="624">
        <v>6.5000000000000002E-2</v>
      </c>
      <c r="H26" s="617">
        <v>7.4999999999999997E-2</v>
      </c>
      <c r="I26" s="214">
        <v>7.4999999999999997E-2</v>
      </c>
      <c r="J26" s="624">
        <v>0.1</v>
      </c>
      <c r="K26" s="624">
        <v>8.5000000000000006E-2</v>
      </c>
      <c r="L26" s="624">
        <v>0.55000000000000004</v>
      </c>
      <c r="M26" s="625">
        <v>0.55000000000000004</v>
      </c>
      <c r="N26" s="626">
        <v>19.399999999999999</v>
      </c>
      <c r="O26" s="627">
        <v>43.1</v>
      </c>
      <c r="P26" s="627">
        <v>91.6</v>
      </c>
      <c r="Q26" s="627">
        <v>8</v>
      </c>
      <c r="R26" s="627">
        <v>3</v>
      </c>
      <c r="S26" s="367">
        <f t="shared" si="3"/>
        <v>5.5</v>
      </c>
      <c r="T26" s="628">
        <f t="shared" si="4"/>
        <v>0.44999999999999996</v>
      </c>
      <c r="U26" s="624">
        <v>0.55000000000000004</v>
      </c>
      <c r="V26" s="629">
        <v>1337.6</v>
      </c>
      <c r="W26" s="628">
        <v>0.127</v>
      </c>
      <c r="X26" s="625">
        <v>0.14499999999999999</v>
      </c>
    </row>
    <row r="27" spans="1:24">
      <c r="A27" s="73">
        <v>7</v>
      </c>
      <c r="B27" t="s">
        <v>114</v>
      </c>
      <c r="C27" s="26" t="s">
        <v>113</v>
      </c>
      <c r="D27" s="377">
        <v>0.75</v>
      </c>
      <c r="E27" s="614" t="s">
        <v>9</v>
      </c>
      <c r="F27" s="623">
        <v>75</v>
      </c>
      <c r="G27" s="624">
        <v>6.5000000000000002E-2</v>
      </c>
      <c r="H27" s="617">
        <v>0.08</v>
      </c>
      <c r="I27" s="214">
        <v>0.02</v>
      </c>
      <c r="J27" s="624">
        <v>0.04</v>
      </c>
      <c r="K27" s="624">
        <v>7.0000000000000007E-2</v>
      </c>
      <c r="L27" s="624">
        <v>0.41</v>
      </c>
      <c r="M27" s="625">
        <v>0.41</v>
      </c>
      <c r="N27" s="626">
        <v>14.2</v>
      </c>
      <c r="O27" s="627">
        <v>67.7</v>
      </c>
      <c r="P27" s="627">
        <v>100.6</v>
      </c>
      <c r="Q27" s="627">
        <v>13</v>
      </c>
      <c r="R27" s="627">
        <v>5</v>
      </c>
      <c r="S27" s="367">
        <f t="shared" si="3"/>
        <v>9</v>
      </c>
      <c r="T27" s="628">
        <f t="shared" si="4"/>
        <v>0.49199999999999999</v>
      </c>
      <c r="U27" s="624">
        <v>0.50800000000000001</v>
      </c>
      <c r="V27" s="629">
        <v>2579</v>
      </c>
      <c r="W27" s="628">
        <v>0.10199999999999999</v>
      </c>
      <c r="X27" s="625">
        <v>0.11</v>
      </c>
    </row>
    <row r="28" spans="1:24">
      <c r="A28" s="719"/>
      <c r="B28" t="s">
        <v>101</v>
      </c>
      <c r="C28" s="26" t="s">
        <v>104</v>
      </c>
      <c r="D28" s="377">
        <v>0.65</v>
      </c>
      <c r="E28" s="614" t="s">
        <v>13</v>
      </c>
      <c r="F28" s="623">
        <v>95</v>
      </c>
      <c r="G28" s="624">
        <v>0.03</v>
      </c>
      <c r="H28" s="617">
        <v>3.5000000000000003E-2</v>
      </c>
      <c r="I28" s="214">
        <v>0.03</v>
      </c>
      <c r="J28" s="624">
        <v>0.03</v>
      </c>
      <c r="K28" s="624">
        <v>2.5000000000000001E-2</v>
      </c>
      <c r="L28" s="624">
        <v>0.59</v>
      </c>
      <c r="M28" s="625">
        <v>0.64</v>
      </c>
      <c r="N28" s="626">
        <v>16.600000000000001</v>
      </c>
      <c r="O28" s="627">
        <v>30.2</v>
      </c>
      <c r="P28" s="627">
        <v>70.3</v>
      </c>
      <c r="Q28" s="627">
        <v>10</v>
      </c>
      <c r="R28" s="627">
        <v>4</v>
      </c>
      <c r="S28" s="367">
        <f t="shared" si="3"/>
        <v>7</v>
      </c>
      <c r="T28" s="628">
        <v>0.31</v>
      </c>
      <c r="U28" s="624">
        <v>0.67500000000000004</v>
      </c>
      <c r="V28" s="629">
        <v>1886.9</v>
      </c>
      <c r="W28" s="628">
        <v>0.11</v>
      </c>
      <c r="X28" s="625">
        <v>0.1</v>
      </c>
    </row>
    <row r="29" spans="1:24">
      <c r="A29" s="73"/>
      <c r="C29" s="26"/>
      <c r="D29" s="248"/>
      <c r="E29" s="87"/>
      <c r="F29" s="282"/>
      <c r="G29" s="284"/>
      <c r="H29" s="273"/>
      <c r="I29" s="276"/>
      <c r="J29" s="283"/>
      <c r="K29" s="283"/>
      <c r="L29" s="283"/>
      <c r="M29" s="277"/>
      <c r="N29" s="192"/>
      <c r="O29" s="193"/>
      <c r="P29" s="193"/>
      <c r="Q29" s="193"/>
      <c r="R29" s="193"/>
      <c r="S29" s="202"/>
      <c r="T29" s="215"/>
      <c r="U29" s="283"/>
      <c r="V29" s="285"/>
      <c r="W29" s="276"/>
      <c r="X29" s="277"/>
    </row>
    <row r="30" spans="1:24">
      <c r="A30" s="73"/>
      <c r="C30" s="26" t="str">
        <f>+C16</f>
        <v>Mean</v>
      </c>
      <c r="D30" s="248">
        <f>AVERAGE(D20:D28)</f>
        <v>0.67777777777777781</v>
      </c>
      <c r="E30" s="87"/>
      <c r="F30" s="437">
        <f t="shared" ref="F30:X30" si="5">AVERAGE(F20:F28)</f>
        <v>83.333333333333329</v>
      </c>
      <c r="G30" s="438">
        <f t="shared" si="5"/>
        <v>4.1111111111111112E-2</v>
      </c>
      <c r="H30" s="701">
        <f t="shared" si="5"/>
        <v>6.0000000000000005E-2</v>
      </c>
      <c r="I30" s="440">
        <f t="shared" si="5"/>
        <v>3.6888888888888895E-2</v>
      </c>
      <c r="J30" s="438">
        <f t="shared" si="5"/>
        <v>5.1666666666666666E-2</v>
      </c>
      <c r="K30" s="702">
        <f t="shared" si="5"/>
        <v>4.0000000000000008E-2</v>
      </c>
      <c r="L30" s="438">
        <f t="shared" si="5"/>
        <v>0.62555555555555553</v>
      </c>
      <c r="M30" s="439">
        <f t="shared" si="5"/>
        <v>0.55222222222222217</v>
      </c>
      <c r="N30" s="441">
        <f t="shared" si="5"/>
        <v>13.644444444444446</v>
      </c>
      <c r="O30" s="442">
        <f t="shared" si="5"/>
        <v>41.577777777777776</v>
      </c>
      <c r="P30" s="442">
        <f t="shared" si="5"/>
        <v>65.677777777777777</v>
      </c>
      <c r="Q30" s="442">
        <f t="shared" si="5"/>
        <v>10.888888888888889</v>
      </c>
      <c r="R30" s="442">
        <f t="shared" si="5"/>
        <v>4.5555555555555554</v>
      </c>
      <c r="S30" s="443">
        <f t="shared" si="5"/>
        <v>7.7222222222222223</v>
      </c>
      <c r="T30" s="440">
        <f t="shared" si="5"/>
        <v>0.43411111111111106</v>
      </c>
      <c r="U30" s="438">
        <f t="shared" si="5"/>
        <v>0.56422222222222229</v>
      </c>
      <c r="V30" s="444">
        <f t="shared" si="5"/>
        <v>2503.6333333333332</v>
      </c>
      <c r="W30" s="440">
        <f t="shared" si="5"/>
        <v>0.10444444444444445</v>
      </c>
      <c r="X30" s="439">
        <f t="shared" si="5"/>
        <v>0.1111111111111111</v>
      </c>
    </row>
    <row r="31" spans="1:24">
      <c r="A31" s="73"/>
      <c r="C31" s="26" t="str">
        <f>+C17</f>
        <v>Median</v>
      </c>
      <c r="D31" s="248">
        <f>MEDIAN(D20:D28)</f>
        <v>0.7</v>
      </c>
      <c r="E31" s="178"/>
      <c r="F31" s="445">
        <f t="shared" ref="F31:N31" si="6">MEDIAN(F20:F28)</f>
        <v>90</v>
      </c>
      <c r="G31" s="446">
        <f t="shared" si="6"/>
        <v>3.5000000000000003E-2</v>
      </c>
      <c r="H31" s="447">
        <f t="shared" si="6"/>
        <v>5.5E-2</v>
      </c>
      <c r="I31" s="448">
        <f t="shared" si="6"/>
        <v>3.5000000000000003E-2</v>
      </c>
      <c r="J31" s="446">
        <f t="shared" si="6"/>
        <v>4.4999999999999998E-2</v>
      </c>
      <c r="K31" s="446">
        <f t="shared" si="6"/>
        <v>0.03</v>
      </c>
      <c r="L31" s="446">
        <f t="shared" si="6"/>
        <v>0.6</v>
      </c>
      <c r="M31" s="447">
        <f t="shared" si="6"/>
        <v>0.55000000000000004</v>
      </c>
      <c r="N31" s="449">
        <f t="shared" si="6"/>
        <v>14.2</v>
      </c>
      <c r="O31" s="449">
        <f t="shared" ref="O31:S31" si="7">MEDIAN(O20:O28)</f>
        <v>43.1</v>
      </c>
      <c r="P31" s="449">
        <f t="shared" si="7"/>
        <v>68.599999999999994</v>
      </c>
      <c r="Q31" s="449">
        <f t="shared" si="7"/>
        <v>10</v>
      </c>
      <c r="R31" s="449">
        <f t="shared" si="7"/>
        <v>4</v>
      </c>
      <c r="S31" s="449">
        <f t="shared" si="7"/>
        <v>7</v>
      </c>
      <c r="T31" s="448">
        <f>MEDIAN(T20:T28)</f>
        <v>0.45299999999999996</v>
      </c>
      <c r="U31" s="446">
        <f>MEDIAN(U20:U28)</f>
        <v>0.54700000000000004</v>
      </c>
      <c r="V31" s="450">
        <f>MEDIAN(V20:V28)</f>
        <v>1886.9</v>
      </c>
      <c r="W31" s="448">
        <f>MEDIAN(W20:W28)</f>
        <v>0.106</v>
      </c>
      <c r="X31" s="447">
        <f>MEDIAN(X20:X28)</f>
        <v>0.11</v>
      </c>
    </row>
    <row r="32" spans="1:24">
      <c r="G32" s="100"/>
      <c r="H32" s="100"/>
      <c r="I32" s="100"/>
      <c r="J32" s="100"/>
      <c r="K32" s="100"/>
      <c r="L32" s="220"/>
      <c r="M32" s="221"/>
      <c r="N32" s="36"/>
      <c r="O32" s="36"/>
      <c r="P32" s="36"/>
      <c r="Q32" s="36"/>
      <c r="R32" s="36"/>
      <c r="S32" s="36"/>
      <c r="T32" s="198"/>
      <c r="U32" s="100"/>
      <c r="V32" s="97"/>
    </row>
    <row r="33" spans="3:24" ht="14.25">
      <c r="C33" s="278" t="s">
        <v>76</v>
      </c>
      <c r="D33" s="278"/>
      <c r="E33" s="278"/>
      <c r="F33" s="278"/>
      <c r="G33" s="279"/>
      <c r="H33" s="279"/>
      <c r="I33" s="278"/>
      <c r="J33" s="278"/>
      <c r="K33" s="278"/>
      <c r="L33" s="280">
        <v>0.68400000000000005</v>
      </c>
      <c r="M33" s="279">
        <v>0.67979999999999996</v>
      </c>
      <c r="N33" s="278"/>
      <c r="O33" s="278"/>
      <c r="P33" s="278"/>
      <c r="Q33" s="278"/>
      <c r="R33" s="278"/>
      <c r="S33" s="278"/>
      <c r="T33" s="279">
        <v>0.49</v>
      </c>
      <c r="U33" s="279">
        <v>0.51</v>
      </c>
      <c r="V33" s="281">
        <v>754.6</v>
      </c>
      <c r="W33" s="280">
        <v>0.1024</v>
      </c>
      <c r="X33" s="99"/>
    </row>
    <row r="34" spans="3:24">
      <c r="G34" s="103"/>
      <c r="H34" s="103"/>
    </row>
    <row r="35" spans="3:24">
      <c r="G35" s="103"/>
      <c r="H35" s="103"/>
    </row>
    <row r="36" spans="3:24">
      <c r="G36" s="103"/>
      <c r="H36" s="103"/>
      <c r="I36" s="544"/>
      <c r="J36" s="544"/>
      <c r="K36" s="544"/>
      <c r="L36" s="544"/>
      <c r="M36" s="544"/>
      <c r="N36" s="544"/>
      <c r="O36" s="544"/>
    </row>
    <row r="37" spans="3:24">
      <c r="G37" s="103"/>
      <c r="H37" s="103"/>
    </row>
    <row r="38" spans="3:24">
      <c r="G38" s="103"/>
      <c r="H38" s="103"/>
    </row>
    <row r="39" spans="3:24">
      <c r="G39" s="103"/>
      <c r="H39" s="103"/>
    </row>
    <row r="43" spans="3:24">
      <c r="E43" t="s">
        <v>287</v>
      </c>
    </row>
  </sheetData>
  <mergeCells count="6">
    <mergeCell ref="A1:X1"/>
    <mergeCell ref="I3:M3"/>
    <mergeCell ref="T3:V3"/>
    <mergeCell ref="N3:S3"/>
    <mergeCell ref="W3:X3"/>
    <mergeCell ref="F3:H3"/>
  </mergeCells>
  <pageMargins left="0.7" right="0.7" top="0.75" bottom="0.75" header="0.3" footer="0.3"/>
  <pageSetup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V9" sqref="V9"/>
    </sheetView>
  </sheetViews>
  <sheetFormatPr defaultRowHeight="12.75"/>
  <cols>
    <col min="1" max="1" width="22.83203125" customWidth="1"/>
    <col min="2" max="11" width="12.33203125" customWidth="1"/>
    <col min="12" max="12" width="13.1640625" customWidth="1"/>
  </cols>
  <sheetData>
    <row r="1" spans="1:22">
      <c r="H1" s="800"/>
      <c r="I1" s="800"/>
      <c r="J1" s="800"/>
      <c r="L1" s="5" t="s">
        <v>221</v>
      </c>
    </row>
    <row r="2" spans="1:22">
      <c r="K2" s="63" t="s">
        <v>170</v>
      </c>
      <c r="L2" s="5" t="s">
        <v>140</v>
      </c>
    </row>
    <row r="3" spans="1:22">
      <c r="B3" s="121">
        <v>2004</v>
      </c>
      <c r="C3" s="121">
        <v>2005</v>
      </c>
      <c r="D3" s="121">
        <v>2006</v>
      </c>
      <c r="E3" s="121">
        <v>2007</v>
      </c>
      <c r="F3" s="121">
        <v>2008</v>
      </c>
      <c r="G3" s="121">
        <v>2009</v>
      </c>
      <c r="H3" s="364">
        <v>2010</v>
      </c>
      <c r="I3" s="121">
        <f>+H3+1</f>
        <v>2011</v>
      </c>
      <c r="J3" s="121">
        <f>+I3+1</f>
        <v>2012</v>
      </c>
      <c r="K3" s="5" t="s">
        <v>171</v>
      </c>
      <c r="L3" s="5" t="s">
        <v>106</v>
      </c>
    </row>
    <row r="4" spans="1:22">
      <c r="B4" s="119" t="s">
        <v>23</v>
      </c>
      <c r="C4" s="119" t="s">
        <v>23</v>
      </c>
      <c r="D4" s="119" t="s">
        <v>23</v>
      </c>
      <c r="E4" s="119" t="s">
        <v>23</v>
      </c>
      <c r="F4" s="119" t="s">
        <v>23</v>
      </c>
      <c r="G4" s="119" t="s">
        <v>23</v>
      </c>
      <c r="H4" s="119" t="str">
        <f>+G4</f>
        <v>Dividend</v>
      </c>
      <c r="I4" s="119" t="str">
        <f>+H4</f>
        <v>Dividend</v>
      </c>
      <c r="J4" s="119" t="str">
        <f>+I4</f>
        <v>Dividend</v>
      </c>
      <c r="K4" s="119" t="s">
        <v>169</v>
      </c>
      <c r="L4" s="251" t="s">
        <v>169</v>
      </c>
      <c r="M4" s="424">
        <v>2005</v>
      </c>
      <c r="N4" s="424">
        <f>+M4+1</f>
        <v>2006</v>
      </c>
      <c r="O4" s="424">
        <f t="shared" ref="O4:T4" si="0">+N4+1</f>
        <v>2007</v>
      </c>
      <c r="P4" s="424">
        <f t="shared" si="0"/>
        <v>2008</v>
      </c>
      <c r="Q4" s="424">
        <f t="shared" si="0"/>
        <v>2009</v>
      </c>
      <c r="R4" s="424">
        <f t="shared" si="0"/>
        <v>2010</v>
      </c>
      <c r="S4" s="424">
        <f t="shared" si="0"/>
        <v>2011</v>
      </c>
      <c r="T4" s="424">
        <f t="shared" si="0"/>
        <v>2012</v>
      </c>
    </row>
    <row r="5" spans="1:22">
      <c r="A5" s="36" t="s">
        <v>5</v>
      </c>
      <c r="B5">
        <v>1.1499999999999999</v>
      </c>
      <c r="C5">
        <f>(0.31*3)+0.37</f>
        <v>1.2999999999999998</v>
      </c>
      <c r="D5">
        <f>0.37*4</f>
        <v>1.48</v>
      </c>
      <c r="E5">
        <f>0.41*4</f>
        <v>1.64</v>
      </c>
      <c r="F5">
        <f>0.42*4</f>
        <v>1.68</v>
      </c>
      <c r="G5">
        <f>0.43*4</f>
        <v>1.72</v>
      </c>
      <c r="H5" s="79">
        <f>0.44*4</f>
        <v>1.76</v>
      </c>
      <c r="I5" s="79">
        <f>(0.45*4)+0.099</f>
        <v>1.899</v>
      </c>
      <c r="J5" s="79">
        <f>0.361+0.46+0.46+0.46</f>
        <v>1.7409999999999999</v>
      </c>
      <c r="K5" s="84">
        <f t="shared" ref="K5:K13" si="1">RATE(5,,-E5,J5)</f>
        <v>1.2024402574019289E-2</v>
      </c>
      <c r="L5" s="79">
        <f>+'Value Line'!J20*100</f>
        <v>6.5</v>
      </c>
      <c r="M5" s="79">
        <f>+C5-B5</f>
        <v>0.14999999999999991</v>
      </c>
      <c r="N5">
        <f>+D5-C5</f>
        <v>0.18000000000000016</v>
      </c>
      <c r="O5">
        <f>+E5-D5</f>
        <v>0.15999999999999992</v>
      </c>
      <c r="P5">
        <f>+F5-E5</f>
        <v>4.0000000000000036E-2</v>
      </c>
      <c r="Q5">
        <f>+G5-F5</f>
        <v>4.0000000000000036E-2</v>
      </c>
      <c r="R5">
        <f t="shared" ref="R5:R12" si="2">+H5-G5</f>
        <v>4.0000000000000036E-2</v>
      </c>
      <c r="S5">
        <f t="shared" ref="S5:S12" si="3">+I5-H5</f>
        <v>0.13900000000000001</v>
      </c>
      <c r="T5">
        <f t="shared" ref="T5:T12" si="4">+J5-I5</f>
        <v>-0.15800000000000014</v>
      </c>
      <c r="V5">
        <v>0.02</v>
      </c>
    </row>
    <row r="6" spans="1:22">
      <c r="A6" s="36" t="s">
        <v>7</v>
      </c>
      <c r="B6">
        <v>1.2250000000000001</v>
      </c>
      <c r="C6">
        <v>1.2450000000000001</v>
      </c>
      <c r="D6">
        <v>1.2649999999999999</v>
      </c>
      <c r="E6">
        <v>1.2849999999999999</v>
      </c>
      <c r="F6">
        <v>1.3</v>
      </c>
      <c r="G6">
        <v>1.32</v>
      </c>
      <c r="H6" s="79">
        <f>0.335+0.335+0.335+0.34</f>
        <v>1.3450000000000002</v>
      </c>
      <c r="I6" s="79">
        <f>0.34+0.34+0.34+0.345</f>
        <v>1.365</v>
      </c>
      <c r="J6" s="79">
        <f>0.345+0.345+0.345+0.35</f>
        <v>1.3849999999999998</v>
      </c>
      <c r="K6" s="84">
        <f t="shared" si="1"/>
        <v>1.5101171883049502E-2</v>
      </c>
      <c r="L6" s="79">
        <f>+'Value Line'!J21*100</f>
        <v>1.5</v>
      </c>
      <c r="M6" s="79">
        <f t="shared" ref="M6:M12" si="5">+C6-B6</f>
        <v>2.0000000000000018E-2</v>
      </c>
      <c r="N6">
        <f t="shared" ref="N6:N12" si="6">+D6-C6</f>
        <v>1.9999999999999796E-2</v>
      </c>
      <c r="O6">
        <f t="shared" ref="O6:O12" si="7">+E6-D6</f>
        <v>2.0000000000000018E-2</v>
      </c>
      <c r="P6">
        <f t="shared" ref="P6:P12" si="8">+F6-E6</f>
        <v>1.5000000000000124E-2</v>
      </c>
      <c r="Q6">
        <f t="shared" ref="Q6:Q12" si="9">+G6-F6</f>
        <v>2.0000000000000018E-2</v>
      </c>
      <c r="R6">
        <f t="shared" si="2"/>
        <v>2.5000000000000133E-2</v>
      </c>
      <c r="S6">
        <f t="shared" si="3"/>
        <v>1.9999999999999796E-2</v>
      </c>
      <c r="T6">
        <f t="shared" si="4"/>
        <v>1.9999999999999796E-2</v>
      </c>
      <c r="V6">
        <f>AVERAGE(P6:T6)</f>
        <v>1.9999999999999973E-2</v>
      </c>
    </row>
    <row r="7" spans="1:22">
      <c r="A7" s="36" t="s">
        <v>10</v>
      </c>
      <c r="B7">
        <v>1.36</v>
      </c>
      <c r="C7">
        <v>1.38</v>
      </c>
      <c r="D7">
        <v>1.43</v>
      </c>
      <c r="E7">
        <v>1.47</v>
      </c>
      <c r="F7">
        <v>1.51</v>
      </c>
      <c r="G7">
        <v>1.55</v>
      </c>
      <c r="H7" s="79">
        <f>0.395+0.395+0.395+0.405</f>
        <v>1.59</v>
      </c>
      <c r="I7" s="79">
        <f>(0.405*4)+0.01</f>
        <v>1.6300000000000001</v>
      </c>
      <c r="J7" s="79">
        <f>0.415+0.415+0.415+0.425</f>
        <v>1.67</v>
      </c>
      <c r="K7" s="84">
        <f t="shared" si="1"/>
        <v>2.5840467743610377E-2</v>
      </c>
      <c r="L7" s="79">
        <f>+'Value Line'!J22*100</f>
        <v>3</v>
      </c>
      <c r="M7" s="79">
        <f t="shared" si="5"/>
        <v>1.9999999999999796E-2</v>
      </c>
      <c r="N7">
        <f t="shared" si="6"/>
        <v>5.0000000000000044E-2</v>
      </c>
      <c r="O7">
        <f t="shared" si="7"/>
        <v>4.0000000000000036E-2</v>
      </c>
      <c r="P7">
        <f t="shared" si="8"/>
        <v>4.0000000000000036E-2</v>
      </c>
      <c r="Q7">
        <f t="shared" si="9"/>
        <v>4.0000000000000036E-2</v>
      </c>
      <c r="R7">
        <f t="shared" si="2"/>
        <v>4.0000000000000036E-2</v>
      </c>
      <c r="S7">
        <f t="shared" si="3"/>
        <v>4.0000000000000036E-2</v>
      </c>
      <c r="T7">
        <f t="shared" si="4"/>
        <v>3.9999999999999813E-2</v>
      </c>
      <c r="V7">
        <f>AVERAGE(P7:T7)</f>
        <v>3.9999999999999994E-2</v>
      </c>
    </row>
    <row r="8" spans="1:22">
      <c r="A8" s="89" t="s">
        <v>12</v>
      </c>
      <c r="B8">
        <f>(0.21667*4)</f>
        <v>0.86668000000000001</v>
      </c>
      <c r="C8">
        <f>0.22667+0.22667+0.22667+0.24</f>
        <v>0.92000999999999999</v>
      </c>
      <c r="D8">
        <f>0.24+0.24+0.24+0.25333</f>
        <v>0.97333000000000003</v>
      </c>
      <c r="E8">
        <f>0.25333+0.25333+0.25333+0.26667</f>
        <v>1.0266599999999999</v>
      </c>
      <c r="F8">
        <f>0.187+0.28+0.28+0.31</f>
        <v>1.0570000000000002</v>
      </c>
      <c r="G8">
        <f>0.31+0.31+0.31+0.34</f>
        <v>1.27</v>
      </c>
      <c r="H8" s="79">
        <f>0.34+0.34+0.34+0.36</f>
        <v>1.38</v>
      </c>
      <c r="I8" s="79">
        <f>0.36+0.36+0.36+0.38</f>
        <v>1.46</v>
      </c>
      <c r="J8" s="79">
        <f>0.38+0.38+0.38+0.4</f>
        <v>1.54</v>
      </c>
      <c r="K8" s="84">
        <f t="shared" si="1"/>
        <v>8.4473179608380661E-2</v>
      </c>
      <c r="L8" s="79">
        <f>+'Value Line'!J23*100</f>
        <v>8.5</v>
      </c>
      <c r="M8" s="79">
        <f t="shared" ref="M8" si="10">+C8-B8</f>
        <v>5.3329999999999989E-2</v>
      </c>
      <c r="N8">
        <f t="shared" ref="N8" si="11">+D8-C8</f>
        <v>5.3320000000000034E-2</v>
      </c>
      <c r="O8">
        <f t="shared" ref="O8" si="12">+E8-D8</f>
        <v>5.3329999999999878E-2</v>
      </c>
      <c r="P8">
        <f t="shared" ref="P8" si="13">+F8-E8</f>
        <v>3.0340000000000256E-2</v>
      </c>
      <c r="Q8">
        <f t="shared" ref="Q8" si="14">+G8-F8</f>
        <v>0.21299999999999986</v>
      </c>
      <c r="R8">
        <f t="shared" ref="R8" si="15">+H8-G8</f>
        <v>0.10999999999999988</v>
      </c>
      <c r="S8">
        <f t="shared" ref="S8" si="16">+I8-H8</f>
        <v>8.0000000000000071E-2</v>
      </c>
      <c r="T8">
        <f t="shared" ref="T8" si="17">+J8-I8</f>
        <v>8.0000000000000071E-2</v>
      </c>
      <c r="V8">
        <v>0.05</v>
      </c>
    </row>
    <row r="9" spans="1:22">
      <c r="A9" s="36" t="s">
        <v>14</v>
      </c>
      <c r="B9">
        <v>1.3</v>
      </c>
      <c r="C9">
        <v>1.32</v>
      </c>
      <c r="D9">
        <v>1.39</v>
      </c>
      <c r="E9">
        <v>1.44</v>
      </c>
      <c r="F9">
        <v>1.52</v>
      </c>
      <c r="G9">
        <v>1.6</v>
      </c>
      <c r="H9" s="79">
        <f>0.415+0.415+0.415+0.435</f>
        <v>1.68</v>
      </c>
      <c r="I9" s="79">
        <f>0.435+0.435+0.435+0.445</f>
        <v>1.75</v>
      </c>
      <c r="J9" s="79">
        <f>0.445+0.445+0.445+0.455</f>
        <v>1.79</v>
      </c>
      <c r="K9" s="84">
        <f t="shared" si="1"/>
        <v>4.4475140400485329E-2</v>
      </c>
      <c r="L9" s="79">
        <f>+'Value Line'!J24*100</f>
        <v>4.5</v>
      </c>
      <c r="M9" s="79">
        <f t="shared" si="5"/>
        <v>2.0000000000000018E-2</v>
      </c>
      <c r="N9">
        <f t="shared" si="6"/>
        <v>6.999999999999984E-2</v>
      </c>
      <c r="O9">
        <f t="shared" si="7"/>
        <v>5.0000000000000044E-2</v>
      </c>
      <c r="P9">
        <f t="shared" si="8"/>
        <v>8.0000000000000071E-2</v>
      </c>
      <c r="Q9">
        <f t="shared" si="9"/>
        <v>8.0000000000000071E-2</v>
      </c>
      <c r="R9">
        <f t="shared" si="2"/>
        <v>7.9999999999999849E-2</v>
      </c>
      <c r="S9">
        <f t="shared" si="3"/>
        <v>7.0000000000000062E-2</v>
      </c>
      <c r="T9">
        <f t="shared" si="4"/>
        <v>4.0000000000000036E-2</v>
      </c>
      <c r="V9">
        <v>0.05</v>
      </c>
    </row>
    <row r="10" spans="1:22">
      <c r="A10" s="36" t="s">
        <v>16</v>
      </c>
      <c r="B10">
        <v>0.86</v>
      </c>
      <c r="C10">
        <v>0.92</v>
      </c>
      <c r="D10">
        <v>0.96</v>
      </c>
      <c r="E10">
        <v>1</v>
      </c>
      <c r="F10">
        <v>1.04</v>
      </c>
      <c r="G10">
        <v>1.08</v>
      </c>
      <c r="H10" s="79">
        <f>0.28*4</f>
        <v>1.1200000000000001</v>
      </c>
      <c r="I10" s="79">
        <v>1.1499999999999999</v>
      </c>
      <c r="J10" s="79">
        <f>0.3*4</f>
        <v>1.2</v>
      </c>
      <c r="K10" s="84">
        <f t="shared" si="1"/>
        <v>3.7137289336969921E-2</v>
      </c>
      <c r="L10" s="79">
        <f>+'Value Line'!J25*100</f>
        <v>5.5</v>
      </c>
      <c r="M10" s="79">
        <f t="shared" si="5"/>
        <v>6.0000000000000053E-2</v>
      </c>
      <c r="N10">
        <f t="shared" si="6"/>
        <v>3.9999999999999925E-2</v>
      </c>
      <c r="O10">
        <f t="shared" si="7"/>
        <v>4.0000000000000036E-2</v>
      </c>
      <c r="P10">
        <f t="shared" si="8"/>
        <v>4.0000000000000036E-2</v>
      </c>
      <c r="Q10">
        <f t="shared" si="9"/>
        <v>4.0000000000000036E-2</v>
      </c>
      <c r="R10">
        <f t="shared" si="2"/>
        <v>4.0000000000000036E-2</v>
      </c>
      <c r="S10">
        <f t="shared" si="3"/>
        <v>2.9999999999999805E-2</v>
      </c>
      <c r="T10">
        <f t="shared" si="4"/>
        <v>5.0000000000000044E-2</v>
      </c>
      <c r="V10">
        <f>AVERAGE(P10:T10)</f>
        <v>3.9999999999999994E-2</v>
      </c>
    </row>
    <row r="11" spans="1:22">
      <c r="A11" s="36" t="s">
        <v>18</v>
      </c>
      <c r="B11">
        <v>0.82</v>
      </c>
      <c r="C11">
        <v>0.86299999999999999</v>
      </c>
      <c r="D11">
        <v>0.92</v>
      </c>
      <c r="E11">
        <v>1.0049999999999999</v>
      </c>
      <c r="F11">
        <v>1.1080000000000001</v>
      </c>
      <c r="G11">
        <v>1.224</v>
      </c>
      <c r="H11" s="79">
        <f>0.33+0.33+0.33+0.365</f>
        <v>1.355</v>
      </c>
      <c r="I11" s="79">
        <f>0.365+0.365+0.365+0.403</f>
        <v>1.498</v>
      </c>
      <c r="J11" s="79">
        <f>0.403+0.403+0.403+0.443</f>
        <v>1.6520000000000001</v>
      </c>
      <c r="K11" s="84">
        <f t="shared" si="1"/>
        <v>0.10450782302394852</v>
      </c>
      <c r="L11" s="79">
        <f>+'Value Line'!J26*100</f>
        <v>10</v>
      </c>
      <c r="M11" s="79">
        <f t="shared" si="5"/>
        <v>4.3000000000000038E-2</v>
      </c>
      <c r="N11">
        <f t="shared" si="6"/>
        <v>5.7000000000000051E-2</v>
      </c>
      <c r="O11">
        <f t="shared" si="7"/>
        <v>8.4999999999999853E-2</v>
      </c>
      <c r="P11">
        <f t="shared" si="8"/>
        <v>0.1030000000000002</v>
      </c>
      <c r="Q11">
        <f t="shared" si="9"/>
        <v>0.11599999999999988</v>
      </c>
      <c r="R11">
        <f t="shared" si="2"/>
        <v>0.13100000000000001</v>
      </c>
      <c r="S11">
        <f t="shared" si="3"/>
        <v>0.14300000000000002</v>
      </c>
      <c r="T11">
        <f t="shared" si="4"/>
        <v>0.15400000000000014</v>
      </c>
      <c r="V11">
        <v>0.16</v>
      </c>
    </row>
    <row r="12" spans="1:22">
      <c r="A12" s="36" t="s">
        <v>113</v>
      </c>
      <c r="B12">
        <v>0.82</v>
      </c>
      <c r="C12">
        <v>0.82</v>
      </c>
      <c r="D12">
        <v>0.82</v>
      </c>
      <c r="E12">
        <v>0.85</v>
      </c>
      <c r="F12">
        <v>0.89</v>
      </c>
      <c r="G12">
        <v>0.93899999999999995</v>
      </c>
      <c r="H12" s="79">
        <f>0.238+0.25+0.25+0.25</f>
        <v>0.98799999999999999</v>
      </c>
      <c r="I12" s="79">
        <f>0.25+0.265+0.265+0.265</f>
        <v>1.0449999999999999</v>
      </c>
      <c r="J12" s="79">
        <f>0.265+0.295+0.295+0.295</f>
        <v>1.1499999999999999</v>
      </c>
      <c r="K12" s="84">
        <f t="shared" si="1"/>
        <v>6.2321039666165215E-2</v>
      </c>
      <c r="L12" s="79">
        <f>+'Value Line'!J27*100</f>
        <v>4</v>
      </c>
      <c r="M12" s="79">
        <f t="shared" si="5"/>
        <v>0</v>
      </c>
      <c r="N12">
        <f t="shared" si="6"/>
        <v>0</v>
      </c>
      <c r="O12">
        <f t="shared" si="7"/>
        <v>3.0000000000000027E-2</v>
      </c>
      <c r="P12">
        <f t="shared" si="8"/>
        <v>4.0000000000000036E-2</v>
      </c>
      <c r="Q12">
        <f t="shared" si="9"/>
        <v>4.8999999999999932E-2</v>
      </c>
      <c r="R12">
        <f t="shared" si="2"/>
        <v>4.9000000000000044E-2</v>
      </c>
      <c r="S12">
        <f t="shared" si="3"/>
        <v>5.699999999999994E-2</v>
      </c>
      <c r="T12">
        <f t="shared" si="4"/>
        <v>0.10499999999999998</v>
      </c>
      <c r="V12">
        <v>0.12</v>
      </c>
    </row>
    <row r="13" spans="1:22">
      <c r="A13" s="89" t="s">
        <v>104</v>
      </c>
      <c r="B13">
        <f>0.32+0.325+0.325+0.325</f>
        <v>1.2949999999999999</v>
      </c>
      <c r="C13">
        <f>0.325+0.333+0.333+0.333</f>
        <v>1.3240000000000001</v>
      </c>
      <c r="D13">
        <f>0.333+0.338+0.338+0.338</f>
        <v>1.3470000000000002</v>
      </c>
      <c r="E13">
        <f>0.338+0.343+0.343+0.343</f>
        <v>1.367</v>
      </c>
      <c r="F13">
        <f>0.343+0.355+0.355+0.355</f>
        <v>1.4079999999999999</v>
      </c>
      <c r="G13">
        <f>0.355+0.368+0.368+0.368</f>
        <v>1.4590000000000001</v>
      </c>
      <c r="H13" s="79">
        <f>0.368+0.378+0.378+0.378</f>
        <v>1.5020000000000002</v>
      </c>
      <c r="I13" s="79">
        <f>0.378+0.388+0.388+0.388</f>
        <v>1.5419999999999998</v>
      </c>
      <c r="J13" s="79">
        <f>0.388+0.4+0.4+0.4</f>
        <v>1.5880000000000001</v>
      </c>
      <c r="K13" s="84">
        <f t="shared" si="1"/>
        <v>3.0425023207005953E-2</v>
      </c>
      <c r="L13" s="79">
        <f>+'Value Line'!J28*100</f>
        <v>3</v>
      </c>
      <c r="M13" s="79">
        <f t="shared" ref="M13" si="18">+C13-B13</f>
        <v>2.9000000000000137E-2</v>
      </c>
      <c r="N13">
        <f t="shared" ref="N13" si="19">+D13-C13</f>
        <v>2.3000000000000131E-2</v>
      </c>
      <c r="O13">
        <f t="shared" ref="O13" si="20">+E13-D13</f>
        <v>1.9999999999999796E-2</v>
      </c>
      <c r="P13">
        <f t="shared" ref="P13" si="21">+F13-E13</f>
        <v>4.0999999999999925E-2</v>
      </c>
      <c r="Q13">
        <f t="shared" ref="Q13" si="22">+G13-F13</f>
        <v>5.1000000000000156E-2</v>
      </c>
      <c r="R13">
        <f t="shared" ref="R13" si="23">+H13-G13</f>
        <v>4.3000000000000149E-2</v>
      </c>
      <c r="S13">
        <f t="shared" ref="S13" si="24">+I13-H13</f>
        <v>3.9999999999999591E-2</v>
      </c>
      <c r="T13">
        <f t="shared" ref="T13" si="25">+J13-I13</f>
        <v>4.6000000000000263E-2</v>
      </c>
      <c r="V13">
        <f>AVERAGE(P13:T13)</f>
        <v>4.4200000000000017E-2</v>
      </c>
    </row>
    <row r="14" spans="1:22">
      <c r="K14" s="6"/>
    </row>
    <row r="15" spans="1:22">
      <c r="A15" t="s">
        <v>38</v>
      </c>
      <c r="K15" s="6">
        <f>AVERAGE(K5:K13)</f>
        <v>4.6256170827070529E-2</v>
      </c>
      <c r="L15" s="50">
        <f>AVERAGE(L5:L12)</f>
        <v>5.4375</v>
      </c>
    </row>
    <row r="16" spans="1:22">
      <c r="K16" s="6"/>
    </row>
    <row r="17" spans="1:13">
      <c r="A17" t="s">
        <v>76</v>
      </c>
      <c r="K17" s="6">
        <v>4.1000000000000002E-2</v>
      </c>
    </row>
    <row r="18" spans="1:13">
      <c r="K18" s="6"/>
    </row>
    <row r="19" spans="1:13">
      <c r="K19" s="6"/>
    </row>
    <row r="20" spans="1:13">
      <c r="C20" s="5"/>
      <c r="D20" s="5"/>
      <c r="E20" s="5"/>
      <c r="F20" s="5"/>
      <c r="G20" s="5"/>
      <c r="H20" s="5"/>
      <c r="I20" s="5"/>
      <c r="J20" s="5"/>
    </row>
    <row r="21" spans="1:13">
      <c r="B21" s="5" t="str">
        <f t="shared" ref="B21:B27" si="26">+K2</f>
        <v xml:space="preserve">Historical </v>
      </c>
      <c r="C21" s="734" t="s">
        <v>172</v>
      </c>
      <c r="D21" s="734"/>
      <c r="E21" s="734"/>
      <c r="F21" s="734"/>
      <c r="G21" s="734"/>
      <c r="H21" s="340"/>
      <c r="I21" s="340"/>
      <c r="J21" s="340"/>
      <c r="K21" s="5"/>
      <c r="L21" s="5"/>
    </row>
    <row r="22" spans="1:13">
      <c r="B22" s="5" t="str">
        <f t="shared" si="26"/>
        <v xml:space="preserve"> Dividend</v>
      </c>
      <c r="C22" s="60"/>
      <c r="D22" s="60"/>
      <c r="E22" s="62"/>
      <c r="F22" s="60"/>
      <c r="G22" s="60"/>
      <c r="H22" s="60"/>
      <c r="I22" s="60"/>
      <c r="J22" s="60"/>
      <c r="K22" s="5" t="s">
        <v>171</v>
      </c>
      <c r="L22" s="5" t="s">
        <v>218</v>
      </c>
    </row>
    <row r="23" spans="1:13">
      <c r="B23" s="119" t="str">
        <f t="shared" si="26"/>
        <v>Growth Rate</v>
      </c>
      <c r="C23" s="250">
        <v>2013</v>
      </c>
      <c r="D23" s="250">
        <f>+C23+1</f>
        <v>2014</v>
      </c>
      <c r="E23" s="250">
        <f t="shared" ref="E23:J23" si="27">+D23+1</f>
        <v>2015</v>
      </c>
      <c r="F23" s="250">
        <f t="shared" si="27"/>
        <v>2016</v>
      </c>
      <c r="G23" s="250">
        <f t="shared" si="27"/>
        <v>2017</v>
      </c>
      <c r="H23" s="250">
        <f t="shared" si="27"/>
        <v>2018</v>
      </c>
      <c r="I23" s="250">
        <f t="shared" si="27"/>
        <v>2019</v>
      </c>
      <c r="J23" s="250">
        <f t="shared" si="27"/>
        <v>2020</v>
      </c>
      <c r="K23" s="119" t="s">
        <v>169</v>
      </c>
      <c r="L23" s="119" t="s">
        <v>169</v>
      </c>
    </row>
    <row r="24" spans="1:13">
      <c r="A24" s="36" t="s">
        <v>5</v>
      </c>
      <c r="B24" s="95">
        <f>+K5</f>
        <v>1.2024402574019289E-2</v>
      </c>
      <c r="C24">
        <f>+J5+V5+0.1</f>
        <v>1.861</v>
      </c>
      <c r="D24">
        <f t="shared" ref="D24:J30" si="28">+C24+$V5</f>
        <v>1.881</v>
      </c>
      <c r="E24">
        <f t="shared" si="28"/>
        <v>1.901</v>
      </c>
      <c r="F24">
        <f t="shared" si="28"/>
        <v>1.921</v>
      </c>
      <c r="G24">
        <f t="shared" si="28"/>
        <v>1.9410000000000001</v>
      </c>
      <c r="H24">
        <f t="shared" si="28"/>
        <v>1.9610000000000001</v>
      </c>
      <c r="I24">
        <f t="shared" si="28"/>
        <v>1.9810000000000001</v>
      </c>
      <c r="J24">
        <f t="shared" si="28"/>
        <v>2.0009999999999999</v>
      </c>
      <c r="K24" s="6">
        <f t="shared" ref="K24:K32" si="29">RATE(5,,-J5,G24)</f>
        <v>2.1986956198704621E-2</v>
      </c>
      <c r="L24" s="95">
        <f>+'Value Line'!K20</f>
        <v>4.4999999999999998E-2</v>
      </c>
      <c r="M24" s="95"/>
    </row>
    <row r="25" spans="1:13">
      <c r="A25" s="36" t="s">
        <v>7</v>
      </c>
      <c r="B25" s="95">
        <f t="shared" si="26"/>
        <v>1.5101171883049502E-2</v>
      </c>
      <c r="C25">
        <f>+J6+V6</f>
        <v>1.4049999999999998</v>
      </c>
      <c r="D25">
        <f t="shared" si="28"/>
        <v>1.4249999999999998</v>
      </c>
      <c r="E25">
        <f t="shared" si="28"/>
        <v>1.4449999999999998</v>
      </c>
      <c r="F25">
        <f t="shared" si="28"/>
        <v>1.4649999999999999</v>
      </c>
      <c r="G25">
        <f t="shared" si="28"/>
        <v>1.4849999999999999</v>
      </c>
      <c r="H25">
        <f t="shared" si="28"/>
        <v>1.5049999999999999</v>
      </c>
      <c r="I25">
        <f t="shared" si="28"/>
        <v>1.5249999999999999</v>
      </c>
      <c r="J25">
        <f t="shared" si="28"/>
        <v>1.5449999999999999</v>
      </c>
      <c r="K25" s="6">
        <f t="shared" si="29"/>
        <v>1.4040582465115048E-2</v>
      </c>
      <c r="L25" s="95">
        <f>+'Value Line'!K21</f>
        <v>1.4999999999999999E-2</v>
      </c>
      <c r="M25" s="95"/>
    </row>
    <row r="26" spans="1:13">
      <c r="A26" s="36" t="s">
        <v>10</v>
      </c>
      <c r="B26" s="95">
        <f t="shared" si="26"/>
        <v>2.5840467743610377E-2</v>
      </c>
      <c r="C26">
        <f>+J7+V7</f>
        <v>1.71</v>
      </c>
      <c r="D26">
        <f t="shared" si="28"/>
        <v>1.75</v>
      </c>
      <c r="E26">
        <f t="shared" si="28"/>
        <v>1.79</v>
      </c>
      <c r="F26">
        <f t="shared" si="28"/>
        <v>1.83</v>
      </c>
      <c r="G26">
        <f t="shared" si="28"/>
        <v>1.87</v>
      </c>
      <c r="H26">
        <f t="shared" si="28"/>
        <v>1.9100000000000001</v>
      </c>
      <c r="I26">
        <f t="shared" si="28"/>
        <v>1.9500000000000002</v>
      </c>
      <c r="J26">
        <f t="shared" si="28"/>
        <v>1.9900000000000002</v>
      </c>
      <c r="K26" s="6">
        <f t="shared" si="29"/>
        <v>2.288080076759242E-2</v>
      </c>
      <c r="L26" s="95">
        <f>+'Value Line'!K22</f>
        <v>3.5000000000000003E-2</v>
      </c>
      <c r="M26" s="95"/>
    </row>
    <row r="27" spans="1:13">
      <c r="A27" s="36" t="str">
        <f>+A8</f>
        <v>New Jersey Resources</v>
      </c>
      <c r="B27" s="95">
        <f t="shared" si="26"/>
        <v>8.4473179608380661E-2</v>
      </c>
      <c r="C27">
        <f>+J8+V8</f>
        <v>1.59</v>
      </c>
      <c r="D27">
        <f t="shared" si="28"/>
        <v>1.6400000000000001</v>
      </c>
      <c r="E27">
        <f t="shared" si="28"/>
        <v>1.6900000000000002</v>
      </c>
      <c r="F27">
        <f t="shared" si="28"/>
        <v>1.7400000000000002</v>
      </c>
      <c r="G27">
        <f t="shared" si="28"/>
        <v>1.7900000000000003</v>
      </c>
      <c r="H27">
        <f t="shared" si="28"/>
        <v>1.8400000000000003</v>
      </c>
      <c r="I27">
        <f t="shared" si="28"/>
        <v>1.8900000000000003</v>
      </c>
      <c r="J27">
        <f t="shared" si="28"/>
        <v>1.9400000000000004</v>
      </c>
      <c r="K27" s="6">
        <f t="shared" si="29"/>
        <v>3.0543817109507147E-2</v>
      </c>
      <c r="L27" s="95">
        <f>+'Value Line'!K23</f>
        <v>0.03</v>
      </c>
      <c r="M27" s="95"/>
    </row>
    <row r="28" spans="1:13">
      <c r="A28" s="36" t="s">
        <v>14</v>
      </c>
      <c r="B28" s="95">
        <f>+K9</f>
        <v>4.4475140400485329E-2</v>
      </c>
      <c r="C28">
        <f t="shared" ref="C28:C30" si="30">+J9+V9</f>
        <v>1.84</v>
      </c>
      <c r="D28">
        <f t="shared" si="28"/>
        <v>1.8900000000000001</v>
      </c>
      <c r="E28">
        <f t="shared" si="28"/>
        <v>1.9400000000000002</v>
      </c>
      <c r="F28">
        <f t="shared" si="28"/>
        <v>1.9900000000000002</v>
      </c>
      <c r="G28">
        <f t="shared" si="28"/>
        <v>2.04</v>
      </c>
      <c r="H28">
        <f t="shared" si="28"/>
        <v>2.09</v>
      </c>
      <c r="I28">
        <f t="shared" si="28"/>
        <v>2.1399999999999997</v>
      </c>
      <c r="J28">
        <f t="shared" si="28"/>
        <v>2.1899999999999995</v>
      </c>
      <c r="K28" s="6">
        <f t="shared" si="29"/>
        <v>2.649166498332715E-2</v>
      </c>
      <c r="L28" s="95">
        <f>+'Value Line'!K24</f>
        <v>2.5000000000000001E-2</v>
      </c>
      <c r="M28" s="95"/>
    </row>
    <row r="29" spans="1:13">
      <c r="A29" s="36" t="s">
        <v>16</v>
      </c>
      <c r="B29" s="95">
        <f>+K10</f>
        <v>3.7137289336969921E-2</v>
      </c>
      <c r="C29">
        <f t="shared" si="30"/>
        <v>1.24</v>
      </c>
      <c r="D29">
        <f t="shared" si="28"/>
        <v>1.28</v>
      </c>
      <c r="E29">
        <f t="shared" si="28"/>
        <v>1.32</v>
      </c>
      <c r="F29">
        <f t="shared" si="28"/>
        <v>1.36</v>
      </c>
      <c r="G29">
        <f t="shared" si="28"/>
        <v>1.4000000000000001</v>
      </c>
      <c r="H29">
        <f t="shared" si="28"/>
        <v>1.4400000000000002</v>
      </c>
      <c r="I29">
        <f t="shared" si="28"/>
        <v>1.4800000000000002</v>
      </c>
      <c r="J29">
        <f t="shared" si="28"/>
        <v>1.5200000000000002</v>
      </c>
      <c r="K29" s="6">
        <f t="shared" si="29"/>
        <v>3.1310306478541848E-2</v>
      </c>
      <c r="L29" s="95">
        <f>+'Value Line'!K25</f>
        <v>0.03</v>
      </c>
      <c r="M29" s="95"/>
    </row>
    <row r="30" spans="1:13">
      <c r="A30" s="36" t="s">
        <v>18</v>
      </c>
      <c r="B30" s="95">
        <f>+K11</f>
        <v>0.10450782302394852</v>
      </c>
      <c r="C30">
        <f t="shared" si="30"/>
        <v>1.8120000000000001</v>
      </c>
      <c r="D30">
        <f t="shared" si="28"/>
        <v>1.972</v>
      </c>
      <c r="E30">
        <f t="shared" si="28"/>
        <v>2.1320000000000001</v>
      </c>
      <c r="F30">
        <f t="shared" si="28"/>
        <v>2.2920000000000003</v>
      </c>
      <c r="G30">
        <f t="shared" si="28"/>
        <v>2.4520000000000004</v>
      </c>
      <c r="H30">
        <f t="shared" si="28"/>
        <v>2.6120000000000005</v>
      </c>
      <c r="I30">
        <f t="shared" si="28"/>
        <v>2.7720000000000007</v>
      </c>
      <c r="J30">
        <f t="shared" si="28"/>
        <v>2.9320000000000008</v>
      </c>
      <c r="K30" s="6">
        <f t="shared" si="29"/>
        <v>8.2186431861143813E-2</v>
      </c>
      <c r="L30" s="95">
        <f>+'Value Line'!K26</f>
        <v>8.5000000000000006E-2</v>
      </c>
      <c r="M30" s="95"/>
    </row>
    <row r="31" spans="1:13">
      <c r="A31" s="36" t="s">
        <v>113</v>
      </c>
      <c r="B31" s="95">
        <f>+K12</f>
        <v>6.2321039666165215E-2</v>
      </c>
      <c r="C31">
        <f>+J12+V12</f>
        <v>1.27</v>
      </c>
      <c r="D31">
        <f t="shared" ref="D31:J31" si="31">+C31+$V12-0.035</f>
        <v>1.3550000000000002</v>
      </c>
      <c r="E31">
        <f t="shared" si="31"/>
        <v>1.4400000000000002</v>
      </c>
      <c r="F31">
        <f t="shared" si="31"/>
        <v>1.5250000000000001</v>
      </c>
      <c r="G31">
        <f t="shared" si="31"/>
        <v>1.61</v>
      </c>
      <c r="H31">
        <f t="shared" si="31"/>
        <v>1.6950000000000001</v>
      </c>
      <c r="I31">
        <f t="shared" si="31"/>
        <v>1.78</v>
      </c>
      <c r="J31">
        <f t="shared" si="31"/>
        <v>1.865</v>
      </c>
      <c r="K31" s="6">
        <f t="shared" si="29"/>
        <v>6.9610375725068868E-2</v>
      </c>
      <c r="L31" s="95">
        <f>+'Value Line'!K27</f>
        <v>7.0000000000000007E-2</v>
      </c>
      <c r="M31" s="95"/>
    </row>
    <row r="32" spans="1:13">
      <c r="A32" s="36" t="str">
        <f>+A13</f>
        <v>WGL Holdings</v>
      </c>
      <c r="B32" s="95">
        <f t="shared" ref="B32" si="32">+K13</f>
        <v>3.0425023207005953E-2</v>
      </c>
      <c r="C32">
        <f t="shared" ref="C32" si="33">+J13+V13</f>
        <v>1.6322000000000001</v>
      </c>
      <c r="D32">
        <f t="shared" ref="D32:J32" si="34">+C32+$V13</f>
        <v>1.6764000000000001</v>
      </c>
      <c r="E32">
        <f t="shared" si="34"/>
        <v>1.7206000000000001</v>
      </c>
      <c r="F32">
        <f t="shared" si="34"/>
        <v>1.7648000000000001</v>
      </c>
      <c r="G32">
        <f t="shared" si="34"/>
        <v>1.8090000000000002</v>
      </c>
      <c r="H32">
        <f t="shared" si="34"/>
        <v>1.8532000000000002</v>
      </c>
      <c r="I32">
        <f t="shared" si="34"/>
        <v>1.8974000000000002</v>
      </c>
      <c r="J32">
        <f t="shared" si="34"/>
        <v>1.9416000000000002</v>
      </c>
      <c r="K32" s="6">
        <f t="shared" si="29"/>
        <v>2.6402293391433365E-2</v>
      </c>
      <c r="L32" s="95">
        <f>+'Value Line'!K28</f>
        <v>2.5000000000000001E-2</v>
      </c>
      <c r="M32" s="95"/>
    </row>
    <row r="33" spans="1:16">
      <c r="B33" s="95"/>
      <c r="K33" s="6"/>
    </row>
    <row r="34" spans="1:16">
      <c r="A34" t="s">
        <v>38</v>
      </c>
      <c r="B34" s="95">
        <f>+K15</f>
        <v>4.6256170827070529E-2</v>
      </c>
      <c r="K34" s="6">
        <f>AVERAGE(K24:K32)</f>
        <v>3.6161469886714911E-2</v>
      </c>
      <c r="L34" s="6">
        <f>AVERAGE(L24:L32)</f>
        <v>4.0000000000000008E-2</v>
      </c>
      <c r="M34" s="6"/>
    </row>
    <row r="35" spans="1:16">
      <c r="B35" s="95"/>
      <c r="P35" t="s">
        <v>222</v>
      </c>
    </row>
    <row r="36" spans="1:16">
      <c r="A36" t="s">
        <v>76</v>
      </c>
      <c r="B36" s="95">
        <f>+K17</f>
        <v>4.1000000000000002E-2</v>
      </c>
      <c r="L36" t="s">
        <v>173</v>
      </c>
    </row>
  </sheetData>
  <mergeCells count="2">
    <mergeCell ref="C21:G21"/>
    <mergeCell ref="H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38"/>
  <sheetViews>
    <sheetView workbookViewId="0">
      <selection activeCell="J15" sqref="J15"/>
    </sheetView>
  </sheetViews>
  <sheetFormatPr defaultRowHeight="12.75"/>
  <cols>
    <col min="1" max="1" width="2.83203125" customWidth="1"/>
    <col min="2" max="2" width="24.1640625" customWidth="1"/>
    <col min="3" max="3" width="9.5" bestFit="1" customWidth="1"/>
    <col min="5" max="5" width="9.5" bestFit="1" customWidth="1"/>
    <col min="8" max="8" width="16.5" customWidth="1"/>
    <col min="11" max="11" width="12.33203125" bestFit="1" customWidth="1"/>
  </cols>
  <sheetData>
    <row r="5" spans="1:11" ht="16.5" thickBot="1">
      <c r="A5" s="737" t="s">
        <v>826</v>
      </c>
      <c r="B5" s="737"/>
      <c r="C5" s="737"/>
      <c r="D5" s="737"/>
      <c r="E5" s="737"/>
      <c r="F5" s="737"/>
    </row>
    <row r="6" spans="1:11">
      <c r="C6" s="801">
        <v>2012</v>
      </c>
      <c r="D6" s="802"/>
      <c r="E6" s="801">
        <v>2011</v>
      </c>
      <c r="F6" s="802"/>
      <c r="I6" t="s">
        <v>25</v>
      </c>
      <c r="J6" t="s">
        <v>837</v>
      </c>
      <c r="K6" t="s">
        <v>841</v>
      </c>
    </row>
    <row r="7" spans="1:11">
      <c r="A7" t="s">
        <v>827</v>
      </c>
      <c r="C7" s="554"/>
      <c r="D7" s="555"/>
      <c r="E7" s="554"/>
      <c r="F7" s="555"/>
      <c r="I7">
        <f>+J7</f>
        <v>627.71299999999997</v>
      </c>
      <c r="J7">
        <v>627.71299999999997</v>
      </c>
    </row>
    <row r="8" spans="1:11">
      <c r="B8" t="s">
        <v>828</v>
      </c>
      <c r="C8" s="703">
        <v>627.71299999999997</v>
      </c>
      <c r="D8" s="704">
        <f>+C8/C$13</f>
        <v>0.27911715963596795</v>
      </c>
      <c r="E8" s="703">
        <v>971.72400000000005</v>
      </c>
      <c r="F8" s="704">
        <f>+E8/E$13</f>
        <v>0.32291675320657354</v>
      </c>
      <c r="I8">
        <f>+K8</f>
        <v>1621.21</v>
      </c>
      <c r="J8" s="99"/>
      <c r="K8">
        <v>1621.21</v>
      </c>
    </row>
    <row r="9" spans="1:11">
      <c r="B9" t="s">
        <v>829</v>
      </c>
      <c r="C9" s="703">
        <v>2.2570000000000001</v>
      </c>
      <c r="D9" s="704">
        <f t="shared" ref="D9:F13" si="0">+C9/C$13</f>
        <v>1.0035914969076308E-3</v>
      </c>
      <c r="E9" s="703">
        <v>0.86199999999999999</v>
      </c>
      <c r="F9" s="704">
        <f t="shared" si="0"/>
        <v>2.8645401499197961E-4</v>
      </c>
      <c r="I9">
        <f>+I8+I7</f>
        <v>2248.9229999999998</v>
      </c>
      <c r="J9" s="714">
        <f>+J7</f>
        <v>627.71299999999997</v>
      </c>
      <c r="K9">
        <f>+K8</f>
        <v>1621.21</v>
      </c>
    </row>
    <row r="10" spans="1:11">
      <c r="B10" t="s">
        <v>830</v>
      </c>
      <c r="C10" s="703">
        <v>1577.8510000000001</v>
      </c>
      <c r="D10" s="704">
        <f t="shared" si="0"/>
        <v>0.70160294505414367</v>
      </c>
      <c r="E10" s="703">
        <v>1996.9970000000001</v>
      </c>
      <c r="F10" s="704">
        <f t="shared" si="0"/>
        <v>0.66362854823310702</v>
      </c>
      <c r="J10" s="99"/>
    </row>
    <row r="11" spans="1:11">
      <c r="B11" t="s">
        <v>831</v>
      </c>
      <c r="C11" s="703">
        <v>2.76</v>
      </c>
      <c r="D11" s="704">
        <f t="shared" si="0"/>
        <v>1.2272541123017548E-3</v>
      </c>
      <c r="E11" s="703">
        <v>55.305999999999997</v>
      </c>
      <c r="F11" s="704">
        <f t="shared" si="0"/>
        <v>1.8378916186944805E-2</v>
      </c>
      <c r="H11" t="s">
        <v>842</v>
      </c>
      <c r="I11">
        <f>+J11+K11</f>
        <v>1841.4080000000001</v>
      </c>
      <c r="J11">
        <v>268.459</v>
      </c>
      <c r="K11">
        <v>1572.9490000000001</v>
      </c>
    </row>
    <row r="12" spans="1:11">
      <c r="B12" t="s">
        <v>832</v>
      </c>
      <c r="C12" s="705">
        <f>41.102+1.093-3.853</f>
        <v>38.341999999999992</v>
      </c>
      <c r="D12" s="706">
        <f t="shared" si="0"/>
        <v>1.7049049700678942E-2</v>
      </c>
      <c r="E12" s="705">
        <f>39.626+0.334-55.64</f>
        <v>-15.68</v>
      </c>
      <c r="F12" s="706">
        <f t="shared" si="0"/>
        <v>-5.2106716416174476E-3</v>
      </c>
      <c r="H12" t="s">
        <v>843</v>
      </c>
      <c r="I12">
        <f>+J12+K12</f>
        <v>171.04499999999999</v>
      </c>
      <c r="J12" s="713">
        <v>171.04499999999999</v>
      </c>
    </row>
    <row r="13" spans="1:11">
      <c r="B13" t="s">
        <v>833</v>
      </c>
      <c r="C13" s="703">
        <f>+C12+C11+C10+C9+C8</f>
        <v>2248.9230000000002</v>
      </c>
      <c r="D13" s="704">
        <f t="shared" si="0"/>
        <v>1</v>
      </c>
      <c r="E13" s="703">
        <f t="shared" ref="E13" si="1">+E12+E11+E10+E9+E8</f>
        <v>3009.2090000000003</v>
      </c>
      <c r="F13" s="704">
        <f t="shared" si="0"/>
        <v>1</v>
      </c>
      <c r="H13" t="s">
        <v>844</v>
      </c>
      <c r="I13">
        <f t="shared" ref="I13:I14" si="2">+J13+K13</f>
        <v>41.643000000000001</v>
      </c>
      <c r="J13" s="713">
        <v>35.247</v>
      </c>
      <c r="K13">
        <v>6.3959999999999999</v>
      </c>
    </row>
    <row r="14" spans="1:11">
      <c r="C14" s="554"/>
      <c r="D14" s="555"/>
      <c r="E14" s="554"/>
      <c r="F14" s="555"/>
      <c r="H14" t="s">
        <v>845</v>
      </c>
      <c r="I14">
        <f t="shared" si="2"/>
        <v>86.137</v>
      </c>
      <c r="J14" s="713">
        <f>40.35+45.787</f>
        <v>86.137</v>
      </c>
    </row>
    <row r="15" spans="1:11">
      <c r="A15" t="s">
        <v>834</v>
      </c>
      <c r="C15" s="707"/>
      <c r="D15" s="708"/>
      <c r="E15" s="707"/>
      <c r="F15" s="708"/>
      <c r="H15" t="s">
        <v>846</v>
      </c>
      <c r="I15">
        <f>+J15+K15</f>
        <v>2140.2330000000002</v>
      </c>
      <c r="J15" s="713">
        <f>SUM(J11:J14)</f>
        <v>560.88800000000003</v>
      </c>
      <c r="K15">
        <f>SUM(K11:K14)</f>
        <v>1579.345</v>
      </c>
    </row>
    <row r="16" spans="1:11">
      <c r="B16" t="str">
        <f>+B8</f>
        <v>Natural Gas Distribution</v>
      </c>
      <c r="C16" s="703">
        <v>73.238</v>
      </c>
      <c r="D16" s="704">
        <f>+C16/C$22</f>
        <v>0.65148509567058366</v>
      </c>
      <c r="E16" s="703">
        <v>71.322000000000003</v>
      </c>
      <c r="F16" s="704">
        <f>+E16/E$22</f>
        <v>0.66948269550280193</v>
      </c>
      <c r="H16" t="s">
        <v>847</v>
      </c>
      <c r="I16">
        <f>+I9-I15</f>
        <v>108.6899999999996</v>
      </c>
      <c r="J16">
        <f t="shared" ref="J16" si="3">+J9-J15</f>
        <v>66.824999999999932</v>
      </c>
      <c r="K16">
        <f t="shared" ref="K16" si="4">+K9-K15</f>
        <v>41.865000000000009</v>
      </c>
    </row>
    <row r="17" spans="1:11">
      <c r="B17" t="str">
        <f>+B9</f>
        <v>Clean Energy Ventures</v>
      </c>
      <c r="C17" s="703">
        <v>19.452000000000002</v>
      </c>
      <c r="D17" s="704">
        <f t="shared" ref="D17:F22" si="5">+C17/C$22</f>
        <v>0.17303432754832457</v>
      </c>
      <c r="E17" s="703">
        <v>6.7610000000000001</v>
      </c>
      <c r="F17" s="704">
        <f t="shared" si="5"/>
        <v>6.3463903203702141E-2</v>
      </c>
      <c r="J17" s="100">
        <f>+J16/I16</f>
        <v>0.61482197074248024</v>
      </c>
      <c r="K17" s="100">
        <f>+K16/I16</f>
        <v>0.38517802925752287</v>
      </c>
    </row>
    <row r="18" spans="1:11">
      <c r="B18" t="str">
        <f>+B10</f>
        <v xml:space="preserve">Energy Services </v>
      </c>
      <c r="C18" s="703">
        <v>10.791</v>
      </c>
      <c r="D18" s="704">
        <f t="shared" si="5"/>
        <v>9.5990819893788326E-2</v>
      </c>
      <c r="E18" s="703">
        <v>18.582999999999998</v>
      </c>
      <c r="F18" s="704">
        <f t="shared" si="5"/>
        <v>0.17443421287300648</v>
      </c>
    </row>
    <row r="19" spans="1:11">
      <c r="B19" t="s">
        <v>835</v>
      </c>
      <c r="C19" s="703">
        <v>6.7489999999999997</v>
      </c>
      <c r="D19" s="704">
        <f t="shared" si="5"/>
        <v>6.0035403897986964E-2</v>
      </c>
      <c r="E19" s="703">
        <v>6.78</v>
      </c>
      <c r="F19" s="704">
        <f t="shared" si="5"/>
        <v>6.3642251696657381E-2</v>
      </c>
    </row>
    <row r="20" spans="1:11">
      <c r="B20" t="str">
        <f>+B12</f>
        <v>Retail and Other</v>
      </c>
      <c r="C20" s="703">
        <v>2.3660000000000001</v>
      </c>
      <c r="D20" s="704">
        <f t="shared" si="5"/>
        <v>2.1046638853554182E-2</v>
      </c>
      <c r="E20" s="703">
        <v>3.0870000000000002</v>
      </c>
      <c r="F20" s="704">
        <f t="shared" si="5"/>
        <v>2.8976936723832055E-2</v>
      </c>
    </row>
    <row r="21" spans="1:11">
      <c r="B21" t="s">
        <v>836</v>
      </c>
      <c r="C21" s="705">
        <v>-0.17899999999999999</v>
      </c>
      <c r="D21" s="706">
        <f t="shared" si="5"/>
        <v>-1.5922858642376154E-3</v>
      </c>
      <c r="E21" s="705">
        <v>0</v>
      </c>
      <c r="F21" s="706">
        <f t="shared" si="5"/>
        <v>0</v>
      </c>
    </row>
    <row r="22" spans="1:11" ht="13.5" thickBot="1">
      <c r="B22" t="str">
        <f>+B13</f>
        <v xml:space="preserve">     TOTAL</v>
      </c>
      <c r="C22" s="709">
        <f>+C16+C17+C18+C19+C20+C21</f>
        <v>112.41699999999999</v>
      </c>
      <c r="D22" s="710">
        <f t="shared" si="5"/>
        <v>1</v>
      </c>
      <c r="E22" s="709">
        <f>+E16+E17+E18+E19+E20+E21</f>
        <v>106.533</v>
      </c>
      <c r="F22" s="710">
        <f t="shared" si="5"/>
        <v>1</v>
      </c>
    </row>
    <row r="25" spans="1:11" ht="16.5" thickBot="1">
      <c r="A25" s="737" t="s">
        <v>840</v>
      </c>
      <c r="B25" s="737"/>
      <c r="C25" s="737"/>
      <c r="D25" s="737"/>
      <c r="E25" s="737"/>
      <c r="F25" s="737"/>
    </row>
    <row r="26" spans="1:11">
      <c r="C26" s="801">
        <f>+C6</f>
        <v>2012</v>
      </c>
      <c r="D26" s="802"/>
      <c r="E26" s="801">
        <f>+E6</f>
        <v>2011</v>
      </c>
      <c r="F26" s="802"/>
    </row>
    <row r="27" spans="1:11">
      <c r="A27" t="str">
        <f>+A7</f>
        <v>Operating Revenues</v>
      </c>
      <c r="C27" s="554"/>
      <c r="D27" s="555"/>
      <c r="E27" s="554"/>
      <c r="F27" s="555"/>
      <c r="I27" t="s">
        <v>25</v>
      </c>
      <c r="J27" t="s">
        <v>837</v>
      </c>
      <c r="K27" t="s">
        <v>841</v>
      </c>
    </row>
    <row r="28" spans="1:11">
      <c r="B28" t="s">
        <v>837</v>
      </c>
      <c r="C28" s="703">
        <v>1109.355</v>
      </c>
      <c r="D28" s="704">
        <f>+C28/C$30</f>
        <v>0.45740750666925056</v>
      </c>
      <c r="E28" s="703">
        <v>1264.8499999999999</v>
      </c>
      <c r="F28" s="704">
        <f>+E28/E$30</f>
        <v>0.45964944030589755</v>
      </c>
      <c r="I28">
        <f>+C28</f>
        <v>1109.355</v>
      </c>
      <c r="J28">
        <f>+I28</f>
        <v>1109.355</v>
      </c>
    </row>
    <row r="29" spans="1:11">
      <c r="B29" t="s">
        <v>838</v>
      </c>
      <c r="C29" s="705">
        <v>1315.9549999999999</v>
      </c>
      <c r="D29" s="706">
        <f t="shared" ref="D29:F30" si="6">+C29/C$30</f>
        <v>0.54259249333074944</v>
      </c>
      <c r="E29" s="705">
        <v>1486.921</v>
      </c>
      <c r="F29" s="706">
        <f t="shared" si="6"/>
        <v>0.54035055969410251</v>
      </c>
      <c r="I29">
        <f>+C29</f>
        <v>1315.9549999999999</v>
      </c>
      <c r="K29">
        <f>+I29</f>
        <v>1315.9549999999999</v>
      </c>
    </row>
    <row r="30" spans="1:11">
      <c r="B30" t="str">
        <f>+B13</f>
        <v xml:space="preserve">     TOTAL</v>
      </c>
      <c r="C30" s="703">
        <f>+C29+C28</f>
        <v>2425.31</v>
      </c>
      <c r="D30" s="704">
        <f t="shared" si="6"/>
        <v>1</v>
      </c>
      <c r="E30" s="703">
        <f>+E29+E28</f>
        <v>2751.7709999999997</v>
      </c>
      <c r="F30" s="704">
        <f t="shared" si="6"/>
        <v>1</v>
      </c>
      <c r="I30">
        <f>+C30</f>
        <v>2425.31</v>
      </c>
      <c r="J30">
        <f>+J28</f>
        <v>1109.355</v>
      </c>
      <c r="K30">
        <f>+K29</f>
        <v>1315.9549999999999</v>
      </c>
    </row>
    <row r="31" spans="1:11">
      <c r="C31" s="703"/>
      <c r="D31" s="711"/>
      <c r="E31" s="703"/>
      <c r="F31" s="711"/>
    </row>
    <row r="32" spans="1:11">
      <c r="A32" t="s">
        <v>839</v>
      </c>
      <c r="C32" s="703"/>
      <c r="D32" s="711"/>
      <c r="E32" s="703"/>
      <c r="F32" s="711"/>
      <c r="H32" t="s">
        <v>842</v>
      </c>
      <c r="I32">
        <f>+J32+K32</f>
        <v>1585.048</v>
      </c>
      <c r="J32">
        <v>394.95499999999998</v>
      </c>
      <c r="K32">
        <v>1190.0930000000001</v>
      </c>
    </row>
    <row r="33" spans="2:11">
      <c r="B33" t="str">
        <f>+B28</f>
        <v>Utility</v>
      </c>
      <c r="C33" s="703">
        <v>109.7</v>
      </c>
      <c r="D33" s="704">
        <f>+C33/C$35</f>
        <v>0.78469241773962795</v>
      </c>
      <c r="E33" s="703">
        <v>69.2</v>
      </c>
      <c r="F33" s="704">
        <f>+E33/E$35</f>
        <v>0.59094790777113582</v>
      </c>
      <c r="H33" t="s">
        <v>843</v>
      </c>
      <c r="I33">
        <f>+J33+K33</f>
        <v>342.34799999999996</v>
      </c>
      <c r="J33" s="713">
        <v>282.23399999999998</v>
      </c>
      <c r="K33">
        <v>60.113999999999997</v>
      </c>
    </row>
    <row r="34" spans="2:11">
      <c r="B34" t="str">
        <f>+B29</f>
        <v>Non-Utility</v>
      </c>
      <c r="C34" s="705">
        <v>30.1</v>
      </c>
      <c r="D34" s="706">
        <f t="shared" ref="D34:F35" si="7">+C34/C$35</f>
        <v>0.21530758226037194</v>
      </c>
      <c r="E34" s="705">
        <v>47.9</v>
      </c>
      <c r="F34" s="706">
        <f t="shared" si="7"/>
        <v>0.40905209222886424</v>
      </c>
      <c r="H34" t="s">
        <v>844</v>
      </c>
      <c r="I34">
        <f t="shared" ref="I34:I35" si="8">+J34+K34</f>
        <v>96.476000000000013</v>
      </c>
      <c r="J34" s="713">
        <v>93.811000000000007</v>
      </c>
      <c r="K34">
        <v>2.665</v>
      </c>
    </row>
    <row r="35" spans="2:11" ht="13.5" thickBot="1">
      <c r="B35" t="str">
        <f>+B30</f>
        <v xml:space="preserve">     TOTAL</v>
      </c>
      <c r="C35" s="709">
        <f>+C34+C33</f>
        <v>139.80000000000001</v>
      </c>
      <c r="D35" s="710">
        <f t="shared" si="7"/>
        <v>1</v>
      </c>
      <c r="E35" s="709">
        <f>+E34+E33</f>
        <v>117.1</v>
      </c>
      <c r="F35" s="710">
        <f t="shared" si="7"/>
        <v>1</v>
      </c>
      <c r="H35" t="s">
        <v>845</v>
      </c>
      <c r="I35">
        <f t="shared" si="8"/>
        <v>135.45499999999998</v>
      </c>
      <c r="J35" s="713">
        <v>124.81399999999999</v>
      </c>
      <c r="K35">
        <v>10.641</v>
      </c>
    </row>
    <row r="36" spans="2:11">
      <c r="H36" t="s">
        <v>846</v>
      </c>
      <c r="I36">
        <f>+J36+K36</f>
        <v>2159.3270000000002</v>
      </c>
      <c r="J36" s="713">
        <f>SUM(J32:J35)</f>
        <v>895.81399999999996</v>
      </c>
      <c r="K36">
        <f>SUM(K32:K35)</f>
        <v>1263.5130000000001</v>
      </c>
    </row>
    <row r="37" spans="2:11">
      <c r="H37" t="s">
        <v>847</v>
      </c>
      <c r="I37">
        <f>+I30-I36</f>
        <v>265.98299999999972</v>
      </c>
      <c r="J37">
        <f t="shared" ref="J37:K37" si="9">+J30-J36</f>
        <v>213.54100000000005</v>
      </c>
      <c r="K37">
        <f t="shared" si="9"/>
        <v>52.44199999999978</v>
      </c>
    </row>
    <row r="38" spans="2:11">
      <c r="J38" s="100">
        <f>+J37/I37</f>
        <v>0.80283702341879093</v>
      </c>
      <c r="K38" s="100">
        <f>+K37/I37</f>
        <v>0.19716297658120946</v>
      </c>
    </row>
  </sheetData>
  <mergeCells count="6">
    <mergeCell ref="C6:D6"/>
    <mergeCell ref="E6:F6"/>
    <mergeCell ref="A5:F5"/>
    <mergeCell ref="C26:D26"/>
    <mergeCell ref="E26:F26"/>
    <mergeCell ref="A25:F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6"/>
  <sheetViews>
    <sheetView view="pageBreakPreview" topLeftCell="A186" zoomScale="90" zoomScaleNormal="100" zoomScaleSheetLayoutView="90" workbookViewId="0">
      <selection activeCell="O110" sqref="O110"/>
    </sheetView>
  </sheetViews>
  <sheetFormatPr defaultRowHeight="12.75"/>
  <cols>
    <col min="1" max="1" width="21.1640625" customWidth="1"/>
    <col min="2" max="2" width="30.83203125" customWidth="1"/>
    <col min="3" max="3" width="11.5" customWidth="1"/>
    <col min="4" max="4" width="22.1640625" customWidth="1"/>
    <col min="5" max="5" width="12.83203125" customWidth="1"/>
    <col min="6" max="6" width="13.33203125" customWidth="1"/>
    <col min="7" max="7" width="8.83203125" customWidth="1"/>
    <col min="8" max="8" width="10.83203125" customWidth="1"/>
    <col min="9" max="9" width="9.83203125" customWidth="1"/>
    <col min="10" max="12" width="10.83203125" customWidth="1"/>
    <col min="14" max="18" width="10.83203125" customWidth="1"/>
    <col min="19" max="19" width="11.83203125" customWidth="1"/>
    <col min="20" max="20" width="10.5" customWidth="1"/>
    <col min="21" max="21" width="13.1640625" customWidth="1"/>
  </cols>
  <sheetData>
    <row r="1" spans="1:21" ht="18" hidden="1">
      <c r="A1" s="630" t="s">
        <v>431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" t="s">
        <v>288</v>
      </c>
      <c r="U1" s="87"/>
    </row>
    <row r="2" spans="1:2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U2" s="87"/>
    </row>
    <row r="3" spans="1:21" ht="16.5" hidden="1" thickBot="1">
      <c r="A3" s="631" t="s">
        <v>432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475" t="s">
        <v>650</v>
      </c>
      <c r="U3" s="87"/>
    </row>
    <row r="4" spans="1:21" ht="13.5" hidden="1" thickBot="1">
      <c r="A4" s="87"/>
      <c r="B4" s="87"/>
      <c r="C4" s="87"/>
      <c r="D4" s="87"/>
      <c r="E4" s="87"/>
      <c r="F4" s="747" t="s">
        <v>433</v>
      </c>
      <c r="G4" s="747"/>
      <c r="H4" s="747"/>
      <c r="I4" s="747"/>
      <c r="J4" s="747"/>
      <c r="K4" s="747"/>
      <c r="L4" s="747" t="s">
        <v>434</v>
      </c>
      <c r="M4" s="747"/>
      <c r="N4" s="747"/>
      <c r="O4" s="747"/>
      <c r="P4" s="747"/>
      <c r="Q4" s="747"/>
      <c r="R4" s="747"/>
      <c r="S4" s="747"/>
      <c r="T4" s="87"/>
      <c r="U4" s="87"/>
    </row>
    <row r="5" spans="1:21" ht="65.25" hidden="1" customHeight="1">
      <c r="A5" s="632" t="s">
        <v>348</v>
      </c>
      <c r="B5" s="632" t="s">
        <v>349</v>
      </c>
      <c r="C5" s="633" t="s">
        <v>435</v>
      </c>
      <c r="D5" s="633" t="s">
        <v>436</v>
      </c>
      <c r="E5" s="633" t="s">
        <v>437</v>
      </c>
      <c r="F5" s="634" t="s">
        <v>242</v>
      </c>
      <c r="G5" s="634" t="s">
        <v>438</v>
      </c>
      <c r="H5" s="634" t="s">
        <v>439</v>
      </c>
      <c r="I5" s="634" t="s">
        <v>351</v>
      </c>
      <c r="J5" s="634" t="s">
        <v>440</v>
      </c>
      <c r="K5" s="634" t="s">
        <v>441</v>
      </c>
      <c r="L5" s="634" t="s">
        <v>242</v>
      </c>
      <c r="M5" s="634" t="s">
        <v>350</v>
      </c>
      <c r="N5" s="634" t="s">
        <v>442</v>
      </c>
      <c r="O5" s="634" t="s">
        <v>351</v>
      </c>
      <c r="P5" s="634" t="s">
        <v>440</v>
      </c>
      <c r="Q5" s="634" t="s">
        <v>443</v>
      </c>
      <c r="R5" s="634" t="s">
        <v>444</v>
      </c>
      <c r="S5" s="634" t="s">
        <v>445</v>
      </c>
      <c r="T5" s="634" t="s">
        <v>446</v>
      </c>
      <c r="U5" s="87"/>
    </row>
    <row r="6" spans="1:21" ht="12.75" hidden="1" customHeight="1">
      <c r="A6" s="635" t="s">
        <v>406</v>
      </c>
      <c r="B6" s="635" t="s">
        <v>447</v>
      </c>
      <c r="C6" s="635" t="s">
        <v>148</v>
      </c>
      <c r="D6" s="635" t="s">
        <v>448</v>
      </c>
      <c r="E6" s="635" t="s">
        <v>449</v>
      </c>
      <c r="F6" s="635" t="s">
        <v>450</v>
      </c>
      <c r="G6" s="636">
        <v>5.6</v>
      </c>
      <c r="H6" s="637">
        <v>8.1999999999999993</v>
      </c>
      <c r="I6" s="637">
        <v>10.85</v>
      </c>
      <c r="J6" s="637">
        <v>53.84</v>
      </c>
      <c r="K6" s="637">
        <v>60.71</v>
      </c>
      <c r="L6" s="635" t="s">
        <v>451</v>
      </c>
      <c r="M6" s="636">
        <v>3.6</v>
      </c>
      <c r="N6" s="637">
        <v>7.53</v>
      </c>
      <c r="O6" s="638">
        <v>9.6</v>
      </c>
      <c r="P6" s="637">
        <v>53.84</v>
      </c>
      <c r="Q6" s="635" t="s">
        <v>452</v>
      </c>
      <c r="R6" s="637">
        <v>60.54</v>
      </c>
      <c r="S6" s="635" t="s">
        <v>38</v>
      </c>
      <c r="T6" s="639">
        <v>6</v>
      </c>
      <c r="U6" s="87"/>
    </row>
    <row r="7" spans="1:21" ht="12.75" hidden="1" customHeight="1">
      <c r="A7" s="635" t="s">
        <v>382</v>
      </c>
      <c r="B7" s="635" t="s">
        <v>387</v>
      </c>
      <c r="C7" s="635" t="s">
        <v>453</v>
      </c>
      <c r="D7" s="635" t="s">
        <v>454</v>
      </c>
      <c r="E7" s="635" t="s">
        <v>449</v>
      </c>
      <c r="F7" s="635" t="s">
        <v>455</v>
      </c>
      <c r="G7" s="636">
        <v>0</v>
      </c>
      <c r="H7" s="637" t="s">
        <v>167</v>
      </c>
      <c r="I7" s="637" t="s">
        <v>167</v>
      </c>
      <c r="J7" s="637" t="s">
        <v>167</v>
      </c>
      <c r="K7" s="637" t="s">
        <v>167</v>
      </c>
      <c r="L7" s="635" t="s">
        <v>456</v>
      </c>
      <c r="M7" s="636">
        <v>0</v>
      </c>
      <c r="N7" s="637" t="s">
        <v>167</v>
      </c>
      <c r="O7" s="638" t="s">
        <v>167</v>
      </c>
      <c r="P7" s="637" t="s">
        <v>167</v>
      </c>
      <c r="Q7" s="635" t="s">
        <v>457</v>
      </c>
      <c r="R7" s="637" t="s">
        <v>167</v>
      </c>
      <c r="S7" s="635" t="s">
        <v>167</v>
      </c>
      <c r="T7" s="639">
        <v>3</v>
      </c>
      <c r="U7" s="87"/>
    </row>
    <row r="8" spans="1:21" ht="12.75" hidden="1" customHeight="1">
      <c r="A8" s="635" t="s">
        <v>389</v>
      </c>
      <c r="B8" s="635" t="s">
        <v>403</v>
      </c>
      <c r="C8" s="635" t="s">
        <v>11</v>
      </c>
      <c r="D8" s="635" t="s">
        <v>458</v>
      </c>
      <c r="E8" s="635" t="s">
        <v>449</v>
      </c>
      <c r="F8" s="635" t="s">
        <v>459</v>
      </c>
      <c r="G8" s="636">
        <v>58.4</v>
      </c>
      <c r="H8" s="637">
        <v>8.3699999999999992</v>
      </c>
      <c r="I8" s="637">
        <v>10.5</v>
      </c>
      <c r="J8" s="637">
        <v>56.7</v>
      </c>
      <c r="K8" s="637">
        <v>944.34</v>
      </c>
      <c r="L8" s="635" t="s">
        <v>460</v>
      </c>
      <c r="M8" s="636">
        <v>14.8</v>
      </c>
      <c r="N8" s="637" t="s">
        <v>167</v>
      </c>
      <c r="O8" s="638" t="s">
        <v>167</v>
      </c>
      <c r="P8" s="637" t="s">
        <v>167</v>
      </c>
      <c r="Q8" s="635" t="s">
        <v>167</v>
      </c>
      <c r="R8" s="637" t="s">
        <v>167</v>
      </c>
      <c r="S8" s="635" t="s">
        <v>167</v>
      </c>
      <c r="T8" s="639">
        <v>6</v>
      </c>
      <c r="U8" s="87"/>
    </row>
    <row r="9" spans="1:21" ht="12.75" hidden="1" customHeight="1">
      <c r="A9" s="635" t="s">
        <v>386</v>
      </c>
      <c r="B9" s="635" t="s">
        <v>399</v>
      </c>
      <c r="C9" s="635" t="s">
        <v>187</v>
      </c>
      <c r="D9" s="635" t="s">
        <v>461</v>
      </c>
      <c r="E9" s="635" t="s">
        <v>449</v>
      </c>
      <c r="F9" s="635" t="s">
        <v>462</v>
      </c>
      <c r="G9" s="636">
        <v>-1.2</v>
      </c>
      <c r="H9" s="637">
        <v>7.8</v>
      </c>
      <c r="I9" s="637">
        <v>9.8000000000000007</v>
      </c>
      <c r="J9" s="637">
        <v>48</v>
      </c>
      <c r="K9" s="637">
        <v>1592.3</v>
      </c>
      <c r="L9" s="635" t="s">
        <v>463</v>
      </c>
      <c r="M9" s="636">
        <v>9.1</v>
      </c>
      <c r="N9" s="637">
        <v>7.77</v>
      </c>
      <c r="O9" s="638">
        <v>9.8000000000000007</v>
      </c>
      <c r="P9" s="637">
        <v>48</v>
      </c>
      <c r="Q9" s="635" t="s">
        <v>464</v>
      </c>
      <c r="R9" s="637">
        <v>1592.3</v>
      </c>
      <c r="S9" s="635" t="s">
        <v>465</v>
      </c>
      <c r="T9" s="639">
        <v>4</v>
      </c>
      <c r="U9" s="87"/>
    </row>
    <row r="10" spans="1:21" ht="12.75" hidden="1" customHeight="1">
      <c r="A10" s="635" t="s">
        <v>362</v>
      </c>
      <c r="B10" s="635" t="s">
        <v>390</v>
      </c>
      <c r="C10" s="635" t="s">
        <v>298</v>
      </c>
      <c r="D10" s="635" t="s">
        <v>466</v>
      </c>
      <c r="E10" s="635" t="s">
        <v>449</v>
      </c>
      <c r="F10" s="635" t="s">
        <v>467</v>
      </c>
      <c r="G10" s="636">
        <v>9.6</v>
      </c>
      <c r="H10" s="637">
        <v>7.12</v>
      </c>
      <c r="I10" s="637">
        <v>10</v>
      </c>
      <c r="J10" s="637">
        <v>50.32</v>
      </c>
      <c r="K10" s="637">
        <v>209.12</v>
      </c>
      <c r="L10" s="635" t="s">
        <v>468</v>
      </c>
      <c r="M10" s="636">
        <v>6.6</v>
      </c>
      <c r="N10" s="637">
        <v>6.72</v>
      </c>
      <c r="O10" s="638">
        <v>9.2799999999999994</v>
      </c>
      <c r="P10" s="637">
        <v>50.32</v>
      </c>
      <c r="Q10" s="635" t="s">
        <v>469</v>
      </c>
      <c r="R10" s="637">
        <v>199.97</v>
      </c>
      <c r="S10" s="635" t="s">
        <v>38</v>
      </c>
      <c r="T10" s="639">
        <v>10</v>
      </c>
      <c r="U10" s="87"/>
    </row>
    <row r="11" spans="1:21" ht="12.75" hidden="1" customHeight="1">
      <c r="A11" s="635" t="s">
        <v>362</v>
      </c>
      <c r="B11" s="635" t="s">
        <v>391</v>
      </c>
      <c r="C11" s="635" t="s">
        <v>298</v>
      </c>
      <c r="D11" s="635" t="s">
        <v>470</v>
      </c>
      <c r="E11" s="635" t="s">
        <v>449</v>
      </c>
      <c r="F11" s="635" t="s">
        <v>467</v>
      </c>
      <c r="G11" s="636">
        <v>97.8</v>
      </c>
      <c r="H11" s="637">
        <v>7.07</v>
      </c>
      <c r="I11" s="637">
        <v>10</v>
      </c>
      <c r="J11" s="637">
        <v>50.43</v>
      </c>
      <c r="K11" s="637">
        <v>1659.27</v>
      </c>
      <c r="L11" s="635" t="s">
        <v>468</v>
      </c>
      <c r="M11" s="636">
        <v>57.2</v>
      </c>
      <c r="N11" s="637">
        <v>6.67</v>
      </c>
      <c r="O11" s="638">
        <v>9.2799999999999994</v>
      </c>
      <c r="P11" s="637">
        <v>50.43</v>
      </c>
      <c r="Q11" s="635" t="s">
        <v>469</v>
      </c>
      <c r="R11" s="637">
        <v>1470.2</v>
      </c>
      <c r="S11" s="635" t="s">
        <v>38</v>
      </c>
      <c r="T11" s="639">
        <v>10</v>
      </c>
      <c r="U11" s="87"/>
    </row>
    <row r="12" spans="1:21" ht="12.75" hidden="1" customHeight="1">
      <c r="A12" s="635" t="s">
        <v>363</v>
      </c>
      <c r="B12" s="635" t="s">
        <v>430</v>
      </c>
      <c r="C12" s="635" t="s">
        <v>187</v>
      </c>
      <c r="D12" s="635" t="s">
        <v>471</v>
      </c>
      <c r="E12" s="635" t="s">
        <v>449</v>
      </c>
      <c r="F12" s="635" t="s">
        <v>472</v>
      </c>
      <c r="G12" s="636">
        <v>0</v>
      </c>
      <c r="H12" s="637">
        <v>6.98</v>
      </c>
      <c r="I12" s="637">
        <v>9.4</v>
      </c>
      <c r="J12" s="637">
        <v>48</v>
      </c>
      <c r="K12" s="637">
        <v>2276.96</v>
      </c>
      <c r="L12" s="635" t="s">
        <v>473</v>
      </c>
      <c r="M12" s="636">
        <v>0</v>
      </c>
      <c r="N12" s="637">
        <v>6.98</v>
      </c>
      <c r="O12" s="638">
        <v>9.4</v>
      </c>
      <c r="P12" s="637">
        <v>48</v>
      </c>
      <c r="Q12" s="635" t="s">
        <v>469</v>
      </c>
      <c r="R12" s="637">
        <v>2276.96</v>
      </c>
      <c r="S12" s="635" t="s">
        <v>38</v>
      </c>
      <c r="T12" s="639">
        <v>3</v>
      </c>
      <c r="U12" s="87"/>
    </row>
    <row r="13" spans="1:21" ht="12.75" hidden="1" customHeight="1">
      <c r="A13" s="635" t="s">
        <v>359</v>
      </c>
      <c r="B13" s="635" t="s">
        <v>404</v>
      </c>
      <c r="C13" s="635" t="s">
        <v>148</v>
      </c>
      <c r="D13" s="635" t="s">
        <v>474</v>
      </c>
      <c r="E13" s="635" t="s">
        <v>449</v>
      </c>
      <c r="F13" s="635" t="s">
        <v>475</v>
      </c>
      <c r="G13" s="636">
        <v>77.3</v>
      </c>
      <c r="H13" s="637">
        <v>8.52</v>
      </c>
      <c r="I13" s="637">
        <v>11.25</v>
      </c>
      <c r="J13" s="637">
        <v>52.32</v>
      </c>
      <c r="K13" s="637">
        <v>1011.68</v>
      </c>
      <c r="L13" s="635" t="s">
        <v>476</v>
      </c>
      <c r="M13" s="636">
        <v>55.3</v>
      </c>
      <c r="N13" s="637" t="s">
        <v>167</v>
      </c>
      <c r="O13" s="638" t="s">
        <v>167</v>
      </c>
      <c r="P13" s="637" t="s">
        <v>167</v>
      </c>
      <c r="Q13" s="635" t="s">
        <v>167</v>
      </c>
      <c r="R13" s="637" t="s">
        <v>167</v>
      </c>
      <c r="S13" s="635" t="s">
        <v>167</v>
      </c>
      <c r="T13" s="639">
        <v>7</v>
      </c>
      <c r="U13" s="87"/>
    </row>
    <row r="14" spans="1:21" ht="12.75" hidden="1" customHeight="1">
      <c r="A14" s="635" t="s">
        <v>429</v>
      </c>
      <c r="B14" s="635" t="s">
        <v>477</v>
      </c>
      <c r="C14" s="635" t="s">
        <v>101</v>
      </c>
      <c r="D14" s="635" t="s">
        <v>478</v>
      </c>
      <c r="E14" s="635" t="s">
        <v>449</v>
      </c>
      <c r="F14" s="635" t="s">
        <v>479</v>
      </c>
      <c r="G14" s="636">
        <v>28.2</v>
      </c>
      <c r="H14" s="637">
        <v>8.91</v>
      </c>
      <c r="I14" s="637">
        <v>10.9</v>
      </c>
      <c r="J14" s="637">
        <v>59.3</v>
      </c>
      <c r="K14" s="637">
        <v>206.86</v>
      </c>
      <c r="L14" s="635" t="s">
        <v>480</v>
      </c>
      <c r="M14" s="636">
        <v>8.4</v>
      </c>
      <c r="N14" s="637">
        <v>7.93</v>
      </c>
      <c r="O14" s="638">
        <v>9.25</v>
      </c>
      <c r="P14" s="637">
        <v>59.3</v>
      </c>
      <c r="Q14" s="635" t="s">
        <v>481</v>
      </c>
      <c r="R14" s="637">
        <v>201.57</v>
      </c>
      <c r="S14" s="635" t="s">
        <v>38</v>
      </c>
      <c r="T14" s="639">
        <v>14</v>
      </c>
      <c r="U14" s="87"/>
    </row>
    <row r="15" spans="1:21" ht="12.75" hidden="1" customHeight="1">
      <c r="A15" s="635" t="s">
        <v>415</v>
      </c>
      <c r="B15" s="635" t="s">
        <v>482</v>
      </c>
      <c r="C15" s="635" t="s">
        <v>304</v>
      </c>
      <c r="D15" s="635" t="s">
        <v>483</v>
      </c>
      <c r="E15" s="635" t="s">
        <v>449</v>
      </c>
      <c r="F15" s="635" t="s">
        <v>484</v>
      </c>
      <c r="G15" s="636">
        <v>37.299999999999997</v>
      </c>
      <c r="H15" s="637" t="s">
        <v>167</v>
      </c>
      <c r="I15" s="637" t="s">
        <v>167</v>
      </c>
      <c r="J15" s="637" t="s">
        <v>167</v>
      </c>
      <c r="K15" s="637">
        <v>524.59</v>
      </c>
      <c r="L15" s="635" t="s">
        <v>485</v>
      </c>
      <c r="M15" s="636">
        <v>8.1999999999999993</v>
      </c>
      <c r="N15" s="637" t="s">
        <v>167</v>
      </c>
      <c r="O15" s="638" t="s">
        <v>167</v>
      </c>
      <c r="P15" s="637" t="s">
        <v>167</v>
      </c>
      <c r="Q15" s="635" t="s">
        <v>486</v>
      </c>
      <c r="R15" s="637">
        <v>497.58</v>
      </c>
      <c r="S15" s="635" t="s">
        <v>38</v>
      </c>
      <c r="T15" s="639">
        <v>29</v>
      </c>
      <c r="U15" s="87"/>
    </row>
    <row r="16" spans="1:21" ht="12.75" hidden="1" customHeight="1">
      <c r="A16" s="635" t="s">
        <v>415</v>
      </c>
      <c r="B16" s="635" t="s">
        <v>487</v>
      </c>
      <c r="C16" s="635" t="s">
        <v>304</v>
      </c>
      <c r="D16" s="635" t="s">
        <v>488</v>
      </c>
      <c r="E16" s="635" t="s">
        <v>449</v>
      </c>
      <c r="F16" s="635" t="s">
        <v>484</v>
      </c>
      <c r="G16" s="636">
        <v>239</v>
      </c>
      <c r="H16" s="637" t="s">
        <v>167</v>
      </c>
      <c r="I16" s="637" t="s">
        <v>167</v>
      </c>
      <c r="J16" s="637" t="s">
        <v>167</v>
      </c>
      <c r="K16" s="637">
        <v>3622.43</v>
      </c>
      <c r="L16" s="635" t="s">
        <v>485</v>
      </c>
      <c r="M16" s="636">
        <v>84.8</v>
      </c>
      <c r="N16" s="637" t="s">
        <v>167</v>
      </c>
      <c r="O16" s="638" t="s">
        <v>167</v>
      </c>
      <c r="P16" s="637" t="s">
        <v>167</v>
      </c>
      <c r="Q16" s="635" t="s">
        <v>486</v>
      </c>
      <c r="R16" s="637">
        <v>3443.86</v>
      </c>
      <c r="S16" s="635" t="s">
        <v>38</v>
      </c>
      <c r="T16" s="639">
        <v>29</v>
      </c>
      <c r="U16" s="87"/>
    </row>
    <row r="17" spans="1:21" ht="12.75" hidden="1" customHeight="1">
      <c r="A17" s="635" t="s">
        <v>389</v>
      </c>
      <c r="B17" s="635" t="s">
        <v>393</v>
      </c>
      <c r="C17" s="635" t="s">
        <v>11</v>
      </c>
      <c r="D17" s="635" t="s">
        <v>489</v>
      </c>
      <c r="E17" s="635" t="s">
        <v>449</v>
      </c>
      <c r="F17" s="635" t="s">
        <v>490</v>
      </c>
      <c r="G17" s="636">
        <v>1.7</v>
      </c>
      <c r="H17" s="637" t="s">
        <v>167</v>
      </c>
      <c r="I17" s="637" t="s">
        <v>167</v>
      </c>
      <c r="J17" s="637" t="s">
        <v>167</v>
      </c>
      <c r="K17" s="637">
        <v>53</v>
      </c>
      <c r="L17" s="635" t="s">
        <v>491</v>
      </c>
      <c r="M17" s="636">
        <v>1.7</v>
      </c>
      <c r="N17" s="637" t="s">
        <v>167</v>
      </c>
      <c r="O17" s="638" t="s">
        <v>167</v>
      </c>
      <c r="P17" s="637" t="s">
        <v>167</v>
      </c>
      <c r="Q17" s="635" t="s">
        <v>167</v>
      </c>
      <c r="R17" s="637" t="s">
        <v>167</v>
      </c>
      <c r="S17" s="635" t="s">
        <v>167</v>
      </c>
      <c r="T17" s="639">
        <v>2</v>
      </c>
      <c r="U17" s="87"/>
    </row>
    <row r="18" spans="1:21" ht="12.75" hidden="1" customHeight="1">
      <c r="A18" s="635" t="s">
        <v>408</v>
      </c>
      <c r="B18" s="635" t="s">
        <v>492</v>
      </c>
      <c r="C18" s="635" t="s">
        <v>493</v>
      </c>
      <c r="D18" s="635" t="s">
        <v>494</v>
      </c>
      <c r="E18" s="635" t="s">
        <v>449</v>
      </c>
      <c r="F18" s="635" t="s">
        <v>475</v>
      </c>
      <c r="G18" s="636">
        <v>15.5</v>
      </c>
      <c r="H18" s="637">
        <v>7.81</v>
      </c>
      <c r="I18" s="637">
        <v>10.5</v>
      </c>
      <c r="J18" s="637">
        <v>47.65</v>
      </c>
      <c r="K18" s="637">
        <v>309.47000000000003</v>
      </c>
      <c r="L18" s="635" t="s">
        <v>495</v>
      </c>
      <c r="M18" s="636">
        <v>11.5</v>
      </c>
      <c r="N18" s="637" t="s">
        <v>167</v>
      </c>
      <c r="O18" s="638">
        <v>9.8000000000000007</v>
      </c>
      <c r="P18" s="637" t="s">
        <v>167</v>
      </c>
      <c r="Q18" s="635" t="s">
        <v>167</v>
      </c>
      <c r="R18" s="637" t="s">
        <v>167</v>
      </c>
      <c r="S18" s="635" t="s">
        <v>167</v>
      </c>
      <c r="T18" s="639">
        <v>6</v>
      </c>
      <c r="U18" s="87"/>
    </row>
    <row r="19" spans="1:21" ht="12.75" hidden="1" customHeight="1">
      <c r="A19" s="635" t="s">
        <v>372</v>
      </c>
      <c r="B19" s="635" t="s">
        <v>373</v>
      </c>
      <c r="C19" s="635" t="s">
        <v>496</v>
      </c>
      <c r="D19" s="635" t="s">
        <v>497</v>
      </c>
      <c r="E19" s="635" t="s">
        <v>449</v>
      </c>
      <c r="F19" s="635" t="s">
        <v>498</v>
      </c>
      <c r="G19" s="636">
        <v>4.5999999999999996</v>
      </c>
      <c r="H19" s="637">
        <v>8.4600000000000009</v>
      </c>
      <c r="I19" s="637">
        <v>10.9</v>
      </c>
      <c r="J19" s="637">
        <v>50</v>
      </c>
      <c r="K19" s="637">
        <v>110.93</v>
      </c>
      <c r="L19" s="635" t="s">
        <v>499</v>
      </c>
      <c r="M19" s="636">
        <v>4.4000000000000004</v>
      </c>
      <c r="N19" s="637">
        <v>7.91</v>
      </c>
      <c r="O19" s="638">
        <v>9.8000000000000007</v>
      </c>
      <c r="P19" s="637">
        <v>50</v>
      </c>
      <c r="Q19" s="635" t="s">
        <v>464</v>
      </c>
      <c r="R19" s="637">
        <v>116.1</v>
      </c>
      <c r="S19" s="635" t="s">
        <v>38</v>
      </c>
      <c r="T19" s="639">
        <v>5</v>
      </c>
      <c r="U19" s="87"/>
    </row>
    <row r="20" spans="1:21" ht="12.75" hidden="1" customHeight="1">
      <c r="A20" s="635" t="s">
        <v>363</v>
      </c>
      <c r="B20" s="635" t="s">
        <v>364</v>
      </c>
      <c r="C20" s="635" t="s">
        <v>187</v>
      </c>
      <c r="D20" s="635" t="s">
        <v>500</v>
      </c>
      <c r="E20" s="635" t="s">
        <v>449</v>
      </c>
      <c r="F20" s="635" t="s">
        <v>501</v>
      </c>
      <c r="G20" s="636">
        <v>29</v>
      </c>
      <c r="H20" s="637">
        <v>7.38</v>
      </c>
      <c r="I20" s="637">
        <v>10.55</v>
      </c>
      <c r="J20" s="637">
        <v>51.36</v>
      </c>
      <c r="K20" s="637">
        <v>1085.3599999999999</v>
      </c>
      <c r="L20" s="635" t="s">
        <v>502</v>
      </c>
      <c r="M20" s="636">
        <v>-3.3</v>
      </c>
      <c r="N20" s="637">
        <v>6.5</v>
      </c>
      <c r="O20" s="638">
        <v>9.3000000000000007</v>
      </c>
      <c r="P20" s="637">
        <v>48</v>
      </c>
      <c r="Q20" s="635" t="s">
        <v>503</v>
      </c>
      <c r="R20" s="637">
        <v>1086</v>
      </c>
      <c r="S20" s="635" t="s">
        <v>38</v>
      </c>
      <c r="T20" s="639">
        <v>10</v>
      </c>
      <c r="U20" s="87"/>
    </row>
    <row r="21" spans="1:21" ht="12.75" hidden="1" customHeight="1">
      <c r="A21" s="635" t="s">
        <v>389</v>
      </c>
      <c r="B21" s="635" t="s">
        <v>403</v>
      </c>
      <c r="C21" s="635" t="s">
        <v>11</v>
      </c>
      <c r="D21" s="635" t="s">
        <v>504</v>
      </c>
      <c r="E21" s="635" t="s">
        <v>449</v>
      </c>
      <c r="F21" s="635" t="s">
        <v>505</v>
      </c>
      <c r="G21" s="636">
        <v>6.2</v>
      </c>
      <c r="H21" s="637" t="s">
        <v>167</v>
      </c>
      <c r="I21" s="637" t="s">
        <v>167</v>
      </c>
      <c r="J21" s="637" t="s">
        <v>167</v>
      </c>
      <c r="K21" s="637">
        <v>96.2</v>
      </c>
      <c r="L21" s="635" t="s">
        <v>506</v>
      </c>
      <c r="M21" s="636">
        <v>4.8</v>
      </c>
      <c r="N21" s="637" t="s">
        <v>167</v>
      </c>
      <c r="O21" s="638" t="s">
        <v>167</v>
      </c>
      <c r="P21" s="637" t="s">
        <v>167</v>
      </c>
      <c r="Q21" s="635" t="s">
        <v>167</v>
      </c>
      <c r="R21" s="637" t="s">
        <v>167</v>
      </c>
      <c r="S21" s="635" t="s">
        <v>167</v>
      </c>
      <c r="T21" s="639">
        <v>2</v>
      </c>
      <c r="U21" s="87"/>
    </row>
    <row r="22" spans="1:21" ht="12.75" hidden="1" customHeight="1">
      <c r="A22" s="635" t="s">
        <v>412</v>
      </c>
      <c r="B22" s="635" t="s">
        <v>395</v>
      </c>
      <c r="C22" s="635" t="s">
        <v>187</v>
      </c>
      <c r="D22" s="635" t="s">
        <v>507</v>
      </c>
      <c r="E22" s="635" t="s">
        <v>449</v>
      </c>
      <c r="F22" s="635" t="s">
        <v>508</v>
      </c>
      <c r="G22" s="636">
        <v>0</v>
      </c>
      <c r="H22" s="637" t="s">
        <v>167</v>
      </c>
      <c r="I22" s="637" t="s">
        <v>167</v>
      </c>
      <c r="J22" s="637" t="s">
        <v>167</v>
      </c>
      <c r="K22" s="637" t="s">
        <v>167</v>
      </c>
      <c r="L22" s="635" t="s">
        <v>509</v>
      </c>
      <c r="M22" s="636">
        <v>0</v>
      </c>
      <c r="N22" s="637" t="s">
        <v>167</v>
      </c>
      <c r="O22" s="638" t="s">
        <v>167</v>
      </c>
      <c r="P22" s="637" t="s">
        <v>167</v>
      </c>
      <c r="Q22" s="635" t="s">
        <v>167</v>
      </c>
      <c r="R22" s="637" t="s">
        <v>167</v>
      </c>
      <c r="S22" s="635" t="s">
        <v>167</v>
      </c>
      <c r="T22" s="639">
        <v>5</v>
      </c>
      <c r="U22" s="87"/>
    </row>
    <row r="23" spans="1:21" ht="12.75" hidden="1" customHeight="1">
      <c r="A23" s="635" t="s">
        <v>406</v>
      </c>
      <c r="B23" s="635" t="s">
        <v>407</v>
      </c>
      <c r="C23" s="635" t="s">
        <v>510</v>
      </c>
      <c r="D23" s="635" t="s">
        <v>511</v>
      </c>
      <c r="E23" s="635" t="s">
        <v>449</v>
      </c>
      <c r="F23" s="635" t="s">
        <v>512</v>
      </c>
      <c r="G23" s="636">
        <v>45.6</v>
      </c>
      <c r="H23" s="637">
        <v>7.96</v>
      </c>
      <c r="I23" s="637">
        <v>10.5</v>
      </c>
      <c r="J23" s="637">
        <v>48.4</v>
      </c>
      <c r="K23" s="637">
        <v>1014.28</v>
      </c>
      <c r="L23" s="635" t="s">
        <v>472</v>
      </c>
      <c r="M23" s="636">
        <v>32.4</v>
      </c>
      <c r="N23" s="637">
        <v>7.53</v>
      </c>
      <c r="O23" s="638">
        <v>9.6</v>
      </c>
      <c r="P23" s="637">
        <v>48.4</v>
      </c>
      <c r="Q23" s="635" t="s">
        <v>513</v>
      </c>
      <c r="R23" s="637">
        <v>975.86</v>
      </c>
      <c r="S23" s="635" t="s">
        <v>38</v>
      </c>
      <c r="T23" s="639">
        <v>7</v>
      </c>
      <c r="U23" s="87"/>
    </row>
    <row r="24" spans="1:21" ht="12.75" hidden="1" customHeight="1">
      <c r="A24" s="635" t="s">
        <v>386</v>
      </c>
      <c r="B24" s="635" t="s">
        <v>373</v>
      </c>
      <c r="C24" s="635" t="s">
        <v>496</v>
      </c>
      <c r="D24" s="635" t="s">
        <v>514</v>
      </c>
      <c r="E24" s="635" t="s">
        <v>449</v>
      </c>
      <c r="F24" s="635" t="s">
        <v>515</v>
      </c>
      <c r="G24" s="636">
        <v>10.1</v>
      </c>
      <c r="H24" s="637">
        <v>8.25</v>
      </c>
      <c r="I24" s="637">
        <v>10.9</v>
      </c>
      <c r="J24" s="637">
        <v>48.4</v>
      </c>
      <c r="K24" s="637">
        <v>210</v>
      </c>
      <c r="L24" s="635" t="s">
        <v>516</v>
      </c>
      <c r="M24" s="636">
        <v>6.7</v>
      </c>
      <c r="N24" s="637">
        <v>7.64</v>
      </c>
      <c r="O24" s="637">
        <v>9.8000000000000007</v>
      </c>
      <c r="P24" s="637">
        <v>47</v>
      </c>
      <c r="Q24" s="635" t="s">
        <v>517</v>
      </c>
      <c r="R24" s="637" t="s">
        <v>167</v>
      </c>
      <c r="S24" s="635" t="s">
        <v>167</v>
      </c>
      <c r="T24" s="639">
        <v>8</v>
      </c>
      <c r="U24" s="87"/>
    </row>
    <row r="25" spans="1:21" ht="12.75" hidden="1" customHeight="1">
      <c r="A25" s="635" t="s">
        <v>415</v>
      </c>
      <c r="B25" s="635" t="s">
        <v>416</v>
      </c>
      <c r="C25" s="635" t="s">
        <v>518</v>
      </c>
      <c r="D25" s="635" t="s">
        <v>519</v>
      </c>
      <c r="E25" s="635" t="s">
        <v>449</v>
      </c>
      <c r="F25" s="635" t="s">
        <v>520</v>
      </c>
      <c r="G25" s="636">
        <v>-23</v>
      </c>
      <c r="H25" s="637">
        <v>8.4499999999999993</v>
      </c>
      <c r="I25" s="637">
        <v>11</v>
      </c>
      <c r="J25" s="637">
        <v>52</v>
      </c>
      <c r="K25" s="637" t="s">
        <v>167</v>
      </c>
      <c r="L25" s="635" t="s">
        <v>521</v>
      </c>
      <c r="M25" s="636">
        <v>-55.8</v>
      </c>
      <c r="N25" s="637">
        <v>8.06</v>
      </c>
      <c r="O25" s="637">
        <v>10.4</v>
      </c>
      <c r="P25" s="637">
        <v>52</v>
      </c>
      <c r="Q25" s="635" t="s">
        <v>469</v>
      </c>
      <c r="R25" s="637" t="s">
        <v>167</v>
      </c>
      <c r="S25" s="635" t="s">
        <v>167</v>
      </c>
      <c r="T25" s="639">
        <v>8</v>
      </c>
      <c r="U25" s="87"/>
    </row>
    <row r="26" spans="1:21" ht="12.75" hidden="1" customHeight="1">
      <c r="A26" s="635" t="s">
        <v>415</v>
      </c>
      <c r="B26" s="635" t="s">
        <v>482</v>
      </c>
      <c r="C26" s="635" t="s">
        <v>304</v>
      </c>
      <c r="D26" s="635" t="s">
        <v>522</v>
      </c>
      <c r="E26" s="635" t="s">
        <v>449</v>
      </c>
      <c r="F26" s="635" t="s">
        <v>520</v>
      </c>
      <c r="G26" s="636">
        <v>-0.8</v>
      </c>
      <c r="H26" s="637">
        <v>8.1999999999999993</v>
      </c>
      <c r="I26" s="637">
        <v>11</v>
      </c>
      <c r="J26" s="637">
        <v>52</v>
      </c>
      <c r="K26" s="637" t="s">
        <v>167</v>
      </c>
      <c r="L26" s="635" t="s">
        <v>521</v>
      </c>
      <c r="M26" s="636">
        <v>-6</v>
      </c>
      <c r="N26" s="637">
        <v>7.79</v>
      </c>
      <c r="O26" s="637">
        <v>10.3</v>
      </c>
      <c r="P26" s="637">
        <v>52</v>
      </c>
      <c r="Q26" s="635" t="s">
        <v>469</v>
      </c>
      <c r="R26" s="637" t="s">
        <v>167</v>
      </c>
      <c r="S26" s="635" t="s">
        <v>167</v>
      </c>
      <c r="T26" s="639">
        <v>8</v>
      </c>
      <c r="U26" s="87"/>
    </row>
    <row r="27" spans="1:21" ht="12.75" hidden="1" customHeight="1">
      <c r="A27" s="635" t="s">
        <v>415</v>
      </c>
      <c r="B27" s="635" t="s">
        <v>487</v>
      </c>
      <c r="C27" s="635" t="s">
        <v>304</v>
      </c>
      <c r="D27" s="635" t="s">
        <v>523</v>
      </c>
      <c r="E27" s="635" t="s">
        <v>449</v>
      </c>
      <c r="F27" s="635" t="s">
        <v>520</v>
      </c>
      <c r="G27" s="636">
        <v>-1.4</v>
      </c>
      <c r="H27" s="637">
        <v>8.42</v>
      </c>
      <c r="I27" s="637">
        <v>10.9</v>
      </c>
      <c r="J27" s="637">
        <v>52</v>
      </c>
      <c r="K27" s="637" t="s">
        <v>167</v>
      </c>
      <c r="L27" s="635" t="s">
        <v>521</v>
      </c>
      <c r="M27" s="636">
        <v>-22</v>
      </c>
      <c r="N27" s="637">
        <v>8.02</v>
      </c>
      <c r="O27" s="637">
        <v>10.1</v>
      </c>
      <c r="P27" s="637">
        <v>52</v>
      </c>
      <c r="Q27" s="635" t="s">
        <v>469</v>
      </c>
      <c r="R27" s="637" t="s">
        <v>167</v>
      </c>
      <c r="S27" s="635" t="s">
        <v>167</v>
      </c>
      <c r="T27" s="639">
        <v>8</v>
      </c>
      <c r="U27" s="87"/>
    </row>
    <row r="28" spans="1:21" ht="12.75" hidden="1" customHeight="1">
      <c r="A28" s="635" t="s">
        <v>357</v>
      </c>
      <c r="B28" s="635" t="s">
        <v>358</v>
      </c>
      <c r="C28" s="635" t="s">
        <v>524</v>
      </c>
      <c r="D28" s="635" t="s">
        <v>525</v>
      </c>
      <c r="E28" s="635" t="s">
        <v>449</v>
      </c>
      <c r="F28" s="635" t="s">
        <v>526</v>
      </c>
      <c r="G28" s="636">
        <v>17.2</v>
      </c>
      <c r="H28" s="637">
        <v>7.8</v>
      </c>
      <c r="I28" s="637">
        <v>11</v>
      </c>
      <c r="J28" s="637">
        <v>55.64</v>
      </c>
      <c r="K28" s="637">
        <v>523.75</v>
      </c>
      <c r="L28" s="635" t="s">
        <v>521</v>
      </c>
      <c r="M28" s="636">
        <v>15</v>
      </c>
      <c r="N28" s="637" t="s">
        <v>167</v>
      </c>
      <c r="O28" s="637">
        <v>10.25</v>
      </c>
      <c r="P28" s="637" t="s">
        <v>167</v>
      </c>
      <c r="Q28" s="635" t="s">
        <v>527</v>
      </c>
      <c r="R28" s="637" t="s">
        <v>167</v>
      </c>
      <c r="S28" s="635" t="s">
        <v>167</v>
      </c>
      <c r="T28" s="639">
        <v>5</v>
      </c>
      <c r="U28" s="87"/>
    </row>
    <row r="29" spans="1:21" ht="12.75" hidden="1" customHeight="1">
      <c r="A29" s="635" t="s">
        <v>353</v>
      </c>
      <c r="B29" s="635" t="s">
        <v>528</v>
      </c>
      <c r="C29" s="635" t="s">
        <v>529</v>
      </c>
      <c r="D29" s="635" t="s">
        <v>530</v>
      </c>
      <c r="E29" s="635" t="s">
        <v>449</v>
      </c>
      <c r="F29" s="635" t="s">
        <v>520</v>
      </c>
      <c r="G29" s="636">
        <v>76.7</v>
      </c>
      <c r="H29" s="637">
        <v>6.48</v>
      </c>
      <c r="I29" s="637">
        <v>11</v>
      </c>
      <c r="J29" s="637">
        <v>38.32</v>
      </c>
      <c r="K29" s="637">
        <v>2743.86</v>
      </c>
      <c r="L29" s="635" t="s">
        <v>521</v>
      </c>
      <c r="M29" s="636">
        <v>19.899999999999999</v>
      </c>
      <c r="N29" s="637" t="s">
        <v>167</v>
      </c>
      <c r="O29" s="637">
        <v>10.5</v>
      </c>
      <c r="P29" s="637" t="s">
        <v>167</v>
      </c>
      <c r="Q29" s="635" t="s">
        <v>531</v>
      </c>
      <c r="R29" s="637" t="s">
        <v>167</v>
      </c>
      <c r="S29" s="635" t="s">
        <v>167</v>
      </c>
      <c r="T29" s="639">
        <v>8</v>
      </c>
      <c r="U29" s="87"/>
    </row>
    <row r="30" spans="1:21" ht="12.75" hidden="1" customHeight="1">
      <c r="A30" s="635" t="s">
        <v>428</v>
      </c>
      <c r="B30" s="635" t="s">
        <v>532</v>
      </c>
      <c r="C30" s="635" t="s">
        <v>187</v>
      </c>
      <c r="D30" s="635" t="s">
        <v>533</v>
      </c>
      <c r="E30" s="635" t="s">
        <v>449</v>
      </c>
      <c r="F30" s="635" t="s">
        <v>501</v>
      </c>
      <c r="G30" s="636">
        <v>20</v>
      </c>
      <c r="H30" s="637">
        <v>8.24</v>
      </c>
      <c r="I30" s="637">
        <v>10.75</v>
      </c>
      <c r="J30" s="637">
        <v>49.6</v>
      </c>
      <c r="K30" s="637">
        <v>369.95</v>
      </c>
      <c r="L30" s="635" t="s">
        <v>521</v>
      </c>
      <c r="M30" s="636">
        <v>10.9</v>
      </c>
      <c r="N30" s="637">
        <v>7.54</v>
      </c>
      <c r="O30" s="637">
        <v>9.5</v>
      </c>
      <c r="P30" s="637">
        <v>49.14</v>
      </c>
      <c r="Q30" s="635" t="s">
        <v>517</v>
      </c>
      <c r="R30" s="637">
        <v>372.66</v>
      </c>
      <c r="S30" s="635" t="s">
        <v>38</v>
      </c>
      <c r="T30" s="639">
        <v>7</v>
      </c>
      <c r="U30" s="87"/>
    </row>
    <row r="31" spans="1:21" ht="12.75" hidden="1" customHeight="1">
      <c r="A31" s="635" t="s">
        <v>382</v>
      </c>
      <c r="B31" s="635" t="s">
        <v>534</v>
      </c>
      <c r="C31" s="635" t="s">
        <v>535</v>
      </c>
      <c r="D31" s="635" t="s">
        <v>536</v>
      </c>
      <c r="E31" s="635" t="s">
        <v>449</v>
      </c>
      <c r="F31" s="635" t="s">
        <v>537</v>
      </c>
      <c r="G31" s="636">
        <v>5.3</v>
      </c>
      <c r="H31" s="637">
        <v>8.67</v>
      </c>
      <c r="I31" s="637">
        <v>10.4</v>
      </c>
      <c r="J31" s="637">
        <v>52.39</v>
      </c>
      <c r="K31" s="637">
        <v>84.47</v>
      </c>
      <c r="L31" s="635" t="s">
        <v>538</v>
      </c>
      <c r="M31" s="636">
        <v>2.7</v>
      </c>
      <c r="N31" s="637" t="s">
        <v>167</v>
      </c>
      <c r="O31" s="637">
        <v>10.4</v>
      </c>
      <c r="P31" s="637" t="s">
        <v>167</v>
      </c>
      <c r="Q31" s="635" t="s">
        <v>469</v>
      </c>
      <c r="R31" s="637" t="s">
        <v>167</v>
      </c>
      <c r="S31" s="635" t="s">
        <v>167</v>
      </c>
      <c r="T31" s="639">
        <v>6</v>
      </c>
      <c r="U31" s="87"/>
    </row>
    <row r="32" spans="1:21" ht="12.75" hidden="1" customHeight="1">
      <c r="A32" s="635" t="s">
        <v>402</v>
      </c>
      <c r="B32" s="635" t="s">
        <v>381</v>
      </c>
      <c r="C32" s="635" t="s">
        <v>300</v>
      </c>
      <c r="D32" s="635" t="s">
        <v>539</v>
      </c>
      <c r="E32" s="635" t="s">
        <v>449</v>
      </c>
      <c r="F32" s="635" t="s">
        <v>540</v>
      </c>
      <c r="G32" s="636">
        <v>48.8</v>
      </c>
      <c r="H32" s="637">
        <v>8.52</v>
      </c>
      <c r="I32" s="637">
        <v>10.75</v>
      </c>
      <c r="J32" s="637">
        <v>58.85</v>
      </c>
      <c r="K32" s="637">
        <v>770.62</v>
      </c>
      <c r="L32" s="635" t="s">
        <v>541</v>
      </c>
      <c r="M32" s="636">
        <v>28</v>
      </c>
      <c r="N32" s="637" t="s">
        <v>167</v>
      </c>
      <c r="O32" s="637" t="s">
        <v>167</v>
      </c>
      <c r="P32" s="637" t="s">
        <v>167</v>
      </c>
      <c r="Q32" s="635" t="s">
        <v>517</v>
      </c>
      <c r="R32" s="637" t="s">
        <v>167</v>
      </c>
      <c r="S32" s="635" t="s">
        <v>167</v>
      </c>
      <c r="T32" s="639">
        <v>6</v>
      </c>
      <c r="U32" s="87"/>
    </row>
    <row r="33" spans="1:21" ht="12.75" hidden="1" customHeight="1">
      <c r="A33" s="635" t="s">
        <v>392</v>
      </c>
      <c r="B33" s="635" t="s">
        <v>361</v>
      </c>
      <c r="C33" s="635" t="s">
        <v>8</v>
      </c>
      <c r="D33" s="635" t="s">
        <v>542</v>
      </c>
      <c r="E33" s="635" t="s">
        <v>449</v>
      </c>
      <c r="F33" s="635" t="s">
        <v>543</v>
      </c>
      <c r="G33" s="636">
        <v>35</v>
      </c>
      <c r="H33" s="637">
        <v>8.85</v>
      </c>
      <c r="I33" s="637">
        <v>11.05</v>
      </c>
      <c r="J33" s="637">
        <v>51.69</v>
      </c>
      <c r="K33" s="637">
        <v>1514.38</v>
      </c>
      <c r="L33" s="635" t="s">
        <v>544</v>
      </c>
      <c r="M33" s="636">
        <v>25.1</v>
      </c>
      <c r="N33" s="637">
        <v>8.57</v>
      </c>
      <c r="O33" s="637">
        <v>10.5</v>
      </c>
      <c r="P33" s="637">
        <v>51.69</v>
      </c>
      <c r="Q33" s="635" t="s">
        <v>481</v>
      </c>
      <c r="R33" s="637">
        <v>1512.99</v>
      </c>
      <c r="S33" s="635" t="s">
        <v>465</v>
      </c>
      <c r="T33" s="639">
        <v>6</v>
      </c>
      <c r="U33" s="87"/>
    </row>
    <row r="34" spans="1:21" ht="12.75" hidden="1" customHeight="1">
      <c r="A34" s="635" t="s">
        <v>392</v>
      </c>
      <c r="B34" s="635" t="s">
        <v>388</v>
      </c>
      <c r="C34" s="635" t="s">
        <v>545</v>
      </c>
      <c r="D34" s="635" t="s">
        <v>546</v>
      </c>
      <c r="E34" s="635" t="s">
        <v>449</v>
      </c>
      <c r="F34" s="635" t="s">
        <v>547</v>
      </c>
      <c r="G34" s="636">
        <v>8.6</v>
      </c>
      <c r="H34" s="637">
        <v>9.09</v>
      </c>
      <c r="I34" s="637">
        <v>11</v>
      </c>
      <c r="J34" s="637">
        <v>58</v>
      </c>
      <c r="K34" s="637">
        <v>98.9</v>
      </c>
      <c r="L34" s="635" t="s">
        <v>544</v>
      </c>
      <c r="M34" s="636">
        <v>6.2</v>
      </c>
      <c r="N34" s="637">
        <v>8.51</v>
      </c>
      <c r="O34" s="637">
        <v>10</v>
      </c>
      <c r="P34" s="637">
        <v>58</v>
      </c>
      <c r="Q34" s="635" t="s">
        <v>517</v>
      </c>
      <c r="R34" s="637" t="s">
        <v>167</v>
      </c>
      <c r="S34" s="635" t="s">
        <v>167</v>
      </c>
      <c r="T34" s="639">
        <v>5</v>
      </c>
      <c r="U34" s="87"/>
    </row>
    <row r="35" spans="1:21" ht="12.75" hidden="1" customHeight="1">
      <c r="A35" s="635" t="s">
        <v>382</v>
      </c>
      <c r="B35" s="635" t="s">
        <v>383</v>
      </c>
      <c r="C35" s="635" t="s">
        <v>548</v>
      </c>
      <c r="D35" s="635" t="s">
        <v>549</v>
      </c>
      <c r="E35" s="635" t="s">
        <v>449</v>
      </c>
      <c r="F35" s="635" t="s">
        <v>550</v>
      </c>
      <c r="G35" s="636">
        <v>-1.2</v>
      </c>
      <c r="H35" s="637">
        <v>9.25</v>
      </c>
      <c r="I35" s="637">
        <v>10.4</v>
      </c>
      <c r="J35" s="637">
        <v>52.35</v>
      </c>
      <c r="K35" s="637">
        <v>379.35</v>
      </c>
      <c r="L35" s="635" t="s">
        <v>551</v>
      </c>
      <c r="M35" s="636">
        <v>-8.1</v>
      </c>
      <c r="N35" s="637">
        <v>9.15</v>
      </c>
      <c r="O35" s="637">
        <v>10.4</v>
      </c>
      <c r="P35" s="637">
        <v>52.09</v>
      </c>
      <c r="Q35" s="635" t="s">
        <v>469</v>
      </c>
      <c r="R35" s="637">
        <v>370.97</v>
      </c>
      <c r="S35" s="635" t="s">
        <v>38</v>
      </c>
      <c r="T35" s="639">
        <v>8</v>
      </c>
      <c r="U35" s="87"/>
    </row>
    <row r="36" spans="1:21" ht="12.75" hidden="1" customHeight="1">
      <c r="A36" s="635" t="s">
        <v>382</v>
      </c>
      <c r="B36" s="635" t="s">
        <v>384</v>
      </c>
      <c r="C36" s="635" t="s">
        <v>548</v>
      </c>
      <c r="D36" s="635" t="s">
        <v>552</v>
      </c>
      <c r="E36" s="635" t="s">
        <v>449</v>
      </c>
      <c r="F36" s="635" t="s">
        <v>550</v>
      </c>
      <c r="G36" s="636">
        <v>-15.9</v>
      </c>
      <c r="H36" s="637">
        <v>9.11</v>
      </c>
      <c r="I36" s="637">
        <v>10.5</v>
      </c>
      <c r="J36" s="637">
        <v>46.76</v>
      </c>
      <c r="K36" s="637">
        <v>671.56</v>
      </c>
      <c r="L36" s="635" t="s">
        <v>551</v>
      </c>
      <c r="M36" s="636">
        <v>-34.299999999999997</v>
      </c>
      <c r="N36" s="637">
        <v>8.9600000000000009</v>
      </c>
      <c r="O36" s="637">
        <v>10.5</v>
      </c>
      <c r="P36" s="637">
        <v>46.75</v>
      </c>
      <c r="Q36" s="635" t="s">
        <v>469</v>
      </c>
      <c r="R36" s="637">
        <v>664.8</v>
      </c>
      <c r="S36" s="635" t="s">
        <v>38</v>
      </c>
      <c r="T36" s="639">
        <v>8</v>
      </c>
      <c r="U36" s="87"/>
    </row>
    <row r="37" spans="1:21" ht="12.75" hidden="1" customHeight="1">
      <c r="A37" s="635" t="s">
        <v>367</v>
      </c>
      <c r="B37" s="635" t="s">
        <v>553</v>
      </c>
      <c r="C37" s="635" t="s">
        <v>554</v>
      </c>
      <c r="D37" s="635" t="s">
        <v>555</v>
      </c>
      <c r="E37" s="635" t="s">
        <v>449</v>
      </c>
      <c r="F37" s="635" t="s">
        <v>556</v>
      </c>
      <c r="G37" s="636">
        <v>14.8</v>
      </c>
      <c r="H37" s="637">
        <v>8.4700000000000006</v>
      </c>
      <c r="I37" s="637">
        <v>10.9</v>
      </c>
      <c r="J37" s="637">
        <v>48.72</v>
      </c>
      <c r="K37" s="637">
        <v>263.64</v>
      </c>
      <c r="L37" s="635" t="s">
        <v>557</v>
      </c>
      <c r="M37" s="636">
        <v>10.5</v>
      </c>
      <c r="N37" s="637">
        <v>7.76</v>
      </c>
      <c r="O37" s="637">
        <v>10</v>
      </c>
      <c r="P37" s="637">
        <v>45.03</v>
      </c>
      <c r="Q37" s="635" t="s">
        <v>517</v>
      </c>
      <c r="R37" s="637">
        <v>254.78</v>
      </c>
      <c r="S37" s="635" t="s">
        <v>38</v>
      </c>
      <c r="T37" s="639">
        <v>6</v>
      </c>
      <c r="U37" s="87"/>
    </row>
    <row r="38" spans="1:21" ht="12.75" hidden="1" customHeight="1">
      <c r="A38" s="635" t="s">
        <v>382</v>
      </c>
      <c r="B38" s="635" t="s">
        <v>387</v>
      </c>
      <c r="C38" s="635" t="s">
        <v>453</v>
      </c>
      <c r="D38" s="635" t="s">
        <v>558</v>
      </c>
      <c r="E38" s="635" t="s">
        <v>449</v>
      </c>
      <c r="F38" s="635" t="s">
        <v>550</v>
      </c>
      <c r="G38" s="636">
        <v>4.3</v>
      </c>
      <c r="H38" s="637">
        <v>8.5299999999999994</v>
      </c>
      <c r="I38" s="637">
        <v>10.3</v>
      </c>
      <c r="J38" s="637">
        <v>59.65</v>
      </c>
      <c r="K38" s="637">
        <v>136.44999999999999</v>
      </c>
      <c r="L38" s="635" t="s">
        <v>559</v>
      </c>
      <c r="M38" s="636">
        <v>1.6</v>
      </c>
      <c r="N38" s="637">
        <v>8.44</v>
      </c>
      <c r="O38" s="637">
        <v>10.3</v>
      </c>
      <c r="P38" s="637">
        <v>59.09</v>
      </c>
      <c r="Q38" s="635" t="s">
        <v>469</v>
      </c>
      <c r="R38" s="637">
        <v>136.13</v>
      </c>
      <c r="S38" s="635" t="s">
        <v>38</v>
      </c>
      <c r="T38" s="639">
        <v>7</v>
      </c>
      <c r="U38" s="87"/>
    </row>
    <row r="39" spans="1:21" ht="12.75" hidden="1" customHeight="1">
      <c r="A39" s="635" t="s">
        <v>360</v>
      </c>
      <c r="B39" s="635" t="s">
        <v>361</v>
      </c>
      <c r="C39" s="635" t="s">
        <v>8</v>
      </c>
      <c r="D39" s="635" t="s">
        <v>560</v>
      </c>
      <c r="E39" s="635" t="s">
        <v>449</v>
      </c>
      <c r="F39" s="635" t="s">
        <v>561</v>
      </c>
      <c r="G39" s="636">
        <v>10.8</v>
      </c>
      <c r="H39" s="637">
        <v>8.75</v>
      </c>
      <c r="I39" s="637">
        <v>11</v>
      </c>
      <c r="J39" s="637">
        <v>51.32</v>
      </c>
      <c r="K39" s="637">
        <v>208.66</v>
      </c>
      <c r="L39" s="635" t="s">
        <v>562</v>
      </c>
      <c r="M39" s="636">
        <v>7.1</v>
      </c>
      <c r="N39" s="637">
        <v>8.2799999999999994</v>
      </c>
      <c r="O39" s="637">
        <v>10.1</v>
      </c>
      <c r="P39" s="637">
        <v>51.32</v>
      </c>
      <c r="Q39" s="635" t="s">
        <v>563</v>
      </c>
      <c r="R39" s="637">
        <v>201.36</v>
      </c>
      <c r="S39" s="635" t="s">
        <v>38</v>
      </c>
      <c r="T39" s="639">
        <v>4</v>
      </c>
      <c r="U39" s="87"/>
    </row>
    <row r="40" spans="1:21" ht="12.75" hidden="1" customHeight="1">
      <c r="A40" s="635" t="s">
        <v>355</v>
      </c>
      <c r="B40" s="635" t="s">
        <v>427</v>
      </c>
      <c r="C40" s="635" t="s">
        <v>148</v>
      </c>
      <c r="D40" s="635" t="s">
        <v>564</v>
      </c>
      <c r="E40" s="635" t="s">
        <v>449</v>
      </c>
      <c r="F40" s="635" t="s">
        <v>565</v>
      </c>
      <c r="G40" s="636">
        <v>27.4</v>
      </c>
      <c r="H40" s="637">
        <v>9.08</v>
      </c>
      <c r="I40" s="637">
        <v>11.75</v>
      </c>
      <c r="J40" s="637">
        <v>53.7</v>
      </c>
      <c r="K40" s="637">
        <v>487.85</v>
      </c>
      <c r="L40" s="635" t="s">
        <v>566</v>
      </c>
      <c r="M40" s="636">
        <v>7.9</v>
      </c>
      <c r="N40" s="637">
        <v>7.84</v>
      </c>
      <c r="O40" s="637">
        <v>9.4499999999999993</v>
      </c>
      <c r="P40" s="637">
        <v>53.7</v>
      </c>
      <c r="Q40" s="635" t="s">
        <v>517</v>
      </c>
      <c r="R40" s="637">
        <v>466.38</v>
      </c>
      <c r="S40" s="635" t="s">
        <v>465</v>
      </c>
      <c r="T40" s="639">
        <v>6</v>
      </c>
      <c r="U40" s="87"/>
    </row>
    <row r="41" spans="1:21" ht="12.75" hidden="1" customHeight="1">
      <c r="A41" s="635" t="s">
        <v>377</v>
      </c>
      <c r="B41" s="635" t="s">
        <v>378</v>
      </c>
      <c r="C41" s="635" t="s">
        <v>114</v>
      </c>
      <c r="D41" s="635" t="s">
        <v>567</v>
      </c>
      <c r="E41" s="635" t="s">
        <v>449</v>
      </c>
      <c r="F41" s="635" t="s">
        <v>568</v>
      </c>
      <c r="G41" s="636">
        <v>2</v>
      </c>
      <c r="H41" s="637">
        <v>8.4499999999999993</v>
      </c>
      <c r="I41" s="637">
        <v>10.65</v>
      </c>
      <c r="J41" s="637">
        <v>53.56</v>
      </c>
      <c r="K41" s="637">
        <v>116.16</v>
      </c>
      <c r="L41" s="635" t="s">
        <v>569</v>
      </c>
      <c r="M41" s="636">
        <v>0.7</v>
      </c>
      <c r="N41" s="637">
        <v>7.88</v>
      </c>
      <c r="O41" s="637">
        <v>9.3000000000000007</v>
      </c>
      <c r="P41" s="637">
        <v>59.06</v>
      </c>
      <c r="Q41" s="635" t="s">
        <v>570</v>
      </c>
      <c r="R41" s="637">
        <v>115.93</v>
      </c>
      <c r="S41" s="635" t="s">
        <v>465</v>
      </c>
      <c r="T41" s="639">
        <v>7</v>
      </c>
      <c r="U41" s="87"/>
    </row>
    <row r="42" spans="1:21" ht="12.75" hidden="1" customHeight="1">
      <c r="A42" s="635" t="s">
        <v>377</v>
      </c>
      <c r="B42" s="635" t="s">
        <v>378</v>
      </c>
      <c r="C42" s="635" t="s">
        <v>114</v>
      </c>
      <c r="D42" s="635" t="s">
        <v>571</v>
      </c>
      <c r="E42" s="635" t="s">
        <v>449</v>
      </c>
      <c r="F42" s="635" t="s">
        <v>568</v>
      </c>
      <c r="G42" s="636">
        <v>24.9</v>
      </c>
      <c r="H42" s="637">
        <v>7.42</v>
      </c>
      <c r="I42" s="637">
        <v>10.65</v>
      </c>
      <c r="J42" s="637">
        <v>53.56</v>
      </c>
      <c r="K42" s="637">
        <v>823.21</v>
      </c>
      <c r="L42" s="635" t="s">
        <v>569</v>
      </c>
      <c r="M42" s="636">
        <v>6.8</v>
      </c>
      <c r="N42" s="637">
        <v>6.56</v>
      </c>
      <c r="O42" s="637">
        <v>10</v>
      </c>
      <c r="P42" s="637">
        <v>42.74</v>
      </c>
      <c r="Q42" s="635" t="s">
        <v>570</v>
      </c>
      <c r="R42" s="637">
        <v>825.26</v>
      </c>
      <c r="S42" s="635" t="s">
        <v>465</v>
      </c>
      <c r="T42" s="639">
        <v>7</v>
      </c>
      <c r="U42" s="87"/>
    </row>
    <row r="43" spans="1:21" ht="12.75" hidden="1" customHeight="1">
      <c r="A43" s="635" t="s">
        <v>379</v>
      </c>
      <c r="B43" s="635" t="s">
        <v>396</v>
      </c>
      <c r="C43" s="635" t="s">
        <v>187</v>
      </c>
      <c r="D43" s="635" t="s">
        <v>572</v>
      </c>
      <c r="E43" s="635" t="s">
        <v>449</v>
      </c>
      <c r="F43" s="635" t="s">
        <v>573</v>
      </c>
      <c r="G43" s="636">
        <v>10.5</v>
      </c>
      <c r="H43" s="637">
        <v>9.59</v>
      </c>
      <c r="I43" s="637">
        <v>11.25</v>
      </c>
      <c r="J43" s="637">
        <v>44.72</v>
      </c>
      <c r="K43" s="637">
        <v>180.99</v>
      </c>
      <c r="L43" s="635" t="s">
        <v>569</v>
      </c>
      <c r="M43" s="636">
        <v>6.8</v>
      </c>
      <c r="N43" s="637">
        <v>8.94</v>
      </c>
      <c r="O43" s="637">
        <v>9.9</v>
      </c>
      <c r="P43" s="637">
        <v>48.03</v>
      </c>
      <c r="Q43" s="635" t="s">
        <v>481</v>
      </c>
      <c r="R43" s="637">
        <v>165.33</v>
      </c>
      <c r="S43" s="635" t="s">
        <v>38</v>
      </c>
      <c r="T43" s="639">
        <v>12</v>
      </c>
      <c r="U43" s="87"/>
    </row>
    <row r="44" spans="1:21" ht="12.75" hidden="1" customHeight="1">
      <c r="A44" s="635" t="s">
        <v>376</v>
      </c>
      <c r="B44" s="635" t="s">
        <v>574</v>
      </c>
      <c r="C44" s="635" t="s">
        <v>15</v>
      </c>
      <c r="D44" s="635" t="s">
        <v>575</v>
      </c>
      <c r="E44" s="635" t="s">
        <v>449</v>
      </c>
      <c r="F44" s="635" t="s">
        <v>576</v>
      </c>
      <c r="G44" s="636">
        <v>43.7</v>
      </c>
      <c r="H44" s="637">
        <v>8.2799999999999994</v>
      </c>
      <c r="I44" s="637">
        <v>10.3</v>
      </c>
      <c r="J44" s="637">
        <v>50</v>
      </c>
      <c r="K44" s="637">
        <v>983.69</v>
      </c>
      <c r="L44" s="635" t="s">
        <v>577</v>
      </c>
      <c r="M44" s="636">
        <v>8.6999999999999993</v>
      </c>
      <c r="N44" s="637">
        <v>7.78</v>
      </c>
      <c r="O44" s="637">
        <v>9.5</v>
      </c>
      <c r="P44" s="637">
        <v>50</v>
      </c>
      <c r="Q44" s="635" t="s">
        <v>531</v>
      </c>
      <c r="R44" s="637">
        <v>886.16</v>
      </c>
      <c r="S44" s="635" t="s">
        <v>38</v>
      </c>
      <c r="T44" s="639">
        <v>10</v>
      </c>
      <c r="U44" s="87"/>
    </row>
    <row r="45" spans="1:21" ht="12.75" hidden="1" customHeight="1">
      <c r="A45" s="635" t="s">
        <v>382</v>
      </c>
      <c r="B45" s="635" t="s">
        <v>578</v>
      </c>
      <c r="C45" s="635" t="s">
        <v>298</v>
      </c>
      <c r="D45" s="635" t="s">
        <v>579</v>
      </c>
      <c r="E45" s="635" t="s">
        <v>449</v>
      </c>
      <c r="F45" s="635" t="s">
        <v>580</v>
      </c>
      <c r="G45" s="636">
        <v>12.8</v>
      </c>
      <c r="H45" s="637">
        <v>8.81</v>
      </c>
      <c r="I45" s="637">
        <v>10.3</v>
      </c>
      <c r="J45" s="637">
        <v>52.34</v>
      </c>
      <c r="K45" s="637">
        <v>333.81</v>
      </c>
      <c r="L45" s="635" t="s">
        <v>581</v>
      </c>
      <c r="M45" s="636">
        <v>-1</v>
      </c>
      <c r="N45" s="637" t="s">
        <v>167</v>
      </c>
      <c r="O45" s="637">
        <v>10.3</v>
      </c>
      <c r="P45" s="637">
        <v>51.61</v>
      </c>
      <c r="Q45" s="635" t="s">
        <v>469</v>
      </c>
      <c r="R45" s="637" t="s">
        <v>167</v>
      </c>
      <c r="S45" s="635" t="s">
        <v>167</v>
      </c>
      <c r="T45" s="639">
        <v>6</v>
      </c>
      <c r="U45" s="87"/>
    </row>
    <row r="46" spans="1:21" ht="12.75" hidden="1" customHeight="1">
      <c r="A46" s="635" t="s">
        <v>426</v>
      </c>
      <c r="B46" s="635" t="s">
        <v>582</v>
      </c>
      <c r="C46" s="635" t="s">
        <v>583</v>
      </c>
      <c r="D46" s="635" t="s">
        <v>584</v>
      </c>
      <c r="E46" s="635" t="s">
        <v>449</v>
      </c>
      <c r="F46" s="635" t="s">
        <v>585</v>
      </c>
      <c r="G46" s="636">
        <v>8.8000000000000007</v>
      </c>
      <c r="H46" s="637">
        <v>8.34</v>
      </c>
      <c r="I46" s="637" t="s">
        <v>167</v>
      </c>
      <c r="J46" s="637">
        <v>54.15</v>
      </c>
      <c r="K46" s="637">
        <v>467.42</v>
      </c>
      <c r="L46" s="635" t="s">
        <v>586</v>
      </c>
      <c r="M46" s="636">
        <v>7.5</v>
      </c>
      <c r="N46" s="637">
        <v>8.34</v>
      </c>
      <c r="O46" s="637" t="s">
        <v>167</v>
      </c>
      <c r="P46" s="637">
        <v>54.28</v>
      </c>
      <c r="Q46" s="635" t="s">
        <v>527</v>
      </c>
      <c r="R46" s="637">
        <v>467.39</v>
      </c>
      <c r="S46" s="635" t="s">
        <v>465</v>
      </c>
      <c r="T46" s="639">
        <v>3</v>
      </c>
      <c r="U46" s="87"/>
    </row>
    <row r="47" spans="1:21" ht="12.75" hidden="1" customHeight="1">
      <c r="A47" s="635" t="s">
        <v>392</v>
      </c>
      <c r="B47" s="635" t="s">
        <v>361</v>
      </c>
      <c r="C47" s="635" t="s">
        <v>8</v>
      </c>
      <c r="D47" s="635" t="s">
        <v>587</v>
      </c>
      <c r="E47" s="635" t="s">
        <v>449</v>
      </c>
      <c r="F47" s="635" t="s">
        <v>588</v>
      </c>
      <c r="G47" s="636">
        <v>9.6999999999999993</v>
      </c>
      <c r="H47" s="637">
        <v>8.85</v>
      </c>
      <c r="I47" s="637">
        <v>11.05</v>
      </c>
      <c r="J47" s="637">
        <v>51.69</v>
      </c>
      <c r="K47" s="637">
        <v>273.87</v>
      </c>
      <c r="L47" s="635" t="s">
        <v>589</v>
      </c>
      <c r="M47" s="636">
        <v>6.6</v>
      </c>
      <c r="N47" s="637" t="s">
        <v>167</v>
      </c>
      <c r="O47" s="637" t="s">
        <v>167</v>
      </c>
      <c r="P47" s="637" t="s">
        <v>167</v>
      </c>
      <c r="Q47" s="635" t="s">
        <v>481</v>
      </c>
      <c r="R47" s="637" t="s">
        <v>167</v>
      </c>
      <c r="S47" s="635" t="s">
        <v>167</v>
      </c>
      <c r="T47" s="639">
        <v>3</v>
      </c>
      <c r="U47" s="87"/>
    </row>
    <row r="48" spans="1:21" ht="12.75" hidden="1" customHeight="1">
      <c r="A48" s="635" t="s">
        <v>359</v>
      </c>
      <c r="B48" s="635" t="s">
        <v>417</v>
      </c>
      <c r="C48" s="635" t="s">
        <v>187</v>
      </c>
      <c r="D48" s="635" t="s">
        <v>590</v>
      </c>
      <c r="E48" s="635" t="s">
        <v>449</v>
      </c>
      <c r="F48" s="635" t="s">
        <v>591</v>
      </c>
      <c r="G48" s="636">
        <v>28.4</v>
      </c>
      <c r="H48" s="637">
        <v>8.24</v>
      </c>
      <c r="I48" s="637">
        <v>11.25</v>
      </c>
      <c r="J48" s="637">
        <v>50.7</v>
      </c>
      <c r="K48" s="637">
        <v>755.18</v>
      </c>
      <c r="L48" s="635" t="s">
        <v>592</v>
      </c>
      <c r="M48" s="636">
        <v>15.4</v>
      </c>
      <c r="N48" s="637" t="s">
        <v>167</v>
      </c>
      <c r="O48" s="637" t="s">
        <v>167</v>
      </c>
      <c r="P48" s="637" t="s">
        <v>167</v>
      </c>
      <c r="Q48" s="635" t="s">
        <v>593</v>
      </c>
      <c r="R48" s="637" t="s">
        <v>167</v>
      </c>
      <c r="S48" s="635" t="s">
        <v>167</v>
      </c>
      <c r="T48" s="639">
        <v>7</v>
      </c>
      <c r="U48" s="87"/>
    </row>
    <row r="49" spans="1:21" ht="12.75" hidden="1" customHeight="1">
      <c r="A49" s="635" t="s">
        <v>402</v>
      </c>
      <c r="B49" s="635" t="s">
        <v>361</v>
      </c>
      <c r="C49" s="635" t="s">
        <v>8</v>
      </c>
      <c r="D49" s="635" t="s">
        <v>594</v>
      </c>
      <c r="E49" s="635" t="s">
        <v>449</v>
      </c>
      <c r="F49" s="635" t="s">
        <v>595</v>
      </c>
      <c r="G49" s="636">
        <v>9.6999999999999993</v>
      </c>
      <c r="H49" s="637">
        <v>8.7799999999999994</v>
      </c>
      <c r="I49" s="637">
        <v>10.9</v>
      </c>
      <c r="J49" s="637">
        <v>51.66</v>
      </c>
      <c r="K49" s="637">
        <v>160.07</v>
      </c>
      <c r="L49" s="635" t="s">
        <v>596</v>
      </c>
      <c r="M49" s="636">
        <v>2.8</v>
      </c>
      <c r="N49" s="637" t="s">
        <v>167</v>
      </c>
      <c r="O49" s="637" t="s">
        <v>167</v>
      </c>
      <c r="P49" s="637" t="s">
        <v>167</v>
      </c>
      <c r="Q49" s="635" t="s">
        <v>481</v>
      </c>
      <c r="R49" s="637" t="s">
        <v>167</v>
      </c>
      <c r="S49" s="635" t="s">
        <v>167</v>
      </c>
      <c r="T49" s="639">
        <v>6</v>
      </c>
      <c r="U49" s="87"/>
    </row>
    <row r="50" spans="1:21" ht="12.75" hidden="1" customHeight="1">
      <c r="A50" s="635" t="s">
        <v>380</v>
      </c>
      <c r="B50" s="635" t="s">
        <v>381</v>
      </c>
      <c r="C50" s="635" t="s">
        <v>300</v>
      </c>
      <c r="D50" s="635" t="s">
        <v>597</v>
      </c>
      <c r="E50" s="635" t="s">
        <v>449</v>
      </c>
      <c r="F50" s="635" t="s">
        <v>598</v>
      </c>
      <c r="G50" s="636">
        <v>16.2</v>
      </c>
      <c r="H50" s="637">
        <v>8.4</v>
      </c>
      <c r="I50" s="637" t="s">
        <v>167</v>
      </c>
      <c r="J50" s="637">
        <v>55.3</v>
      </c>
      <c r="K50" s="637">
        <v>846.7</v>
      </c>
      <c r="L50" s="635" t="s">
        <v>599</v>
      </c>
      <c r="M50" s="636">
        <v>9.5</v>
      </c>
      <c r="N50" s="637" t="s">
        <v>167</v>
      </c>
      <c r="O50" s="637" t="s">
        <v>167</v>
      </c>
      <c r="P50" s="637" t="s">
        <v>167</v>
      </c>
      <c r="Q50" s="635" t="s">
        <v>517</v>
      </c>
      <c r="R50" s="637" t="s">
        <v>167</v>
      </c>
      <c r="S50" s="635" t="s">
        <v>167</v>
      </c>
      <c r="T50" s="639">
        <v>4</v>
      </c>
      <c r="U50" s="87"/>
    </row>
    <row r="51" spans="1:21" ht="12.75" hidden="1" customHeight="1">
      <c r="A51" s="635" t="s">
        <v>409</v>
      </c>
      <c r="B51" s="635" t="s">
        <v>477</v>
      </c>
      <c r="C51" s="635" t="s">
        <v>101</v>
      </c>
      <c r="D51" s="635" t="s">
        <v>600</v>
      </c>
      <c r="E51" s="635" t="s">
        <v>449</v>
      </c>
      <c r="F51" s="635" t="s">
        <v>601</v>
      </c>
      <c r="G51" s="636">
        <v>28.5</v>
      </c>
      <c r="H51" s="637">
        <v>8.58</v>
      </c>
      <c r="I51" s="637">
        <v>10.5</v>
      </c>
      <c r="J51" s="637">
        <v>57.86</v>
      </c>
      <c r="K51" s="637">
        <v>720.44</v>
      </c>
      <c r="L51" s="635" t="s">
        <v>547</v>
      </c>
      <c r="M51" s="636">
        <v>20</v>
      </c>
      <c r="N51" s="637">
        <v>8.26</v>
      </c>
      <c r="O51" s="637">
        <v>9.75</v>
      </c>
      <c r="P51" s="637">
        <v>59.63</v>
      </c>
      <c r="Q51" s="635" t="s">
        <v>602</v>
      </c>
      <c r="R51" s="637" t="s">
        <v>167</v>
      </c>
      <c r="S51" s="635" t="s">
        <v>167</v>
      </c>
      <c r="T51" s="639">
        <v>17</v>
      </c>
      <c r="U51" s="87"/>
    </row>
    <row r="52" spans="1:21" ht="12.75" hidden="1" customHeight="1">
      <c r="A52" s="635" t="s">
        <v>412</v>
      </c>
      <c r="B52" s="635" t="s">
        <v>425</v>
      </c>
      <c r="C52" s="635" t="s">
        <v>603</v>
      </c>
      <c r="D52" s="635" t="s">
        <v>604</v>
      </c>
      <c r="E52" s="635" t="s">
        <v>449</v>
      </c>
      <c r="F52" s="635" t="s">
        <v>605</v>
      </c>
      <c r="G52" s="636">
        <v>2</v>
      </c>
      <c r="H52" s="637">
        <v>8.4700000000000006</v>
      </c>
      <c r="I52" s="637">
        <v>10.5</v>
      </c>
      <c r="J52" s="637">
        <v>54</v>
      </c>
      <c r="K52" s="637">
        <v>43.6</v>
      </c>
      <c r="L52" s="635" t="s">
        <v>606</v>
      </c>
      <c r="M52" s="636">
        <v>1.6</v>
      </c>
      <c r="N52" s="637">
        <v>7.99</v>
      </c>
      <c r="O52" s="637">
        <v>9.6</v>
      </c>
      <c r="P52" s="637">
        <v>54</v>
      </c>
      <c r="Q52" s="635" t="s">
        <v>607</v>
      </c>
      <c r="R52" s="637">
        <v>43.59</v>
      </c>
      <c r="S52" s="635" t="s">
        <v>465</v>
      </c>
      <c r="T52" s="639">
        <v>6</v>
      </c>
      <c r="U52" s="87"/>
    </row>
    <row r="53" spans="1:21" ht="12.75" hidden="1" customHeight="1">
      <c r="A53" s="635" t="s">
        <v>382</v>
      </c>
      <c r="B53" s="635" t="s">
        <v>385</v>
      </c>
      <c r="C53" s="635" t="s">
        <v>554</v>
      </c>
      <c r="D53" s="635" t="s">
        <v>608</v>
      </c>
      <c r="E53" s="635" t="s">
        <v>449</v>
      </c>
      <c r="F53" s="635" t="s">
        <v>609</v>
      </c>
      <c r="G53" s="636">
        <v>-13.1</v>
      </c>
      <c r="H53" s="637" t="s">
        <v>167</v>
      </c>
      <c r="I53" s="637">
        <v>10.4</v>
      </c>
      <c r="J53" s="637">
        <v>49.31</v>
      </c>
      <c r="K53" s="637">
        <v>196.17</v>
      </c>
      <c r="L53" s="635" t="s">
        <v>585</v>
      </c>
      <c r="M53" s="636">
        <v>-13.1</v>
      </c>
      <c r="N53" s="637" t="s">
        <v>167</v>
      </c>
      <c r="O53" s="637">
        <v>10.4</v>
      </c>
      <c r="P53" s="637">
        <v>49.31</v>
      </c>
      <c r="Q53" s="635" t="s">
        <v>469</v>
      </c>
      <c r="R53" s="637">
        <v>196.17</v>
      </c>
      <c r="S53" s="635" t="s">
        <v>38</v>
      </c>
      <c r="T53" s="639">
        <v>1</v>
      </c>
      <c r="U53" s="87"/>
    </row>
    <row r="54" spans="1:21" ht="12.75" hidden="1" customHeight="1">
      <c r="A54" s="635" t="s">
        <v>353</v>
      </c>
      <c r="B54" s="635" t="s">
        <v>401</v>
      </c>
      <c r="C54" s="635" t="s">
        <v>610</v>
      </c>
      <c r="D54" s="635" t="s">
        <v>611</v>
      </c>
      <c r="E54" s="635" t="s">
        <v>449</v>
      </c>
      <c r="F54" s="635" t="s">
        <v>612</v>
      </c>
      <c r="G54" s="636">
        <v>21.9</v>
      </c>
      <c r="H54" s="637">
        <v>6.71</v>
      </c>
      <c r="I54" s="637">
        <v>10.5</v>
      </c>
      <c r="J54" s="637">
        <v>41.55</v>
      </c>
      <c r="K54" s="637">
        <v>3068.22</v>
      </c>
      <c r="L54" s="635" t="s">
        <v>613</v>
      </c>
      <c r="M54" s="636">
        <v>16</v>
      </c>
      <c r="N54" s="637" t="s">
        <v>167</v>
      </c>
      <c r="O54" s="637">
        <v>10.3</v>
      </c>
      <c r="P54" s="637" t="s">
        <v>167</v>
      </c>
      <c r="Q54" s="635" t="s">
        <v>486</v>
      </c>
      <c r="R54" s="637" t="s">
        <v>167</v>
      </c>
      <c r="S54" s="635" t="s">
        <v>167</v>
      </c>
      <c r="T54" s="639">
        <v>9</v>
      </c>
      <c r="U54" s="87"/>
    </row>
    <row r="55" spans="1:21" ht="12.75" hidden="1" customHeight="1">
      <c r="A55" s="635" t="s">
        <v>369</v>
      </c>
      <c r="B55" s="635" t="s">
        <v>370</v>
      </c>
      <c r="C55" s="635" t="s">
        <v>298</v>
      </c>
      <c r="D55" s="635" t="s">
        <v>614</v>
      </c>
      <c r="E55" s="635" t="s">
        <v>449</v>
      </c>
      <c r="F55" s="635" t="s">
        <v>615</v>
      </c>
      <c r="G55" s="636">
        <v>15</v>
      </c>
      <c r="H55" s="637">
        <v>8.36</v>
      </c>
      <c r="I55" s="637">
        <v>10.75</v>
      </c>
      <c r="J55" s="637">
        <v>50.48</v>
      </c>
      <c r="K55" s="637">
        <v>190.65</v>
      </c>
      <c r="L55" s="635" t="s">
        <v>616</v>
      </c>
      <c r="M55" s="636">
        <v>11</v>
      </c>
      <c r="N55" s="637">
        <v>7.83</v>
      </c>
      <c r="O55" s="637">
        <v>9.6999999999999993</v>
      </c>
      <c r="P55" s="637">
        <v>50.48</v>
      </c>
      <c r="Q55" s="635" t="s">
        <v>517</v>
      </c>
      <c r="R55" s="637">
        <v>189.81</v>
      </c>
      <c r="S55" s="635" t="s">
        <v>38</v>
      </c>
      <c r="T55" s="639">
        <v>18</v>
      </c>
      <c r="U55" s="87"/>
    </row>
    <row r="56" spans="1:21" ht="12.75" hidden="1" customHeight="1">
      <c r="A56" s="635" t="s">
        <v>394</v>
      </c>
      <c r="B56" s="635" t="s">
        <v>395</v>
      </c>
      <c r="C56" s="635" t="s">
        <v>187</v>
      </c>
      <c r="D56" s="635" t="s">
        <v>617</v>
      </c>
      <c r="E56" s="635" t="s">
        <v>449</v>
      </c>
      <c r="F56" s="635" t="s">
        <v>618</v>
      </c>
      <c r="G56" s="636">
        <v>6.1</v>
      </c>
      <c r="H56" s="637">
        <v>8.19</v>
      </c>
      <c r="I56" s="637">
        <v>10.62</v>
      </c>
      <c r="J56" s="637">
        <v>51.16</v>
      </c>
      <c r="K56" s="637">
        <v>70.349999999999994</v>
      </c>
      <c r="L56" s="635" t="s">
        <v>619</v>
      </c>
      <c r="M56" s="636">
        <v>5</v>
      </c>
      <c r="N56" s="637">
        <v>7.67</v>
      </c>
      <c r="O56" s="637">
        <v>9.6</v>
      </c>
      <c r="P56" s="637">
        <v>51.16</v>
      </c>
      <c r="Q56" s="635" t="s">
        <v>620</v>
      </c>
      <c r="R56" s="637">
        <v>69.760000000000005</v>
      </c>
      <c r="S56" s="635" t="s">
        <v>465</v>
      </c>
      <c r="T56" s="639">
        <v>7</v>
      </c>
      <c r="U56" s="87"/>
    </row>
    <row r="57" spans="1:21" ht="12.75" hidden="1" customHeight="1">
      <c r="A57" s="635" t="s">
        <v>386</v>
      </c>
      <c r="B57" s="635" t="s">
        <v>399</v>
      </c>
      <c r="C57" s="635" t="s">
        <v>187</v>
      </c>
      <c r="D57" s="635" t="s">
        <v>621</v>
      </c>
      <c r="E57" s="635" t="s">
        <v>449</v>
      </c>
      <c r="F57" s="635" t="s">
        <v>622</v>
      </c>
      <c r="G57" s="636">
        <v>28.6</v>
      </c>
      <c r="H57" s="637">
        <v>8.26</v>
      </c>
      <c r="I57" s="637">
        <v>10.75</v>
      </c>
      <c r="J57" s="637">
        <v>48</v>
      </c>
      <c r="K57" s="637">
        <v>1657.79</v>
      </c>
      <c r="L57" s="635" t="s">
        <v>623</v>
      </c>
      <c r="M57" s="636">
        <v>13.4</v>
      </c>
      <c r="N57" s="637">
        <v>7.8</v>
      </c>
      <c r="O57" s="637">
        <v>9.8000000000000007</v>
      </c>
      <c r="P57" s="637">
        <v>48</v>
      </c>
      <c r="Q57" s="635" t="s">
        <v>624</v>
      </c>
      <c r="R57" s="637">
        <v>1633</v>
      </c>
      <c r="S57" s="635" t="s">
        <v>38</v>
      </c>
      <c r="T57" s="639">
        <v>10</v>
      </c>
      <c r="U57" s="87"/>
    </row>
    <row r="58" spans="1:21" ht="12.75" hidden="1" customHeight="1">
      <c r="A58" s="635" t="s">
        <v>397</v>
      </c>
      <c r="B58" s="635" t="s">
        <v>398</v>
      </c>
      <c r="C58" s="635" t="s">
        <v>625</v>
      </c>
      <c r="D58" s="635" t="s">
        <v>626</v>
      </c>
      <c r="E58" s="635" t="s">
        <v>449</v>
      </c>
      <c r="F58" s="635" t="s">
        <v>627</v>
      </c>
      <c r="G58" s="636">
        <v>5.6</v>
      </c>
      <c r="H58" s="637">
        <v>8.65</v>
      </c>
      <c r="I58" s="637">
        <v>10.5</v>
      </c>
      <c r="J58" s="637">
        <v>50.82</v>
      </c>
      <c r="K58" s="637">
        <v>183.54</v>
      </c>
      <c r="L58" s="635" t="s">
        <v>628</v>
      </c>
      <c r="M58" s="636">
        <v>2.7</v>
      </c>
      <c r="N58" s="637">
        <v>8.27</v>
      </c>
      <c r="O58" s="637">
        <v>9.75</v>
      </c>
      <c r="P58" s="637">
        <v>50.82</v>
      </c>
      <c r="Q58" s="635" t="s">
        <v>624</v>
      </c>
      <c r="R58" s="637">
        <v>183.07</v>
      </c>
      <c r="S58" s="635" t="s">
        <v>465</v>
      </c>
      <c r="T58" s="639">
        <v>12</v>
      </c>
      <c r="U58" s="87"/>
    </row>
    <row r="59" spans="1:21" ht="12.75" hidden="1" customHeight="1">
      <c r="A59" s="635" t="s">
        <v>365</v>
      </c>
      <c r="B59" s="635" t="s">
        <v>629</v>
      </c>
      <c r="C59" s="635" t="s">
        <v>630</v>
      </c>
      <c r="D59" s="635" t="s">
        <v>631</v>
      </c>
      <c r="E59" s="635" t="s">
        <v>449</v>
      </c>
      <c r="F59" s="635" t="s">
        <v>632</v>
      </c>
      <c r="G59" s="636">
        <v>3.7</v>
      </c>
      <c r="H59" s="637">
        <v>7.65</v>
      </c>
      <c r="I59" s="637">
        <v>10.5</v>
      </c>
      <c r="J59" s="637">
        <v>40.25</v>
      </c>
      <c r="K59" s="637">
        <v>71.37</v>
      </c>
      <c r="L59" s="635" t="s">
        <v>628</v>
      </c>
      <c r="M59" s="636">
        <v>2.7</v>
      </c>
      <c r="N59" s="637">
        <v>7.24</v>
      </c>
      <c r="O59" s="637">
        <v>9.5</v>
      </c>
      <c r="P59" s="637">
        <v>40.25</v>
      </c>
      <c r="Q59" s="635" t="s">
        <v>624</v>
      </c>
      <c r="R59" s="637">
        <v>69.56</v>
      </c>
      <c r="S59" s="635" t="s">
        <v>465</v>
      </c>
      <c r="T59" s="639">
        <v>11</v>
      </c>
      <c r="U59" s="87"/>
    </row>
    <row r="60" spans="1:21" ht="12.75" hidden="1" customHeight="1">
      <c r="A60" s="635" t="s">
        <v>424</v>
      </c>
      <c r="B60" s="635" t="s">
        <v>633</v>
      </c>
      <c r="C60" s="635" t="s">
        <v>187</v>
      </c>
      <c r="D60" s="635" t="s">
        <v>634</v>
      </c>
      <c r="E60" s="635" t="s">
        <v>449</v>
      </c>
      <c r="F60" s="635" t="s">
        <v>635</v>
      </c>
      <c r="G60" s="636">
        <v>34.5</v>
      </c>
      <c r="H60" s="637">
        <v>8.3699999999999992</v>
      </c>
      <c r="I60" s="637">
        <v>11.25</v>
      </c>
      <c r="J60" s="637">
        <v>52</v>
      </c>
      <c r="K60" s="637">
        <v>527.67999999999995</v>
      </c>
      <c r="L60" s="635" t="s">
        <v>636</v>
      </c>
      <c r="M60" s="636">
        <v>21.5</v>
      </c>
      <c r="N60" s="637">
        <v>7.48</v>
      </c>
      <c r="O60" s="637">
        <v>10</v>
      </c>
      <c r="P60" s="637">
        <v>52</v>
      </c>
      <c r="Q60" s="635" t="s">
        <v>602</v>
      </c>
      <c r="R60" s="637">
        <v>511.68</v>
      </c>
      <c r="S60" s="635" t="s">
        <v>465</v>
      </c>
      <c r="T60" s="639">
        <v>10</v>
      </c>
      <c r="U60" s="87"/>
    </row>
    <row r="61" spans="1:21" ht="12.75" hidden="1" customHeight="1">
      <c r="A61" s="635" t="s">
        <v>360</v>
      </c>
      <c r="B61" s="635" t="s">
        <v>423</v>
      </c>
      <c r="C61" s="635" t="s">
        <v>17</v>
      </c>
      <c r="D61" s="635" t="s">
        <v>637</v>
      </c>
      <c r="E61" s="635" t="s">
        <v>449</v>
      </c>
      <c r="F61" s="635" t="s">
        <v>612</v>
      </c>
      <c r="G61" s="636">
        <v>16.7</v>
      </c>
      <c r="H61" s="637">
        <v>8.5299999999999994</v>
      </c>
      <c r="I61" s="637">
        <v>11.25</v>
      </c>
      <c r="J61" s="637">
        <v>52.71</v>
      </c>
      <c r="K61" s="637">
        <v>338.57</v>
      </c>
      <c r="L61" s="635" t="s">
        <v>638</v>
      </c>
      <c r="M61" s="636">
        <v>11.9</v>
      </c>
      <c r="N61" s="637">
        <v>7.98</v>
      </c>
      <c r="O61" s="637">
        <v>10.199999999999999</v>
      </c>
      <c r="P61" s="637">
        <v>52.71</v>
      </c>
      <c r="Q61" s="635" t="s">
        <v>639</v>
      </c>
      <c r="R61" s="637">
        <v>348.87</v>
      </c>
      <c r="S61" s="635" t="s">
        <v>38</v>
      </c>
      <c r="T61" s="639">
        <v>4</v>
      </c>
      <c r="U61" s="87"/>
    </row>
    <row r="62" spans="1:21" ht="12.75" hidden="1" customHeight="1">
      <c r="A62" s="635" t="s">
        <v>362</v>
      </c>
      <c r="B62" s="635" t="s">
        <v>400</v>
      </c>
      <c r="C62" s="635" t="s">
        <v>640</v>
      </c>
      <c r="D62" s="635" t="s">
        <v>641</v>
      </c>
      <c r="E62" s="635" t="s">
        <v>449</v>
      </c>
      <c r="F62" s="635" t="s">
        <v>642</v>
      </c>
      <c r="G62" s="636">
        <v>49.5</v>
      </c>
      <c r="H62" s="637">
        <v>9.31</v>
      </c>
      <c r="I62" s="637">
        <v>10.75</v>
      </c>
      <c r="J62" s="637">
        <v>52.87</v>
      </c>
      <c r="K62" s="637">
        <v>956.28</v>
      </c>
      <c r="L62" s="635" t="s">
        <v>643</v>
      </c>
      <c r="M62" s="636">
        <v>32.200000000000003</v>
      </c>
      <c r="N62" s="637">
        <v>8.33</v>
      </c>
      <c r="O62" s="637">
        <v>9.06</v>
      </c>
      <c r="P62" s="637">
        <v>53.27</v>
      </c>
      <c r="Q62" s="635" t="s">
        <v>486</v>
      </c>
      <c r="R62" s="637">
        <v>952.28</v>
      </c>
      <c r="S62" s="635" t="s">
        <v>38</v>
      </c>
      <c r="T62" s="639">
        <v>10</v>
      </c>
      <c r="U62" s="87"/>
    </row>
    <row r="63" spans="1:21" ht="12.75" hidden="1" customHeight="1">
      <c r="A63" s="635" t="s">
        <v>362</v>
      </c>
      <c r="B63" s="635" t="s">
        <v>390</v>
      </c>
      <c r="C63" s="635" t="s">
        <v>298</v>
      </c>
      <c r="D63" s="635" t="s">
        <v>644</v>
      </c>
      <c r="E63" s="635" t="s">
        <v>449</v>
      </c>
      <c r="F63" s="635" t="s">
        <v>645</v>
      </c>
      <c r="G63" s="636">
        <v>8.3000000000000007</v>
      </c>
      <c r="H63" s="637">
        <v>8.5</v>
      </c>
      <c r="I63" s="637">
        <v>10.85</v>
      </c>
      <c r="J63" s="637">
        <v>56</v>
      </c>
      <c r="K63" s="637">
        <v>192.56</v>
      </c>
      <c r="L63" s="635" t="s">
        <v>643</v>
      </c>
      <c r="M63" s="636">
        <v>1.9</v>
      </c>
      <c r="N63" s="637">
        <v>7.43</v>
      </c>
      <c r="O63" s="637">
        <v>9.4499999999999993</v>
      </c>
      <c r="P63" s="637">
        <v>50</v>
      </c>
      <c r="Q63" s="635" t="s">
        <v>486</v>
      </c>
      <c r="R63" s="637">
        <v>187.53</v>
      </c>
      <c r="S63" s="635" t="s">
        <v>38</v>
      </c>
      <c r="T63" s="639">
        <v>10</v>
      </c>
      <c r="U63" s="87"/>
    </row>
    <row r="64" spans="1:21" ht="12.75" hidden="1" customHeight="1">
      <c r="A64" s="635" t="s">
        <v>362</v>
      </c>
      <c r="B64" s="635" t="s">
        <v>391</v>
      </c>
      <c r="C64" s="635" t="s">
        <v>298</v>
      </c>
      <c r="D64" s="635" t="s">
        <v>646</v>
      </c>
      <c r="E64" s="635" t="s">
        <v>449</v>
      </c>
      <c r="F64" s="635" t="s">
        <v>645</v>
      </c>
      <c r="G64" s="636">
        <v>112.6</v>
      </c>
      <c r="H64" s="637">
        <v>8.11</v>
      </c>
      <c r="I64" s="637">
        <v>10.85</v>
      </c>
      <c r="J64" s="637">
        <v>56</v>
      </c>
      <c r="K64" s="637">
        <v>1472.85</v>
      </c>
      <c r="L64" s="635" t="s">
        <v>643</v>
      </c>
      <c r="M64" s="636">
        <v>57.8</v>
      </c>
      <c r="N64" s="637">
        <v>6.94</v>
      </c>
      <c r="O64" s="637">
        <v>9.4499999999999993</v>
      </c>
      <c r="P64" s="637">
        <v>49</v>
      </c>
      <c r="Q64" s="635" t="s">
        <v>486</v>
      </c>
      <c r="R64" s="637">
        <v>1359.08</v>
      </c>
      <c r="S64" s="635" t="s">
        <v>38</v>
      </c>
      <c r="T64" s="639">
        <v>10</v>
      </c>
      <c r="U64" s="87"/>
    </row>
    <row r="65" spans="1:21" ht="12.75" hidden="1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</row>
    <row r="66" spans="1:21" ht="15" hidden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640">
        <f>AVERAGE(O6:O23)</f>
        <v>9.5109999999999992</v>
      </c>
      <c r="P66" s="641" t="s">
        <v>647</v>
      </c>
      <c r="Q66" s="642"/>
      <c r="R66" s="87"/>
      <c r="S66" s="87"/>
      <c r="T66" s="87"/>
      <c r="U66" s="87"/>
    </row>
    <row r="67" spans="1:21" ht="12.75" hidden="1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640">
        <v>9.8000000000000007</v>
      </c>
      <c r="P67" s="748" t="s">
        <v>648</v>
      </c>
      <c r="Q67" s="748"/>
      <c r="R67" s="87"/>
      <c r="S67" s="87"/>
      <c r="T67" s="87"/>
      <c r="U67" s="87"/>
    </row>
    <row r="68" spans="1:21" ht="15" hidden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640">
        <v>9.25</v>
      </c>
      <c r="P68" s="643" t="s">
        <v>649</v>
      </c>
      <c r="Q68" s="642"/>
      <c r="R68" s="87"/>
      <c r="S68" s="87"/>
      <c r="T68" s="87"/>
      <c r="U68" s="87"/>
    </row>
    <row r="69" spans="1:21" hidden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1:21" ht="18">
      <c r="A70" s="630" t="s">
        <v>431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678" t="s">
        <v>288</v>
      </c>
    </row>
    <row r="71" spans="1:21" ht="16.5" thickBot="1">
      <c r="A71" s="631" t="s">
        <v>432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696" t="s">
        <v>820</v>
      </c>
    </row>
    <row r="72" spans="1:21" ht="13.5" thickBot="1">
      <c r="A72" s="87"/>
      <c r="B72" s="87"/>
      <c r="C72" s="87"/>
      <c r="D72" s="87"/>
      <c r="E72" s="87"/>
      <c r="F72" s="747" t="s">
        <v>433</v>
      </c>
      <c r="G72" s="747"/>
      <c r="H72" s="747"/>
      <c r="I72" s="747"/>
      <c r="J72" s="747"/>
      <c r="K72" s="747"/>
      <c r="L72" s="749" t="s">
        <v>434</v>
      </c>
      <c r="M72" s="749"/>
      <c r="N72" s="749"/>
      <c r="O72" s="749"/>
      <c r="P72" s="749"/>
      <c r="Q72" s="749"/>
      <c r="R72" s="749"/>
      <c r="S72" s="749"/>
      <c r="T72" s="87"/>
      <c r="U72" s="87"/>
    </row>
    <row r="73" spans="1:21" ht="63.75">
      <c r="A73" s="695" t="s">
        <v>348</v>
      </c>
      <c r="B73" s="695" t="s">
        <v>349</v>
      </c>
      <c r="C73" s="634" t="s">
        <v>435</v>
      </c>
      <c r="D73" s="634" t="s">
        <v>436</v>
      </c>
      <c r="E73" s="634" t="s">
        <v>437</v>
      </c>
      <c r="F73" s="634" t="s">
        <v>242</v>
      </c>
      <c r="G73" s="634" t="s">
        <v>438</v>
      </c>
      <c r="H73" s="634" t="s">
        <v>439</v>
      </c>
      <c r="I73" s="634" t="s">
        <v>351</v>
      </c>
      <c r="J73" s="634" t="s">
        <v>440</v>
      </c>
      <c r="K73" s="634" t="s">
        <v>441</v>
      </c>
      <c r="L73" s="634" t="s">
        <v>242</v>
      </c>
      <c r="M73" s="634" t="s">
        <v>350</v>
      </c>
      <c r="N73" s="634" t="s">
        <v>442</v>
      </c>
      <c r="O73" s="634" t="s">
        <v>351</v>
      </c>
      <c r="P73" s="634" t="s">
        <v>440</v>
      </c>
      <c r="Q73" s="634" t="s">
        <v>443</v>
      </c>
      <c r="R73" s="634" t="s">
        <v>444</v>
      </c>
      <c r="S73" s="634" t="s">
        <v>445</v>
      </c>
      <c r="T73" s="634" t="s">
        <v>655</v>
      </c>
      <c r="U73" s="679" t="s">
        <v>656</v>
      </c>
    </row>
    <row r="74" spans="1:21" ht="12" customHeight="1">
      <c r="A74" s="635" t="s">
        <v>405</v>
      </c>
      <c r="B74" s="635" t="s">
        <v>422</v>
      </c>
      <c r="C74" s="635" t="s">
        <v>535</v>
      </c>
      <c r="D74" s="635" t="s">
        <v>753</v>
      </c>
      <c r="E74" s="635" t="s">
        <v>449</v>
      </c>
      <c r="F74" s="635" t="s">
        <v>657</v>
      </c>
      <c r="G74" s="636">
        <v>151.30000000000001</v>
      </c>
      <c r="H74" s="637">
        <v>7.78</v>
      </c>
      <c r="I74" s="637">
        <v>10.3</v>
      </c>
      <c r="J74" s="637">
        <v>56</v>
      </c>
      <c r="K74" s="637">
        <v>1452.56</v>
      </c>
      <c r="L74" s="635" t="s">
        <v>658</v>
      </c>
      <c r="M74" s="636">
        <v>29.6</v>
      </c>
      <c r="N74" s="637">
        <v>7.53</v>
      </c>
      <c r="O74" s="638">
        <v>9.7200000000000006</v>
      </c>
      <c r="P74" s="637">
        <v>56.06</v>
      </c>
      <c r="Q74" s="635" t="s">
        <v>513</v>
      </c>
      <c r="R74" s="637">
        <v>1147.71</v>
      </c>
      <c r="S74" s="635" t="s">
        <v>465</v>
      </c>
      <c r="T74" s="639">
        <v>12</v>
      </c>
      <c r="U74" s="680">
        <f>+O74-I74</f>
        <v>-0.58000000000000007</v>
      </c>
    </row>
    <row r="75" spans="1:21" ht="12" customHeight="1">
      <c r="A75" s="635" t="s">
        <v>359</v>
      </c>
      <c r="B75" s="635" t="s">
        <v>754</v>
      </c>
      <c r="C75" s="635" t="s">
        <v>187</v>
      </c>
      <c r="D75" s="635" t="s">
        <v>755</v>
      </c>
      <c r="E75" s="635" t="s">
        <v>449</v>
      </c>
      <c r="F75" s="635" t="s">
        <v>659</v>
      </c>
      <c r="G75" s="636">
        <v>18.7</v>
      </c>
      <c r="H75" s="637">
        <v>7.97</v>
      </c>
      <c r="I75" s="637">
        <v>11.25</v>
      </c>
      <c r="J75" s="637">
        <v>50.01</v>
      </c>
      <c r="K75" s="637">
        <v>210.14</v>
      </c>
      <c r="L75" s="635" t="s">
        <v>660</v>
      </c>
      <c r="M75" s="636">
        <v>13.8</v>
      </c>
      <c r="N75" s="637" t="s">
        <v>167</v>
      </c>
      <c r="O75" s="638" t="s">
        <v>167</v>
      </c>
      <c r="P75" s="637" t="s">
        <v>167</v>
      </c>
      <c r="Q75" s="635" t="s">
        <v>661</v>
      </c>
      <c r="R75" s="637" t="s">
        <v>167</v>
      </c>
      <c r="S75" s="635" t="s">
        <v>167</v>
      </c>
      <c r="T75" s="639">
        <v>7</v>
      </c>
      <c r="U75" s="680"/>
    </row>
    <row r="76" spans="1:21" ht="12" customHeight="1">
      <c r="A76" s="635" t="s">
        <v>362</v>
      </c>
      <c r="B76" s="635" t="s">
        <v>400</v>
      </c>
      <c r="C76" s="635" t="s">
        <v>640</v>
      </c>
      <c r="D76" s="635" t="s">
        <v>756</v>
      </c>
      <c r="E76" s="635" t="s">
        <v>449</v>
      </c>
      <c r="F76" s="635" t="s">
        <v>662</v>
      </c>
      <c r="G76" s="636">
        <v>47.2</v>
      </c>
      <c r="H76" s="637">
        <v>8.57</v>
      </c>
      <c r="I76" s="637">
        <v>10.4</v>
      </c>
      <c r="J76" s="637">
        <v>51.82</v>
      </c>
      <c r="K76" s="637">
        <v>1061.45</v>
      </c>
      <c r="L76" s="635" t="s">
        <v>663</v>
      </c>
      <c r="M76" s="636">
        <v>32.4</v>
      </c>
      <c r="N76" s="637">
        <v>7.75</v>
      </c>
      <c r="O76" s="638">
        <v>9.08</v>
      </c>
      <c r="P76" s="637">
        <v>51.68</v>
      </c>
      <c r="Q76" s="635" t="s">
        <v>457</v>
      </c>
      <c r="R76" s="637">
        <v>1056</v>
      </c>
      <c r="S76" s="635" t="s">
        <v>38</v>
      </c>
      <c r="T76" s="639">
        <v>10</v>
      </c>
      <c r="U76" s="680">
        <f t="shared" ref="U76:U145" si="0">+O76-I76</f>
        <v>-1.3200000000000003</v>
      </c>
    </row>
    <row r="77" spans="1:21" ht="12" customHeight="1">
      <c r="A77" s="635" t="s">
        <v>757</v>
      </c>
      <c r="B77" s="635" t="s">
        <v>423</v>
      </c>
      <c r="C77" s="635" t="s">
        <v>17</v>
      </c>
      <c r="D77" s="635" t="s">
        <v>758</v>
      </c>
      <c r="E77" s="635" t="s">
        <v>449</v>
      </c>
      <c r="F77" s="635" t="s">
        <v>664</v>
      </c>
      <c r="G77" s="636">
        <v>79.8</v>
      </c>
      <c r="H77" s="637">
        <v>8.15</v>
      </c>
      <c r="I77" s="637">
        <v>11.3</v>
      </c>
      <c r="J77" s="637">
        <v>50.66</v>
      </c>
      <c r="K77" s="637">
        <v>1911.97</v>
      </c>
      <c r="L77" s="635" t="s">
        <v>665</v>
      </c>
      <c r="M77" s="636">
        <v>30.7</v>
      </c>
      <c r="N77" s="637">
        <v>7.51</v>
      </c>
      <c r="O77" s="638">
        <v>10</v>
      </c>
      <c r="P77" s="637">
        <v>50.66</v>
      </c>
      <c r="Q77" s="635" t="s">
        <v>639</v>
      </c>
      <c r="R77" s="637">
        <v>1822.43</v>
      </c>
      <c r="S77" s="635" t="s">
        <v>465</v>
      </c>
      <c r="T77" s="639">
        <v>6</v>
      </c>
      <c r="U77" s="680">
        <f t="shared" si="0"/>
        <v>-1.3000000000000007</v>
      </c>
    </row>
    <row r="78" spans="1:21" ht="12" customHeight="1">
      <c r="A78" s="635" t="s">
        <v>377</v>
      </c>
      <c r="B78" s="635" t="s">
        <v>411</v>
      </c>
      <c r="C78" s="635" t="s">
        <v>759</v>
      </c>
      <c r="D78" s="635" t="s">
        <v>760</v>
      </c>
      <c r="E78" s="635" t="s">
        <v>449</v>
      </c>
      <c r="F78" s="635" t="s">
        <v>666</v>
      </c>
      <c r="G78" s="636">
        <v>6</v>
      </c>
      <c r="H78" s="637">
        <v>5.36</v>
      </c>
      <c r="I78" s="637">
        <v>10.4</v>
      </c>
      <c r="J78" s="637">
        <v>46.94</v>
      </c>
      <c r="K78" s="637">
        <v>208.57</v>
      </c>
      <c r="L78" s="635" t="s">
        <v>667</v>
      </c>
      <c r="M78" s="636">
        <v>3.6</v>
      </c>
      <c r="N78" s="637">
        <v>6.04</v>
      </c>
      <c r="O78" s="638">
        <v>9.6999999999999993</v>
      </c>
      <c r="P78" s="637">
        <v>46.94</v>
      </c>
      <c r="Q78" s="635" t="s">
        <v>486</v>
      </c>
      <c r="R78" s="637" t="s">
        <v>167</v>
      </c>
      <c r="S78" s="635" t="s">
        <v>465</v>
      </c>
      <c r="T78" s="639">
        <v>6</v>
      </c>
      <c r="U78" s="680">
        <f t="shared" si="0"/>
        <v>-0.70000000000000107</v>
      </c>
    </row>
    <row r="79" spans="1:21" ht="12" customHeight="1">
      <c r="A79" s="635" t="s">
        <v>357</v>
      </c>
      <c r="B79" s="635" t="s">
        <v>375</v>
      </c>
      <c r="C79" s="635" t="s">
        <v>148</v>
      </c>
      <c r="D79" s="635" t="s">
        <v>761</v>
      </c>
      <c r="E79" s="635" t="s">
        <v>449</v>
      </c>
      <c r="F79" s="635" t="s">
        <v>668</v>
      </c>
      <c r="G79" s="636">
        <v>16.600000000000001</v>
      </c>
      <c r="H79" s="637">
        <v>8.59</v>
      </c>
      <c r="I79" s="637">
        <v>11.25</v>
      </c>
      <c r="J79" s="637">
        <v>52.39</v>
      </c>
      <c r="K79" s="637">
        <v>203.3</v>
      </c>
      <c r="L79" s="635" t="s">
        <v>669</v>
      </c>
      <c r="M79" s="636">
        <v>7.7</v>
      </c>
      <c r="N79" s="637" t="s">
        <v>167</v>
      </c>
      <c r="O79" s="638" t="s">
        <v>167</v>
      </c>
      <c r="P79" s="637" t="s">
        <v>167</v>
      </c>
      <c r="Q79" s="635" t="s">
        <v>167</v>
      </c>
      <c r="R79" s="637" t="s">
        <v>167</v>
      </c>
      <c r="S79" s="635" t="s">
        <v>167</v>
      </c>
      <c r="T79" s="639">
        <v>6</v>
      </c>
      <c r="U79" s="680"/>
    </row>
    <row r="80" spans="1:21" ht="12" customHeight="1">
      <c r="A80" s="635" t="s">
        <v>406</v>
      </c>
      <c r="B80" s="635" t="s">
        <v>407</v>
      </c>
      <c r="C80" s="635" t="s">
        <v>510</v>
      </c>
      <c r="D80" s="635" t="s">
        <v>762</v>
      </c>
      <c r="E80" s="635" t="s">
        <v>449</v>
      </c>
      <c r="F80" s="635" t="s">
        <v>670</v>
      </c>
      <c r="G80" s="636">
        <v>24.2</v>
      </c>
      <c r="H80" s="637">
        <v>7.79</v>
      </c>
      <c r="I80" s="637">
        <v>10.35</v>
      </c>
      <c r="J80" s="637">
        <v>51.05</v>
      </c>
      <c r="K80" s="637">
        <v>1048.7</v>
      </c>
      <c r="L80" s="635" t="s">
        <v>669</v>
      </c>
      <c r="M80" s="636">
        <v>12.5</v>
      </c>
      <c r="N80" s="637">
        <v>7.41</v>
      </c>
      <c r="O80" s="638">
        <v>9.6</v>
      </c>
      <c r="P80" s="637">
        <v>51.05</v>
      </c>
      <c r="Q80" s="635" t="s">
        <v>671</v>
      </c>
      <c r="R80" s="637">
        <v>1027.03</v>
      </c>
      <c r="S80" s="635" t="s">
        <v>38</v>
      </c>
      <c r="T80" s="639">
        <v>7</v>
      </c>
      <c r="U80" s="680">
        <f t="shared" si="0"/>
        <v>-0.75</v>
      </c>
    </row>
    <row r="81" spans="1:21" ht="12" customHeight="1">
      <c r="A81" s="635" t="s">
        <v>353</v>
      </c>
      <c r="B81" s="635" t="s">
        <v>401</v>
      </c>
      <c r="C81" s="635" t="s">
        <v>610</v>
      </c>
      <c r="D81" s="635" t="s">
        <v>763</v>
      </c>
      <c r="E81" s="635" t="s">
        <v>449</v>
      </c>
      <c r="F81" s="635" t="s">
        <v>462</v>
      </c>
      <c r="G81" s="636">
        <v>48.9</v>
      </c>
      <c r="H81" s="637">
        <v>6.49</v>
      </c>
      <c r="I81" s="637">
        <v>10.5</v>
      </c>
      <c r="J81" s="637">
        <v>40.99</v>
      </c>
      <c r="K81" s="637">
        <v>3237.75</v>
      </c>
      <c r="L81" s="635" t="s">
        <v>672</v>
      </c>
      <c r="M81" s="636">
        <v>0</v>
      </c>
      <c r="N81" s="637" t="s">
        <v>167</v>
      </c>
      <c r="O81" s="638" t="s">
        <v>167</v>
      </c>
      <c r="P81" s="637" t="s">
        <v>167</v>
      </c>
      <c r="Q81" s="635" t="s">
        <v>673</v>
      </c>
      <c r="R81" s="637" t="s">
        <v>167</v>
      </c>
      <c r="S81" s="635" t="s">
        <v>167</v>
      </c>
      <c r="T81" s="639">
        <v>10</v>
      </c>
      <c r="U81" s="680"/>
    </row>
    <row r="82" spans="1:21" ht="12" customHeight="1">
      <c r="A82" s="635" t="s">
        <v>382</v>
      </c>
      <c r="B82" s="635" t="s">
        <v>534</v>
      </c>
      <c r="C82" s="635" t="s">
        <v>535</v>
      </c>
      <c r="D82" s="635" t="s">
        <v>764</v>
      </c>
      <c r="E82" s="635" t="s">
        <v>449</v>
      </c>
      <c r="F82" s="635" t="s">
        <v>664</v>
      </c>
      <c r="G82" s="636">
        <v>0</v>
      </c>
      <c r="H82" s="637" t="s">
        <v>167</v>
      </c>
      <c r="I82" s="637">
        <v>10.4</v>
      </c>
      <c r="J82" s="637" t="s">
        <v>167</v>
      </c>
      <c r="K82" s="637" t="s">
        <v>167</v>
      </c>
      <c r="L82" s="635" t="s">
        <v>674</v>
      </c>
      <c r="M82" s="636">
        <v>0</v>
      </c>
      <c r="N82" s="637">
        <v>8.34</v>
      </c>
      <c r="O82" s="638">
        <v>10.199999999999999</v>
      </c>
      <c r="P82" s="637">
        <v>52.54</v>
      </c>
      <c r="Q82" s="635" t="s">
        <v>457</v>
      </c>
      <c r="R82" s="637">
        <v>90.02</v>
      </c>
      <c r="S82" s="635" t="s">
        <v>38</v>
      </c>
      <c r="T82" s="639">
        <v>6</v>
      </c>
      <c r="U82" s="680">
        <f t="shared" si="0"/>
        <v>-0.20000000000000107</v>
      </c>
    </row>
    <row r="83" spans="1:21" ht="12" customHeight="1">
      <c r="A83" s="635" t="s">
        <v>406</v>
      </c>
      <c r="B83" s="635" t="s">
        <v>477</v>
      </c>
      <c r="C83" s="635" t="s">
        <v>101</v>
      </c>
      <c r="D83" s="635" t="s">
        <v>765</v>
      </c>
      <c r="E83" s="635" t="s">
        <v>449</v>
      </c>
      <c r="F83" s="635" t="s">
        <v>675</v>
      </c>
      <c r="G83" s="636">
        <v>28.3</v>
      </c>
      <c r="H83" s="637">
        <v>8.6999999999999993</v>
      </c>
      <c r="I83" s="637">
        <v>10.7</v>
      </c>
      <c r="J83" s="637">
        <v>60.81</v>
      </c>
      <c r="K83" s="637">
        <v>682.64</v>
      </c>
      <c r="L83" s="635" t="s">
        <v>676</v>
      </c>
      <c r="M83" s="636">
        <v>8.9</v>
      </c>
      <c r="N83" s="637">
        <v>7.7</v>
      </c>
      <c r="O83" s="638">
        <v>9.5</v>
      </c>
      <c r="P83" s="637">
        <v>53.02</v>
      </c>
      <c r="Q83" s="635" t="s">
        <v>452</v>
      </c>
      <c r="R83" s="637">
        <v>672.26</v>
      </c>
      <c r="S83" s="635" t="s">
        <v>38</v>
      </c>
      <c r="T83" s="639">
        <v>7</v>
      </c>
      <c r="U83" s="680">
        <f t="shared" si="0"/>
        <v>-1.1999999999999993</v>
      </c>
    </row>
    <row r="84" spans="1:21" ht="12" customHeight="1">
      <c r="A84" s="635" t="s">
        <v>353</v>
      </c>
      <c r="B84" s="635" t="s">
        <v>354</v>
      </c>
      <c r="C84" s="635" t="s">
        <v>298</v>
      </c>
      <c r="D84" s="635" t="s">
        <v>766</v>
      </c>
      <c r="E84" s="635" t="s">
        <v>449</v>
      </c>
      <c r="F84" s="635" t="s">
        <v>677</v>
      </c>
      <c r="G84" s="636">
        <v>8</v>
      </c>
      <c r="H84" s="637">
        <v>6.4</v>
      </c>
      <c r="I84" s="637">
        <v>10.75</v>
      </c>
      <c r="J84" s="637">
        <v>42.22</v>
      </c>
      <c r="K84" s="637">
        <v>210.49</v>
      </c>
      <c r="L84" s="635" t="s">
        <v>678</v>
      </c>
      <c r="M84" s="636">
        <v>4.5</v>
      </c>
      <c r="N84" s="637">
        <v>6.15</v>
      </c>
      <c r="O84" s="638">
        <v>10.25</v>
      </c>
      <c r="P84" s="637">
        <v>40.03</v>
      </c>
      <c r="Q84" s="635" t="s">
        <v>457</v>
      </c>
      <c r="R84" s="637" t="s">
        <v>167</v>
      </c>
      <c r="S84" s="635" t="s">
        <v>167</v>
      </c>
      <c r="T84" s="639">
        <v>5</v>
      </c>
      <c r="U84" s="680">
        <f t="shared" si="0"/>
        <v>-0.5</v>
      </c>
    </row>
    <row r="85" spans="1:21" ht="12" customHeight="1">
      <c r="A85" s="635" t="s">
        <v>352</v>
      </c>
      <c r="B85" s="635" t="s">
        <v>767</v>
      </c>
      <c r="C85" s="635" t="s">
        <v>768</v>
      </c>
      <c r="D85" s="635" t="s">
        <v>769</v>
      </c>
      <c r="E85" s="635" t="s">
        <v>449</v>
      </c>
      <c r="F85" s="635" t="s">
        <v>679</v>
      </c>
      <c r="G85" s="636">
        <v>44.6</v>
      </c>
      <c r="H85" s="637">
        <v>8.1300000000000008</v>
      </c>
      <c r="I85" s="637">
        <v>10.6</v>
      </c>
      <c r="J85" s="637">
        <v>53.3</v>
      </c>
      <c r="K85" s="637">
        <v>891.01</v>
      </c>
      <c r="L85" s="635" t="s">
        <v>680</v>
      </c>
      <c r="M85" s="636">
        <v>0</v>
      </c>
      <c r="N85" s="637">
        <v>7.73</v>
      </c>
      <c r="O85" s="638">
        <v>9.84</v>
      </c>
      <c r="P85" s="637">
        <v>53.3</v>
      </c>
      <c r="Q85" s="635" t="s">
        <v>486</v>
      </c>
      <c r="R85" s="637">
        <v>882.24</v>
      </c>
      <c r="S85" s="635" t="s">
        <v>681</v>
      </c>
      <c r="T85" s="639">
        <v>16</v>
      </c>
      <c r="U85" s="680">
        <f t="shared" si="0"/>
        <v>-0.75999999999999979</v>
      </c>
    </row>
    <row r="86" spans="1:21" ht="12" customHeight="1">
      <c r="A86" s="635" t="s">
        <v>382</v>
      </c>
      <c r="B86" s="635" t="s">
        <v>578</v>
      </c>
      <c r="C86" s="635" t="s">
        <v>298</v>
      </c>
      <c r="D86" s="635" t="s">
        <v>770</v>
      </c>
      <c r="E86" s="635" t="s">
        <v>449</v>
      </c>
      <c r="F86" s="635" t="s">
        <v>682</v>
      </c>
      <c r="G86" s="636">
        <v>19</v>
      </c>
      <c r="H86" s="637">
        <v>8.56</v>
      </c>
      <c r="I86" s="637">
        <v>10.75</v>
      </c>
      <c r="J86" s="637">
        <v>51.11</v>
      </c>
      <c r="K86" s="637">
        <v>345.17</v>
      </c>
      <c r="L86" s="635" t="s">
        <v>683</v>
      </c>
      <c r="M86" s="636">
        <v>-3.9</v>
      </c>
      <c r="N86" s="637">
        <v>8.1300000000000008</v>
      </c>
      <c r="O86" s="638">
        <v>10.199999999999999</v>
      </c>
      <c r="P86" s="637">
        <v>50.14</v>
      </c>
      <c r="Q86" s="635" t="s">
        <v>457</v>
      </c>
      <c r="R86" s="637">
        <v>342.03</v>
      </c>
      <c r="S86" s="635" t="s">
        <v>38</v>
      </c>
      <c r="T86" s="639">
        <v>7</v>
      </c>
      <c r="U86" s="680">
        <f t="shared" si="0"/>
        <v>-0.55000000000000071</v>
      </c>
    </row>
    <row r="87" spans="1:21" ht="12" customHeight="1">
      <c r="A87" s="635" t="s">
        <v>418</v>
      </c>
      <c r="B87" s="635" t="s">
        <v>419</v>
      </c>
      <c r="C87" s="635" t="s">
        <v>771</v>
      </c>
      <c r="D87" s="635" t="s">
        <v>772</v>
      </c>
      <c r="E87" s="635" t="s">
        <v>449</v>
      </c>
      <c r="F87" s="635" t="s">
        <v>684</v>
      </c>
      <c r="G87" s="636">
        <v>12.1</v>
      </c>
      <c r="H87" s="637">
        <v>7.53</v>
      </c>
      <c r="I87" s="637">
        <v>10.25</v>
      </c>
      <c r="J87" s="637">
        <v>49.22</v>
      </c>
      <c r="K87" s="637">
        <v>276.83</v>
      </c>
      <c r="L87" s="635" t="s">
        <v>685</v>
      </c>
      <c r="M87" s="636">
        <v>6.8</v>
      </c>
      <c r="N87" s="637" t="s">
        <v>167</v>
      </c>
      <c r="O87" s="638" t="s">
        <v>167</v>
      </c>
      <c r="P87" s="637" t="s">
        <v>167</v>
      </c>
      <c r="Q87" s="635" t="s">
        <v>486</v>
      </c>
      <c r="R87" s="637" t="s">
        <v>167</v>
      </c>
      <c r="S87" s="635" t="s">
        <v>167</v>
      </c>
      <c r="T87" s="639">
        <v>10</v>
      </c>
      <c r="U87" s="680"/>
    </row>
    <row r="88" spans="1:21" ht="12" customHeight="1">
      <c r="A88" s="635" t="s">
        <v>389</v>
      </c>
      <c r="B88" s="635" t="s">
        <v>773</v>
      </c>
      <c r="C88" s="635" t="s">
        <v>774</v>
      </c>
      <c r="D88" s="635" t="s">
        <v>775</v>
      </c>
      <c r="E88" s="635" t="s">
        <v>449</v>
      </c>
      <c r="F88" s="635" t="s">
        <v>686</v>
      </c>
      <c r="G88" s="636">
        <v>0.7</v>
      </c>
      <c r="H88" s="637" t="s">
        <v>167</v>
      </c>
      <c r="I88" s="637" t="s">
        <v>167</v>
      </c>
      <c r="J88" s="637" t="s">
        <v>167</v>
      </c>
      <c r="K88" s="637">
        <v>13</v>
      </c>
      <c r="L88" s="635" t="s">
        <v>687</v>
      </c>
      <c r="M88" s="636">
        <v>0.6</v>
      </c>
      <c r="N88" s="637" t="s">
        <v>167</v>
      </c>
      <c r="O88" s="638" t="s">
        <v>167</v>
      </c>
      <c r="P88" s="637" t="s">
        <v>167</v>
      </c>
      <c r="Q88" s="635" t="s">
        <v>167</v>
      </c>
      <c r="R88" s="637" t="s">
        <v>167</v>
      </c>
      <c r="S88" s="635" t="s">
        <v>167</v>
      </c>
      <c r="T88" s="639">
        <v>3</v>
      </c>
      <c r="U88" s="680"/>
    </row>
    <row r="89" spans="1:21" ht="12" customHeight="1">
      <c r="A89" s="635" t="s">
        <v>406</v>
      </c>
      <c r="B89" s="635" t="s">
        <v>447</v>
      </c>
      <c r="C89" s="635" t="s">
        <v>148</v>
      </c>
      <c r="D89" s="635" t="s">
        <v>448</v>
      </c>
      <c r="E89" s="635" t="s">
        <v>449</v>
      </c>
      <c r="F89" s="635" t="s">
        <v>450</v>
      </c>
      <c r="G89" s="636">
        <v>5.6</v>
      </c>
      <c r="H89" s="637">
        <v>8.1999999999999993</v>
      </c>
      <c r="I89" s="637">
        <v>10.85</v>
      </c>
      <c r="J89" s="637">
        <v>53.84</v>
      </c>
      <c r="K89" s="637">
        <v>60.71</v>
      </c>
      <c r="L89" s="635" t="s">
        <v>451</v>
      </c>
      <c r="M89" s="636">
        <v>3.6</v>
      </c>
      <c r="N89" s="637">
        <v>7.53</v>
      </c>
      <c r="O89" s="638">
        <v>9.6</v>
      </c>
      <c r="P89" s="637">
        <v>53.84</v>
      </c>
      <c r="Q89" s="635" t="s">
        <v>452</v>
      </c>
      <c r="R89" s="637">
        <v>60.54</v>
      </c>
      <c r="S89" s="635" t="s">
        <v>38</v>
      </c>
      <c r="T89" s="639">
        <v>6</v>
      </c>
      <c r="U89" s="680">
        <f t="shared" si="0"/>
        <v>-1.25</v>
      </c>
    </row>
    <row r="90" spans="1:21" ht="12" customHeight="1">
      <c r="A90" s="635" t="s">
        <v>382</v>
      </c>
      <c r="B90" s="635" t="s">
        <v>387</v>
      </c>
      <c r="C90" s="635" t="s">
        <v>453</v>
      </c>
      <c r="D90" s="635" t="s">
        <v>454</v>
      </c>
      <c r="E90" s="635" t="s">
        <v>449</v>
      </c>
      <c r="F90" s="635" t="s">
        <v>455</v>
      </c>
      <c r="G90" s="636">
        <v>0</v>
      </c>
      <c r="H90" s="637" t="s">
        <v>167</v>
      </c>
      <c r="I90" s="637" t="s">
        <v>167</v>
      </c>
      <c r="J90" s="637" t="s">
        <v>167</v>
      </c>
      <c r="K90" s="637" t="s">
        <v>167</v>
      </c>
      <c r="L90" s="635" t="s">
        <v>456</v>
      </c>
      <c r="M90" s="636">
        <v>0</v>
      </c>
      <c r="N90" s="637" t="s">
        <v>167</v>
      </c>
      <c r="O90" s="638" t="s">
        <v>167</v>
      </c>
      <c r="P90" s="637" t="s">
        <v>167</v>
      </c>
      <c r="Q90" s="635" t="s">
        <v>457</v>
      </c>
      <c r="R90" s="637" t="s">
        <v>167</v>
      </c>
      <c r="S90" s="635" t="s">
        <v>167</v>
      </c>
      <c r="T90" s="639">
        <v>3</v>
      </c>
      <c r="U90" s="680"/>
    </row>
    <row r="91" spans="1:21" ht="12" customHeight="1">
      <c r="A91" s="635" t="s">
        <v>389</v>
      </c>
      <c r="B91" s="635" t="s">
        <v>403</v>
      </c>
      <c r="C91" s="635" t="s">
        <v>11</v>
      </c>
      <c r="D91" s="635" t="s">
        <v>458</v>
      </c>
      <c r="E91" s="635" t="s">
        <v>449</v>
      </c>
      <c r="F91" s="635" t="s">
        <v>459</v>
      </c>
      <c r="G91" s="636">
        <v>58.4</v>
      </c>
      <c r="H91" s="637">
        <v>8.3699999999999992</v>
      </c>
      <c r="I91" s="637">
        <v>10.5</v>
      </c>
      <c r="J91" s="637">
        <v>56.7</v>
      </c>
      <c r="K91" s="637">
        <v>944.34</v>
      </c>
      <c r="L91" s="635" t="s">
        <v>460</v>
      </c>
      <c r="M91" s="636">
        <v>14.8</v>
      </c>
      <c r="N91" s="637" t="s">
        <v>167</v>
      </c>
      <c r="O91" s="638" t="s">
        <v>167</v>
      </c>
      <c r="P91" s="637" t="s">
        <v>167</v>
      </c>
      <c r="Q91" s="635" t="s">
        <v>167</v>
      </c>
      <c r="R91" s="637" t="s">
        <v>167</v>
      </c>
      <c r="S91" s="635" t="s">
        <v>167</v>
      </c>
      <c r="T91" s="639">
        <v>6</v>
      </c>
      <c r="U91" s="680"/>
    </row>
    <row r="92" spans="1:21" ht="12" customHeight="1">
      <c r="A92" s="635" t="s">
        <v>386</v>
      </c>
      <c r="B92" s="635" t="s">
        <v>399</v>
      </c>
      <c r="C92" s="635" t="s">
        <v>187</v>
      </c>
      <c r="D92" s="635" t="s">
        <v>461</v>
      </c>
      <c r="E92" s="635" t="s">
        <v>449</v>
      </c>
      <c r="F92" s="635" t="s">
        <v>462</v>
      </c>
      <c r="G92" s="636">
        <v>-1.2</v>
      </c>
      <c r="H92" s="637">
        <v>7.8</v>
      </c>
      <c r="I92" s="637">
        <v>9.8000000000000007</v>
      </c>
      <c r="J92" s="637">
        <v>48</v>
      </c>
      <c r="K92" s="637">
        <v>1592.3</v>
      </c>
      <c r="L92" s="635" t="s">
        <v>463</v>
      </c>
      <c r="M92" s="636">
        <v>9.1</v>
      </c>
      <c r="N92" s="637">
        <v>7.77</v>
      </c>
      <c r="O92" s="638">
        <v>9.8000000000000007</v>
      </c>
      <c r="P92" s="637">
        <v>48</v>
      </c>
      <c r="Q92" s="635" t="s">
        <v>464</v>
      </c>
      <c r="R92" s="637">
        <v>1592.3</v>
      </c>
      <c r="S92" s="635" t="s">
        <v>465</v>
      </c>
      <c r="T92" s="639">
        <v>4</v>
      </c>
      <c r="U92" s="680">
        <f t="shared" si="0"/>
        <v>0</v>
      </c>
    </row>
    <row r="93" spans="1:21" ht="12" customHeight="1">
      <c r="A93" s="635" t="s">
        <v>362</v>
      </c>
      <c r="B93" s="635" t="s">
        <v>390</v>
      </c>
      <c r="C93" s="635" t="s">
        <v>298</v>
      </c>
      <c r="D93" s="635" t="s">
        <v>466</v>
      </c>
      <c r="E93" s="635" t="s">
        <v>449</v>
      </c>
      <c r="F93" s="635" t="s">
        <v>467</v>
      </c>
      <c r="G93" s="636">
        <v>9.6</v>
      </c>
      <c r="H93" s="637">
        <v>7.12</v>
      </c>
      <c r="I93" s="637">
        <v>10</v>
      </c>
      <c r="J93" s="637">
        <v>50.32</v>
      </c>
      <c r="K93" s="637">
        <v>209.12</v>
      </c>
      <c r="L93" s="635" t="s">
        <v>468</v>
      </c>
      <c r="M93" s="636">
        <v>6.6</v>
      </c>
      <c r="N93" s="637">
        <v>6.72</v>
      </c>
      <c r="O93" s="638">
        <v>9.2799999999999994</v>
      </c>
      <c r="P93" s="637">
        <v>50.32</v>
      </c>
      <c r="Q93" s="635" t="s">
        <v>469</v>
      </c>
      <c r="R93" s="637">
        <v>199.97</v>
      </c>
      <c r="S93" s="635" t="s">
        <v>38</v>
      </c>
      <c r="T93" s="639">
        <v>10</v>
      </c>
      <c r="U93" s="680">
        <f t="shared" si="0"/>
        <v>-0.72000000000000064</v>
      </c>
    </row>
    <row r="94" spans="1:21" ht="12" customHeight="1">
      <c r="A94" s="635" t="s">
        <v>362</v>
      </c>
      <c r="B94" s="635" t="s">
        <v>391</v>
      </c>
      <c r="C94" s="635" t="s">
        <v>298</v>
      </c>
      <c r="D94" s="635" t="s">
        <v>470</v>
      </c>
      <c r="E94" s="635" t="s">
        <v>449</v>
      </c>
      <c r="F94" s="635" t="s">
        <v>467</v>
      </c>
      <c r="G94" s="636">
        <v>97.8</v>
      </c>
      <c r="H94" s="637">
        <v>7.07</v>
      </c>
      <c r="I94" s="637">
        <v>10</v>
      </c>
      <c r="J94" s="637">
        <v>50.43</v>
      </c>
      <c r="K94" s="637">
        <v>1659.27</v>
      </c>
      <c r="L94" s="635" t="s">
        <v>468</v>
      </c>
      <c r="M94" s="636">
        <v>57.2</v>
      </c>
      <c r="N94" s="637">
        <v>6.67</v>
      </c>
      <c r="O94" s="638">
        <v>9.2799999999999994</v>
      </c>
      <c r="P94" s="637">
        <v>50.43</v>
      </c>
      <c r="Q94" s="635" t="s">
        <v>469</v>
      </c>
      <c r="R94" s="637">
        <v>1470.2</v>
      </c>
      <c r="S94" s="635" t="s">
        <v>38</v>
      </c>
      <c r="T94" s="639">
        <v>10</v>
      </c>
      <c r="U94" s="680">
        <f t="shared" si="0"/>
        <v>-0.72000000000000064</v>
      </c>
    </row>
    <row r="95" spans="1:21" ht="12" customHeight="1">
      <c r="A95" s="635" t="s">
        <v>363</v>
      </c>
      <c r="B95" s="635" t="s">
        <v>430</v>
      </c>
      <c r="C95" s="635" t="s">
        <v>187</v>
      </c>
      <c r="D95" s="635" t="s">
        <v>471</v>
      </c>
      <c r="E95" s="635" t="s">
        <v>449</v>
      </c>
      <c r="F95" s="635" t="s">
        <v>472</v>
      </c>
      <c r="G95" s="636">
        <v>0</v>
      </c>
      <c r="H95" s="637">
        <v>6.98</v>
      </c>
      <c r="I95" s="637">
        <v>9.4</v>
      </c>
      <c r="J95" s="637">
        <v>48</v>
      </c>
      <c r="K95" s="637">
        <v>2276.96</v>
      </c>
      <c r="L95" s="635" t="s">
        <v>473</v>
      </c>
      <c r="M95" s="636">
        <v>0</v>
      </c>
      <c r="N95" s="637">
        <v>6.98</v>
      </c>
      <c r="O95" s="638">
        <v>9.4</v>
      </c>
      <c r="P95" s="637">
        <v>48</v>
      </c>
      <c r="Q95" s="635" t="s">
        <v>469</v>
      </c>
      <c r="R95" s="637">
        <v>2276.96</v>
      </c>
      <c r="S95" s="635" t="s">
        <v>38</v>
      </c>
      <c r="T95" s="639">
        <v>3</v>
      </c>
      <c r="U95" s="680">
        <f t="shared" si="0"/>
        <v>0</v>
      </c>
    </row>
    <row r="96" spans="1:21" ht="12" customHeight="1">
      <c r="A96" s="635" t="s">
        <v>359</v>
      </c>
      <c r="B96" s="635" t="s">
        <v>404</v>
      </c>
      <c r="C96" s="635" t="s">
        <v>148</v>
      </c>
      <c r="D96" s="635" t="s">
        <v>474</v>
      </c>
      <c r="E96" s="635" t="s">
        <v>449</v>
      </c>
      <c r="F96" s="635" t="s">
        <v>475</v>
      </c>
      <c r="G96" s="636">
        <v>77.3</v>
      </c>
      <c r="H96" s="637">
        <v>8.52</v>
      </c>
      <c r="I96" s="637">
        <v>11.25</v>
      </c>
      <c r="J96" s="637">
        <v>52.32</v>
      </c>
      <c r="K96" s="637">
        <v>1011.68</v>
      </c>
      <c r="L96" s="635" t="s">
        <v>476</v>
      </c>
      <c r="M96" s="636">
        <v>55.3</v>
      </c>
      <c r="N96" s="637" t="s">
        <v>167</v>
      </c>
      <c r="O96" s="638" t="s">
        <v>167</v>
      </c>
      <c r="P96" s="637" t="s">
        <v>167</v>
      </c>
      <c r="Q96" s="635" t="s">
        <v>167</v>
      </c>
      <c r="R96" s="637" t="s">
        <v>167</v>
      </c>
      <c r="S96" s="635" t="s">
        <v>167</v>
      </c>
      <c r="T96" s="639">
        <v>7</v>
      </c>
      <c r="U96" s="680"/>
    </row>
    <row r="97" spans="1:21" ht="12" customHeight="1">
      <c r="A97" s="635" t="s">
        <v>429</v>
      </c>
      <c r="B97" s="635" t="s">
        <v>477</v>
      </c>
      <c r="C97" s="635" t="s">
        <v>101</v>
      </c>
      <c r="D97" s="635" t="s">
        <v>478</v>
      </c>
      <c r="E97" s="635" t="s">
        <v>449</v>
      </c>
      <c r="F97" s="635" t="s">
        <v>479</v>
      </c>
      <c r="G97" s="636">
        <v>28.2</v>
      </c>
      <c r="H97" s="637">
        <v>8.91</v>
      </c>
      <c r="I97" s="637">
        <v>10.9</v>
      </c>
      <c r="J97" s="637">
        <v>59.3</v>
      </c>
      <c r="K97" s="637">
        <v>206.86</v>
      </c>
      <c r="L97" s="635" t="s">
        <v>480</v>
      </c>
      <c r="M97" s="636">
        <v>8.4</v>
      </c>
      <c r="N97" s="637">
        <v>7.93</v>
      </c>
      <c r="O97" s="638">
        <v>9.25</v>
      </c>
      <c r="P97" s="637">
        <v>59.3</v>
      </c>
      <c r="Q97" s="635" t="s">
        <v>481</v>
      </c>
      <c r="R97" s="637">
        <v>201.57</v>
      </c>
      <c r="S97" s="635" t="s">
        <v>38</v>
      </c>
      <c r="T97" s="639">
        <v>14</v>
      </c>
      <c r="U97" s="680">
        <f t="shared" si="0"/>
        <v>-1.6500000000000004</v>
      </c>
    </row>
    <row r="98" spans="1:21" ht="12" customHeight="1">
      <c r="A98" s="635" t="s">
        <v>415</v>
      </c>
      <c r="B98" s="635" t="s">
        <v>482</v>
      </c>
      <c r="C98" s="635" t="s">
        <v>304</v>
      </c>
      <c r="D98" s="635" t="s">
        <v>483</v>
      </c>
      <c r="E98" s="635" t="s">
        <v>449</v>
      </c>
      <c r="F98" s="635" t="s">
        <v>484</v>
      </c>
      <c r="G98" s="636">
        <v>37.299999999999997</v>
      </c>
      <c r="H98" s="637" t="s">
        <v>167</v>
      </c>
      <c r="I98" s="637" t="s">
        <v>167</v>
      </c>
      <c r="J98" s="637" t="s">
        <v>167</v>
      </c>
      <c r="K98" s="637">
        <v>524.59</v>
      </c>
      <c r="L98" s="635" t="s">
        <v>485</v>
      </c>
      <c r="M98" s="636">
        <v>8.1999999999999993</v>
      </c>
      <c r="N98" s="637" t="s">
        <v>167</v>
      </c>
      <c r="O98" s="638" t="s">
        <v>167</v>
      </c>
      <c r="P98" s="637" t="s">
        <v>167</v>
      </c>
      <c r="Q98" s="635" t="s">
        <v>486</v>
      </c>
      <c r="R98" s="637">
        <v>497.58</v>
      </c>
      <c r="S98" s="635" t="s">
        <v>38</v>
      </c>
      <c r="T98" s="639">
        <v>29</v>
      </c>
      <c r="U98" s="680"/>
    </row>
    <row r="99" spans="1:21" ht="12" customHeight="1">
      <c r="A99" s="635" t="s">
        <v>415</v>
      </c>
      <c r="B99" s="635" t="s">
        <v>487</v>
      </c>
      <c r="C99" s="635" t="s">
        <v>304</v>
      </c>
      <c r="D99" s="635" t="s">
        <v>488</v>
      </c>
      <c r="E99" s="635" t="s">
        <v>449</v>
      </c>
      <c r="F99" s="635" t="s">
        <v>484</v>
      </c>
      <c r="G99" s="636">
        <v>239</v>
      </c>
      <c r="H99" s="637" t="s">
        <v>167</v>
      </c>
      <c r="I99" s="637" t="s">
        <v>167</v>
      </c>
      <c r="J99" s="637" t="s">
        <v>167</v>
      </c>
      <c r="K99" s="637">
        <v>3622.43</v>
      </c>
      <c r="L99" s="635" t="s">
        <v>485</v>
      </c>
      <c r="M99" s="636">
        <v>84.8</v>
      </c>
      <c r="N99" s="637" t="s">
        <v>167</v>
      </c>
      <c r="O99" s="638" t="s">
        <v>167</v>
      </c>
      <c r="P99" s="637" t="s">
        <v>167</v>
      </c>
      <c r="Q99" s="635" t="s">
        <v>486</v>
      </c>
      <c r="R99" s="637">
        <v>3443.86</v>
      </c>
      <c r="S99" s="635" t="s">
        <v>38</v>
      </c>
      <c r="T99" s="639">
        <v>29</v>
      </c>
      <c r="U99" s="680"/>
    </row>
    <row r="100" spans="1:21" ht="12" customHeight="1">
      <c r="A100" s="635" t="s">
        <v>389</v>
      </c>
      <c r="B100" s="635" t="s">
        <v>393</v>
      </c>
      <c r="C100" s="635" t="s">
        <v>11</v>
      </c>
      <c r="D100" s="635" t="s">
        <v>489</v>
      </c>
      <c r="E100" s="635" t="s">
        <v>449</v>
      </c>
      <c r="F100" s="635" t="s">
        <v>490</v>
      </c>
      <c r="G100" s="636">
        <v>1.7</v>
      </c>
      <c r="H100" s="637" t="s">
        <v>167</v>
      </c>
      <c r="I100" s="637" t="s">
        <v>167</v>
      </c>
      <c r="J100" s="637" t="s">
        <v>167</v>
      </c>
      <c r="K100" s="637">
        <v>53</v>
      </c>
      <c r="L100" s="635" t="s">
        <v>491</v>
      </c>
      <c r="M100" s="636">
        <v>1.7</v>
      </c>
      <c r="N100" s="637" t="s">
        <v>167</v>
      </c>
      <c r="O100" s="638" t="s">
        <v>167</v>
      </c>
      <c r="P100" s="637" t="s">
        <v>167</v>
      </c>
      <c r="Q100" s="635" t="s">
        <v>167</v>
      </c>
      <c r="R100" s="637" t="s">
        <v>167</v>
      </c>
      <c r="S100" s="635" t="s">
        <v>167</v>
      </c>
      <c r="T100" s="639">
        <v>2</v>
      </c>
      <c r="U100" s="680"/>
    </row>
    <row r="101" spans="1:21" ht="12" customHeight="1">
      <c r="A101" s="635" t="s">
        <v>408</v>
      </c>
      <c r="B101" s="635" t="s">
        <v>492</v>
      </c>
      <c r="C101" s="635" t="s">
        <v>493</v>
      </c>
      <c r="D101" s="635" t="s">
        <v>494</v>
      </c>
      <c r="E101" s="635" t="s">
        <v>449</v>
      </c>
      <c r="F101" s="635" t="s">
        <v>475</v>
      </c>
      <c r="G101" s="636">
        <v>15.5</v>
      </c>
      <c r="H101" s="637">
        <v>7.81</v>
      </c>
      <c r="I101" s="637">
        <v>10.5</v>
      </c>
      <c r="J101" s="637">
        <v>47.65</v>
      </c>
      <c r="K101" s="637">
        <v>309.47000000000003</v>
      </c>
      <c r="L101" s="635" t="s">
        <v>495</v>
      </c>
      <c r="M101" s="636">
        <v>11.5</v>
      </c>
      <c r="N101" s="637" t="s">
        <v>167</v>
      </c>
      <c r="O101" s="638">
        <v>9.8000000000000007</v>
      </c>
      <c r="P101" s="637" t="s">
        <v>167</v>
      </c>
      <c r="Q101" s="635" t="s">
        <v>167</v>
      </c>
      <c r="R101" s="637" t="s">
        <v>167</v>
      </c>
      <c r="S101" s="635" t="s">
        <v>167</v>
      </c>
      <c r="T101" s="639">
        <v>6</v>
      </c>
      <c r="U101" s="680">
        <f t="shared" si="0"/>
        <v>-0.69999999999999929</v>
      </c>
    </row>
    <row r="102" spans="1:21" ht="12" customHeight="1">
      <c r="A102" s="635" t="s">
        <v>372</v>
      </c>
      <c r="B102" s="635" t="s">
        <v>373</v>
      </c>
      <c r="C102" s="635" t="s">
        <v>496</v>
      </c>
      <c r="D102" s="635" t="s">
        <v>497</v>
      </c>
      <c r="E102" s="635" t="s">
        <v>449</v>
      </c>
      <c r="F102" s="635" t="s">
        <v>498</v>
      </c>
      <c r="G102" s="636">
        <v>4.5999999999999996</v>
      </c>
      <c r="H102" s="637">
        <v>8.4600000000000009</v>
      </c>
      <c r="I102" s="637">
        <v>10.9</v>
      </c>
      <c r="J102" s="637">
        <v>50</v>
      </c>
      <c r="K102" s="637">
        <v>110.93</v>
      </c>
      <c r="L102" s="635" t="s">
        <v>499</v>
      </c>
      <c r="M102" s="636">
        <v>4.4000000000000004</v>
      </c>
      <c r="N102" s="637">
        <v>7.91</v>
      </c>
      <c r="O102" s="638">
        <v>9.8000000000000007</v>
      </c>
      <c r="P102" s="637">
        <v>50</v>
      </c>
      <c r="Q102" s="635" t="s">
        <v>464</v>
      </c>
      <c r="R102" s="637">
        <v>116.1</v>
      </c>
      <c r="S102" s="635" t="s">
        <v>38</v>
      </c>
      <c r="T102" s="639">
        <v>5</v>
      </c>
      <c r="U102" s="680">
        <f t="shared" si="0"/>
        <v>-1.0999999999999996</v>
      </c>
    </row>
    <row r="103" spans="1:21" ht="12" customHeight="1">
      <c r="A103" s="635" t="s">
        <v>363</v>
      </c>
      <c r="B103" s="635" t="s">
        <v>364</v>
      </c>
      <c r="C103" s="635" t="s">
        <v>187</v>
      </c>
      <c r="D103" s="635" t="s">
        <v>500</v>
      </c>
      <c r="E103" s="635" t="s">
        <v>449</v>
      </c>
      <c r="F103" s="635" t="s">
        <v>501</v>
      </c>
      <c r="G103" s="636">
        <v>29</v>
      </c>
      <c r="H103" s="637">
        <v>7.38</v>
      </c>
      <c r="I103" s="637">
        <v>10.55</v>
      </c>
      <c r="J103" s="637">
        <v>51.36</v>
      </c>
      <c r="K103" s="637">
        <v>1085.3599999999999</v>
      </c>
      <c r="L103" s="635" t="s">
        <v>502</v>
      </c>
      <c r="M103" s="636">
        <v>-3.3</v>
      </c>
      <c r="N103" s="637">
        <v>6.5</v>
      </c>
      <c r="O103" s="638">
        <v>9.3000000000000007</v>
      </c>
      <c r="P103" s="637">
        <v>48</v>
      </c>
      <c r="Q103" s="635" t="s">
        <v>503</v>
      </c>
      <c r="R103" s="637">
        <v>1086</v>
      </c>
      <c r="S103" s="635" t="s">
        <v>38</v>
      </c>
      <c r="T103" s="639">
        <v>10</v>
      </c>
      <c r="U103" s="680">
        <f t="shared" si="0"/>
        <v>-1.25</v>
      </c>
    </row>
    <row r="104" spans="1:21" ht="12" customHeight="1">
      <c r="A104" s="635" t="s">
        <v>389</v>
      </c>
      <c r="B104" s="635" t="s">
        <v>403</v>
      </c>
      <c r="C104" s="635" t="s">
        <v>11</v>
      </c>
      <c r="D104" s="635" t="s">
        <v>504</v>
      </c>
      <c r="E104" s="635" t="s">
        <v>449</v>
      </c>
      <c r="F104" s="635" t="s">
        <v>505</v>
      </c>
      <c r="G104" s="636">
        <v>6.2</v>
      </c>
      <c r="H104" s="637" t="s">
        <v>167</v>
      </c>
      <c r="I104" s="637" t="s">
        <v>167</v>
      </c>
      <c r="J104" s="637" t="s">
        <v>167</v>
      </c>
      <c r="K104" s="637">
        <v>96.2</v>
      </c>
      <c r="L104" s="635" t="s">
        <v>506</v>
      </c>
      <c r="M104" s="636">
        <v>4.8</v>
      </c>
      <c r="N104" s="637" t="s">
        <v>167</v>
      </c>
      <c r="O104" s="638" t="s">
        <v>167</v>
      </c>
      <c r="P104" s="637" t="s">
        <v>167</v>
      </c>
      <c r="Q104" s="635" t="s">
        <v>167</v>
      </c>
      <c r="R104" s="637" t="s">
        <v>167</v>
      </c>
      <c r="S104" s="635" t="s">
        <v>167</v>
      </c>
      <c r="T104" s="639">
        <v>2</v>
      </c>
      <c r="U104" s="680"/>
    </row>
    <row r="105" spans="1:21" ht="12" customHeight="1">
      <c r="A105" s="635" t="s">
        <v>412</v>
      </c>
      <c r="B105" s="635" t="s">
        <v>395</v>
      </c>
      <c r="C105" s="635" t="s">
        <v>187</v>
      </c>
      <c r="D105" s="635" t="s">
        <v>507</v>
      </c>
      <c r="E105" s="635" t="s">
        <v>449</v>
      </c>
      <c r="F105" s="635" t="s">
        <v>508</v>
      </c>
      <c r="G105" s="636">
        <v>0</v>
      </c>
      <c r="H105" s="637" t="s">
        <v>167</v>
      </c>
      <c r="I105" s="637" t="s">
        <v>167</v>
      </c>
      <c r="J105" s="637" t="s">
        <v>167</v>
      </c>
      <c r="K105" s="637" t="s">
        <v>167</v>
      </c>
      <c r="L105" s="635" t="s">
        <v>509</v>
      </c>
      <c r="M105" s="636">
        <v>0</v>
      </c>
      <c r="N105" s="637" t="s">
        <v>167</v>
      </c>
      <c r="O105" s="638" t="s">
        <v>167</v>
      </c>
      <c r="P105" s="637" t="s">
        <v>167</v>
      </c>
      <c r="Q105" s="635" t="s">
        <v>167</v>
      </c>
      <c r="R105" s="637" t="s">
        <v>167</v>
      </c>
      <c r="S105" s="635" t="s">
        <v>167</v>
      </c>
      <c r="T105" s="639">
        <v>5</v>
      </c>
      <c r="U105" s="680"/>
    </row>
    <row r="106" spans="1:21" ht="12" customHeight="1">
      <c r="A106" s="635" t="s">
        <v>406</v>
      </c>
      <c r="B106" s="635" t="s">
        <v>407</v>
      </c>
      <c r="C106" s="635" t="s">
        <v>510</v>
      </c>
      <c r="D106" s="635" t="s">
        <v>511</v>
      </c>
      <c r="E106" s="635" t="s">
        <v>449</v>
      </c>
      <c r="F106" s="635" t="s">
        <v>512</v>
      </c>
      <c r="G106" s="636">
        <v>45.6</v>
      </c>
      <c r="H106" s="637">
        <v>7.96</v>
      </c>
      <c r="I106" s="637">
        <v>10.5</v>
      </c>
      <c r="J106" s="637">
        <v>48.4</v>
      </c>
      <c r="K106" s="637">
        <v>1014.28</v>
      </c>
      <c r="L106" s="635" t="s">
        <v>472</v>
      </c>
      <c r="M106" s="636">
        <v>32.4</v>
      </c>
      <c r="N106" s="637">
        <v>7.53</v>
      </c>
      <c r="O106" s="638">
        <v>9.6</v>
      </c>
      <c r="P106" s="637">
        <v>48.4</v>
      </c>
      <c r="Q106" s="635" t="s">
        <v>513</v>
      </c>
      <c r="R106" s="637">
        <v>975.86</v>
      </c>
      <c r="S106" s="635" t="s">
        <v>38</v>
      </c>
      <c r="T106" s="639">
        <v>7</v>
      </c>
      <c r="U106" s="680">
        <f t="shared" si="0"/>
        <v>-0.90000000000000036</v>
      </c>
    </row>
    <row r="107" spans="1:21" ht="12" customHeight="1">
      <c r="A107" s="635"/>
      <c r="B107" s="635"/>
      <c r="C107" s="635"/>
      <c r="D107" s="635"/>
      <c r="E107" s="635"/>
      <c r="F107" s="635"/>
      <c r="G107" s="636"/>
      <c r="H107" s="637"/>
      <c r="I107" s="637"/>
      <c r="J107" s="637"/>
      <c r="K107" s="637"/>
      <c r="L107" s="635"/>
      <c r="M107" s="636"/>
      <c r="N107" s="637"/>
      <c r="O107" s="681"/>
      <c r="P107" s="681"/>
      <c r="Q107" s="682"/>
      <c r="R107" s="681"/>
      <c r="S107" s="682"/>
      <c r="T107" s="683"/>
      <c r="U107" s="684"/>
    </row>
    <row r="108" spans="1:21" ht="14.25" customHeight="1">
      <c r="A108" s="635"/>
      <c r="B108" s="635"/>
      <c r="C108" s="635"/>
      <c r="D108" s="635"/>
      <c r="E108" s="635"/>
      <c r="F108" s="635"/>
      <c r="G108" s="636"/>
      <c r="H108" s="637"/>
      <c r="I108" s="637"/>
      <c r="J108" s="637"/>
      <c r="K108" s="637"/>
      <c r="L108" s="635"/>
      <c r="M108" s="685"/>
      <c r="N108" s="686" t="s">
        <v>688</v>
      </c>
      <c r="O108" s="687">
        <f>AVERAGE(O74:O106)</f>
        <v>9.66</v>
      </c>
      <c r="P108" s="87"/>
      <c r="Q108" s="87"/>
      <c r="R108" s="87"/>
      <c r="S108" s="87"/>
      <c r="T108" s="87"/>
      <c r="U108" s="687">
        <f>AVERAGE(U74:U106)</f>
        <v>-0.80750000000000033</v>
      </c>
    </row>
    <row r="109" spans="1:21" ht="14.25" customHeight="1">
      <c r="A109" s="635"/>
      <c r="B109" s="635"/>
      <c r="C109" s="635"/>
      <c r="D109" s="635"/>
      <c r="E109" s="635"/>
      <c r="F109" s="635"/>
      <c r="G109" s="636"/>
      <c r="H109" s="637"/>
      <c r="I109" s="637"/>
      <c r="J109" s="637"/>
      <c r="K109" s="637"/>
      <c r="L109" s="635"/>
      <c r="M109" s="685"/>
      <c r="N109" s="686" t="s">
        <v>689</v>
      </c>
      <c r="O109" s="687">
        <f>+O84</f>
        <v>10.25</v>
      </c>
      <c r="P109" s="87"/>
      <c r="Q109" s="87"/>
      <c r="R109" s="87"/>
      <c r="S109" s="87"/>
      <c r="T109" s="87"/>
      <c r="U109" s="680">
        <f>+U97</f>
        <v>-1.6500000000000004</v>
      </c>
    </row>
    <row r="110" spans="1:21" ht="14.25" customHeight="1">
      <c r="A110" s="635"/>
      <c r="B110" s="635"/>
      <c r="C110" s="635"/>
      <c r="D110" s="635"/>
      <c r="E110" s="635"/>
      <c r="F110" s="635"/>
      <c r="G110" s="636"/>
      <c r="H110" s="637"/>
      <c r="I110" s="637"/>
      <c r="J110" s="637"/>
      <c r="K110" s="637"/>
      <c r="L110" s="635"/>
      <c r="M110" s="685"/>
      <c r="N110" s="686" t="s">
        <v>690</v>
      </c>
      <c r="O110" s="687">
        <f>+O76</f>
        <v>9.08</v>
      </c>
      <c r="P110" s="87"/>
      <c r="Q110" s="87"/>
      <c r="R110" s="87"/>
      <c r="S110" s="87"/>
      <c r="T110" s="87"/>
      <c r="U110" s="680">
        <f>+U95</f>
        <v>0</v>
      </c>
    </row>
    <row r="111" spans="1:21" ht="12" customHeight="1">
      <c r="A111" s="635"/>
      <c r="B111" s="635"/>
      <c r="C111" s="635"/>
      <c r="D111" s="635"/>
      <c r="E111" s="635"/>
      <c r="F111" s="635"/>
      <c r="G111" s="636"/>
      <c r="H111" s="637"/>
      <c r="I111" s="637"/>
      <c r="J111" s="637"/>
      <c r="K111" s="637"/>
      <c r="L111" s="635"/>
      <c r="M111" s="688"/>
      <c r="N111" s="689"/>
      <c r="O111" s="690"/>
      <c r="P111" s="691"/>
      <c r="Q111" s="691"/>
      <c r="R111" s="691"/>
      <c r="S111" s="691"/>
      <c r="T111" s="691"/>
      <c r="U111" s="684"/>
    </row>
    <row r="112" spans="1:21" ht="12" customHeight="1">
      <c r="A112" s="635"/>
      <c r="B112" s="635"/>
      <c r="C112" s="635"/>
      <c r="D112" s="635"/>
      <c r="E112" s="635"/>
      <c r="F112" s="635"/>
      <c r="G112" s="636"/>
      <c r="H112" s="637"/>
      <c r="I112" s="637"/>
      <c r="J112" s="637"/>
      <c r="K112" s="637"/>
      <c r="L112" s="635"/>
      <c r="M112" s="688"/>
      <c r="N112" s="689"/>
      <c r="O112" s="690"/>
      <c r="P112" s="691"/>
      <c r="Q112" s="691"/>
      <c r="R112" s="691"/>
      <c r="S112" s="691"/>
      <c r="T112" s="691"/>
      <c r="U112" s="684"/>
    </row>
    <row r="113" spans="1:21" ht="12" customHeight="1">
      <c r="A113" s="635"/>
      <c r="B113" s="635"/>
      <c r="C113" s="635"/>
      <c r="D113" s="635"/>
      <c r="E113" s="635"/>
      <c r="F113" s="635"/>
      <c r="G113" s="636"/>
      <c r="H113" s="637"/>
      <c r="I113" s="637"/>
      <c r="J113" s="637"/>
      <c r="K113" s="637"/>
      <c r="L113" s="635"/>
      <c r="M113" s="636"/>
      <c r="N113" s="637"/>
      <c r="O113" s="681"/>
      <c r="P113" s="681"/>
      <c r="Q113" s="682"/>
      <c r="R113" s="681"/>
      <c r="S113" s="682"/>
      <c r="T113" s="683"/>
      <c r="U113" s="684"/>
    </row>
    <row r="114" spans="1:21" ht="12" customHeight="1">
      <c r="A114" s="635" t="s">
        <v>386</v>
      </c>
      <c r="B114" s="635" t="s">
        <v>373</v>
      </c>
      <c r="C114" s="635" t="s">
        <v>496</v>
      </c>
      <c r="D114" s="635" t="s">
        <v>514</v>
      </c>
      <c r="E114" s="635" t="s">
        <v>449</v>
      </c>
      <c r="F114" s="635" t="s">
        <v>515</v>
      </c>
      <c r="G114" s="636">
        <v>10.1</v>
      </c>
      <c r="H114" s="637">
        <v>8.25</v>
      </c>
      <c r="I114" s="637">
        <v>10.9</v>
      </c>
      <c r="J114" s="637">
        <v>48.4</v>
      </c>
      <c r="K114" s="637">
        <v>210</v>
      </c>
      <c r="L114" s="635" t="s">
        <v>516</v>
      </c>
      <c r="M114" s="636">
        <v>6.7</v>
      </c>
      <c r="N114" s="637">
        <v>7.64</v>
      </c>
      <c r="O114" s="681">
        <v>9.8000000000000007</v>
      </c>
      <c r="P114" s="637">
        <v>47</v>
      </c>
      <c r="Q114" s="635" t="s">
        <v>517</v>
      </c>
      <c r="R114" s="637" t="s">
        <v>167</v>
      </c>
      <c r="S114" s="635" t="s">
        <v>167</v>
      </c>
      <c r="T114" s="639">
        <v>8</v>
      </c>
      <c r="U114" s="684">
        <f t="shared" si="0"/>
        <v>-1.0999999999999996</v>
      </c>
    </row>
    <row r="115" spans="1:21" ht="12" customHeight="1">
      <c r="A115" s="635" t="s">
        <v>415</v>
      </c>
      <c r="B115" s="635" t="s">
        <v>416</v>
      </c>
      <c r="C115" s="635" t="s">
        <v>518</v>
      </c>
      <c r="D115" s="635" t="s">
        <v>519</v>
      </c>
      <c r="E115" s="635" t="s">
        <v>449</v>
      </c>
      <c r="F115" s="635" t="s">
        <v>520</v>
      </c>
      <c r="G115" s="636">
        <v>-23</v>
      </c>
      <c r="H115" s="637">
        <v>8.4499999999999993</v>
      </c>
      <c r="I115" s="637">
        <v>11</v>
      </c>
      <c r="J115" s="637">
        <v>52</v>
      </c>
      <c r="K115" s="637" t="s">
        <v>167</v>
      </c>
      <c r="L115" s="635" t="s">
        <v>521</v>
      </c>
      <c r="M115" s="636">
        <v>-55.8</v>
      </c>
      <c r="N115" s="637">
        <v>8.06</v>
      </c>
      <c r="O115" s="681">
        <v>10.4</v>
      </c>
      <c r="P115" s="637">
        <v>52</v>
      </c>
      <c r="Q115" s="635" t="s">
        <v>469</v>
      </c>
      <c r="R115" s="637" t="s">
        <v>167</v>
      </c>
      <c r="S115" s="635" t="s">
        <v>167</v>
      </c>
      <c r="T115" s="639">
        <v>8</v>
      </c>
      <c r="U115" s="684">
        <f t="shared" si="0"/>
        <v>-0.59999999999999964</v>
      </c>
    </row>
    <row r="116" spans="1:21" ht="12" customHeight="1">
      <c r="A116" s="635" t="s">
        <v>415</v>
      </c>
      <c r="B116" s="635" t="s">
        <v>482</v>
      </c>
      <c r="C116" s="635" t="s">
        <v>304</v>
      </c>
      <c r="D116" s="635" t="s">
        <v>522</v>
      </c>
      <c r="E116" s="635" t="s">
        <v>449</v>
      </c>
      <c r="F116" s="635" t="s">
        <v>520</v>
      </c>
      <c r="G116" s="636">
        <v>-0.8</v>
      </c>
      <c r="H116" s="637">
        <v>8.1999999999999993</v>
      </c>
      <c r="I116" s="637">
        <v>11</v>
      </c>
      <c r="J116" s="637">
        <v>52</v>
      </c>
      <c r="K116" s="637" t="s">
        <v>167</v>
      </c>
      <c r="L116" s="635" t="s">
        <v>521</v>
      </c>
      <c r="M116" s="636">
        <v>-6</v>
      </c>
      <c r="N116" s="637">
        <v>7.79</v>
      </c>
      <c r="O116" s="681">
        <v>10.3</v>
      </c>
      <c r="P116" s="637">
        <v>52</v>
      </c>
      <c r="Q116" s="635" t="s">
        <v>469</v>
      </c>
      <c r="R116" s="637" t="s">
        <v>167</v>
      </c>
      <c r="S116" s="635" t="s">
        <v>167</v>
      </c>
      <c r="T116" s="639">
        <v>8</v>
      </c>
      <c r="U116" s="684">
        <f t="shared" si="0"/>
        <v>-0.69999999999999929</v>
      </c>
    </row>
    <row r="117" spans="1:21" ht="12" customHeight="1">
      <c r="A117" s="635" t="s">
        <v>415</v>
      </c>
      <c r="B117" s="635" t="s">
        <v>487</v>
      </c>
      <c r="C117" s="635" t="s">
        <v>304</v>
      </c>
      <c r="D117" s="635" t="s">
        <v>523</v>
      </c>
      <c r="E117" s="635" t="s">
        <v>449</v>
      </c>
      <c r="F117" s="635" t="s">
        <v>520</v>
      </c>
      <c r="G117" s="636">
        <v>-1.4</v>
      </c>
      <c r="H117" s="637">
        <v>8.42</v>
      </c>
      <c r="I117" s="637">
        <v>10.9</v>
      </c>
      <c r="J117" s="637">
        <v>52</v>
      </c>
      <c r="K117" s="637" t="s">
        <v>167</v>
      </c>
      <c r="L117" s="635" t="s">
        <v>521</v>
      </c>
      <c r="M117" s="636">
        <v>-22</v>
      </c>
      <c r="N117" s="637">
        <v>8.02</v>
      </c>
      <c r="O117" s="681">
        <v>10.1</v>
      </c>
      <c r="P117" s="637">
        <v>52</v>
      </c>
      <c r="Q117" s="635" t="s">
        <v>469</v>
      </c>
      <c r="R117" s="637" t="s">
        <v>167</v>
      </c>
      <c r="S117" s="635" t="s">
        <v>167</v>
      </c>
      <c r="T117" s="639">
        <v>8</v>
      </c>
      <c r="U117" s="684">
        <f t="shared" si="0"/>
        <v>-0.80000000000000071</v>
      </c>
    </row>
    <row r="118" spans="1:21" ht="12" customHeight="1">
      <c r="A118" s="635" t="s">
        <v>357</v>
      </c>
      <c r="B118" s="635" t="s">
        <v>358</v>
      </c>
      <c r="C118" s="635" t="s">
        <v>524</v>
      </c>
      <c r="D118" s="635" t="s">
        <v>525</v>
      </c>
      <c r="E118" s="635" t="s">
        <v>449</v>
      </c>
      <c r="F118" s="635" t="s">
        <v>526</v>
      </c>
      <c r="G118" s="636">
        <v>17.2</v>
      </c>
      <c r="H118" s="637">
        <v>7.8</v>
      </c>
      <c r="I118" s="637">
        <v>11</v>
      </c>
      <c r="J118" s="637">
        <v>55.64</v>
      </c>
      <c r="K118" s="637">
        <v>523.75</v>
      </c>
      <c r="L118" s="635" t="s">
        <v>521</v>
      </c>
      <c r="M118" s="636">
        <v>15</v>
      </c>
      <c r="N118" s="637" t="s">
        <v>167</v>
      </c>
      <c r="O118" s="681">
        <v>10.25</v>
      </c>
      <c r="P118" s="637" t="s">
        <v>167</v>
      </c>
      <c r="Q118" s="635" t="s">
        <v>527</v>
      </c>
      <c r="R118" s="637" t="s">
        <v>167</v>
      </c>
      <c r="S118" s="635" t="s">
        <v>167</v>
      </c>
      <c r="T118" s="639">
        <v>5</v>
      </c>
      <c r="U118" s="684">
        <f t="shared" si="0"/>
        <v>-0.75</v>
      </c>
    </row>
    <row r="119" spans="1:21" ht="12" customHeight="1">
      <c r="A119" s="635" t="s">
        <v>353</v>
      </c>
      <c r="B119" s="635" t="s">
        <v>528</v>
      </c>
      <c r="C119" s="635" t="s">
        <v>529</v>
      </c>
      <c r="D119" s="635" t="s">
        <v>530</v>
      </c>
      <c r="E119" s="635" t="s">
        <v>449</v>
      </c>
      <c r="F119" s="635" t="s">
        <v>520</v>
      </c>
      <c r="G119" s="636">
        <v>76.7</v>
      </c>
      <c r="H119" s="637">
        <v>6.48</v>
      </c>
      <c r="I119" s="637">
        <v>11</v>
      </c>
      <c r="J119" s="637">
        <v>38.32</v>
      </c>
      <c r="K119" s="637">
        <v>2743.86</v>
      </c>
      <c r="L119" s="635" t="s">
        <v>521</v>
      </c>
      <c r="M119" s="636">
        <v>19.899999999999999</v>
      </c>
      <c r="N119" s="637" t="s">
        <v>167</v>
      </c>
      <c r="O119" s="681">
        <v>10.5</v>
      </c>
      <c r="P119" s="637" t="s">
        <v>167</v>
      </c>
      <c r="Q119" s="635" t="s">
        <v>531</v>
      </c>
      <c r="R119" s="637" t="s">
        <v>167</v>
      </c>
      <c r="S119" s="635" t="s">
        <v>167</v>
      </c>
      <c r="T119" s="639">
        <v>8</v>
      </c>
      <c r="U119" s="684">
        <f t="shared" si="0"/>
        <v>-0.5</v>
      </c>
    </row>
    <row r="120" spans="1:21" ht="12" customHeight="1">
      <c r="A120" s="635" t="s">
        <v>428</v>
      </c>
      <c r="B120" s="635" t="s">
        <v>532</v>
      </c>
      <c r="C120" s="635" t="s">
        <v>187</v>
      </c>
      <c r="D120" s="635" t="s">
        <v>533</v>
      </c>
      <c r="E120" s="635" t="s">
        <v>449</v>
      </c>
      <c r="F120" s="635" t="s">
        <v>501</v>
      </c>
      <c r="G120" s="636">
        <v>20</v>
      </c>
      <c r="H120" s="637">
        <v>8.24</v>
      </c>
      <c r="I120" s="637">
        <v>10.75</v>
      </c>
      <c r="J120" s="637">
        <v>49.6</v>
      </c>
      <c r="K120" s="637">
        <v>369.95</v>
      </c>
      <c r="L120" s="635" t="s">
        <v>521</v>
      </c>
      <c r="M120" s="636">
        <v>10.9</v>
      </c>
      <c r="N120" s="637">
        <v>7.54</v>
      </c>
      <c r="O120" s="681">
        <v>9.5</v>
      </c>
      <c r="P120" s="637">
        <v>49.14</v>
      </c>
      <c r="Q120" s="635" t="s">
        <v>517</v>
      </c>
      <c r="R120" s="637">
        <v>372.66</v>
      </c>
      <c r="S120" s="635" t="s">
        <v>38</v>
      </c>
      <c r="T120" s="639">
        <v>7</v>
      </c>
      <c r="U120" s="684">
        <f t="shared" si="0"/>
        <v>-1.25</v>
      </c>
    </row>
    <row r="121" spans="1:21" ht="12" customHeight="1">
      <c r="A121" s="635" t="s">
        <v>382</v>
      </c>
      <c r="B121" s="635" t="s">
        <v>534</v>
      </c>
      <c r="C121" s="635" t="s">
        <v>535</v>
      </c>
      <c r="D121" s="635" t="s">
        <v>536</v>
      </c>
      <c r="E121" s="635" t="s">
        <v>449</v>
      </c>
      <c r="F121" s="635" t="s">
        <v>537</v>
      </c>
      <c r="G121" s="636">
        <v>5.3</v>
      </c>
      <c r="H121" s="637">
        <v>8.67</v>
      </c>
      <c r="I121" s="637">
        <v>10.4</v>
      </c>
      <c r="J121" s="637">
        <v>52.39</v>
      </c>
      <c r="K121" s="637">
        <v>84.47</v>
      </c>
      <c r="L121" s="635" t="s">
        <v>538</v>
      </c>
      <c r="M121" s="636">
        <v>2.7</v>
      </c>
      <c r="N121" s="637" t="s">
        <v>167</v>
      </c>
      <c r="O121" s="681">
        <v>10.4</v>
      </c>
      <c r="P121" s="637" t="s">
        <v>167</v>
      </c>
      <c r="Q121" s="635" t="s">
        <v>469</v>
      </c>
      <c r="R121" s="637" t="s">
        <v>167</v>
      </c>
      <c r="S121" s="635" t="s">
        <v>167</v>
      </c>
      <c r="T121" s="639">
        <v>6</v>
      </c>
      <c r="U121" s="684">
        <f t="shared" si="0"/>
        <v>0</v>
      </c>
    </row>
    <row r="122" spans="1:21" ht="12" customHeight="1">
      <c r="A122" s="635" t="s">
        <v>402</v>
      </c>
      <c r="B122" s="635" t="s">
        <v>381</v>
      </c>
      <c r="C122" s="635" t="s">
        <v>300</v>
      </c>
      <c r="D122" s="635" t="s">
        <v>539</v>
      </c>
      <c r="E122" s="635" t="s">
        <v>449</v>
      </c>
      <c r="F122" s="635" t="s">
        <v>540</v>
      </c>
      <c r="G122" s="636">
        <v>48.8</v>
      </c>
      <c r="H122" s="637">
        <v>8.52</v>
      </c>
      <c r="I122" s="637">
        <v>10.75</v>
      </c>
      <c r="J122" s="637">
        <v>58.85</v>
      </c>
      <c r="K122" s="637">
        <v>770.62</v>
      </c>
      <c r="L122" s="635" t="s">
        <v>541</v>
      </c>
      <c r="M122" s="636">
        <v>28</v>
      </c>
      <c r="N122" s="637" t="s">
        <v>167</v>
      </c>
      <c r="O122" s="681" t="s">
        <v>167</v>
      </c>
      <c r="P122" s="637" t="s">
        <v>167</v>
      </c>
      <c r="Q122" s="635" t="s">
        <v>517</v>
      </c>
      <c r="R122" s="637" t="s">
        <v>167</v>
      </c>
      <c r="S122" s="635" t="s">
        <v>167</v>
      </c>
      <c r="T122" s="639">
        <v>6</v>
      </c>
      <c r="U122" s="684"/>
    </row>
    <row r="123" spans="1:21" ht="12" customHeight="1">
      <c r="A123" s="635" t="s">
        <v>392</v>
      </c>
      <c r="B123" s="635" t="s">
        <v>361</v>
      </c>
      <c r="C123" s="635" t="s">
        <v>8</v>
      </c>
      <c r="D123" s="635" t="s">
        <v>542</v>
      </c>
      <c r="E123" s="635" t="s">
        <v>449</v>
      </c>
      <c r="F123" s="635" t="s">
        <v>543</v>
      </c>
      <c r="G123" s="636">
        <v>35</v>
      </c>
      <c r="H123" s="637">
        <v>8.85</v>
      </c>
      <c r="I123" s="637">
        <v>11.05</v>
      </c>
      <c r="J123" s="637">
        <v>51.69</v>
      </c>
      <c r="K123" s="637">
        <v>1514.38</v>
      </c>
      <c r="L123" s="635" t="s">
        <v>544</v>
      </c>
      <c r="M123" s="636">
        <v>25.1</v>
      </c>
      <c r="N123" s="637">
        <v>8.57</v>
      </c>
      <c r="O123" s="681">
        <v>10.5</v>
      </c>
      <c r="P123" s="637">
        <v>51.69</v>
      </c>
      <c r="Q123" s="635" t="s">
        <v>481</v>
      </c>
      <c r="R123" s="637">
        <v>1512.99</v>
      </c>
      <c r="S123" s="635" t="s">
        <v>465</v>
      </c>
      <c r="T123" s="639">
        <v>6</v>
      </c>
      <c r="U123" s="684">
        <f t="shared" si="0"/>
        <v>-0.55000000000000071</v>
      </c>
    </row>
    <row r="124" spans="1:21" ht="12" customHeight="1">
      <c r="A124" s="635" t="s">
        <v>392</v>
      </c>
      <c r="B124" s="635" t="s">
        <v>388</v>
      </c>
      <c r="C124" s="635" t="s">
        <v>545</v>
      </c>
      <c r="D124" s="635" t="s">
        <v>546</v>
      </c>
      <c r="E124" s="635" t="s">
        <v>449</v>
      </c>
      <c r="F124" s="635" t="s">
        <v>547</v>
      </c>
      <c r="G124" s="636">
        <v>8.6</v>
      </c>
      <c r="H124" s="637">
        <v>9.09</v>
      </c>
      <c r="I124" s="637">
        <v>11</v>
      </c>
      <c r="J124" s="637">
        <v>58</v>
      </c>
      <c r="K124" s="637">
        <v>98.9</v>
      </c>
      <c r="L124" s="635" t="s">
        <v>544</v>
      </c>
      <c r="M124" s="636">
        <v>6.2</v>
      </c>
      <c r="N124" s="637">
        <v>8.51</v>
      </c>
      <c r="O124" s="681">
        <v>10</v>
      </c>
      <c r="P124" s="637">
        <v>58</v>
      </c>
      <c r="Q124" s="635" t="s">
        <v>517</v>
      </c>
      <c r="R124" s="637" t="s">
        <v>167</v>
      </c>
      <c r="S124" s="635" t="s">
        <v>167</v>
      </c>
      <c r="T124" s="639">
        <v>5</v>
      </c>
      <c r="U124" s="684">
        <f t="shared" si="0"/>
        <v>-1</v>
      </c>
    </row>
    <row r="125" spans="1:21" ht="12" customHeight="1">
      <c r="A125" s="635" t="s">
        <v>382</v>
      </c>
      <c r="B125" s="635" t="s">
        <v>383</v>
      </c>
      <c r="C125" s="635" t="s">
        <v>548</v>
      </c>
      <c r="D125" s="635" t="s">
        <v>549</v>
      </c>
      <c r="E125" s="635" t="s">
        <v>449</v>
      </c>
      <c r="F125" s="635" t="s">
        <v>550</v>
      </c>
      <c r="G125" s="636">
        <v>-1.2</v>
      </c>
      <c r="H125" s="637">
        <v>9.25</v>
      </c>
      <c r="I125" s="637">
        <v>10.4</v>
      </c>
      <c r="J125" s="637">
        <v>52.35</v>
      </c>
      <c r="K125" s="637">
        <v>379.35</v>
      </c>
      <c r="L125" s="635" t="s">
        <v>551</v>
      </c>
      <c r="M125" s="636">
        <v>-8.1</v>
      </c>
      <c r="N125" s="637">
        <v>9.15</v>
      </c>
      <c r="O125" s="681">
        <v>10.4</v>
      </c>
      <c r="P125" s="637">
        <v>52.09</v>
      </c>
      <c r="Q125" s="635" t="s">
        <v>469</v>
      </c>
      <c r="R125" s="637">
        <v>370.97</v>
      </c>
      <c r="S125" s="635" t="s">
        <v>38</v>
      </c>
      <c r="T125" s="639">
        <v>8</v>
      </c>
      <c r="U125" s="684">
        <f t="shared" si="0"/>
        <v>0</v>
      </c>
    </row>
    <row r="126" spans="1:21" ht="12" customHeight="1">
      <c r="A126" s="635" t="s">
        <v>382</v>
      </c>
      <c r="B126" s="635" t="s">
        <v>384</v>
      </c>
      <c r="C126" s="635" t="s">
        <v>548</v>
      </c>
      <c r="D126" s="635" t="s">
        <v>552</v>
      </c>
      <c r="E126" s="635" t="s">
        <v>449</v>
      </c>
      <c r="F126" s="635" t="s">
        <v>550</v>
      </c>
      <c r="G126" s="636">
        <v>-15.9</v>
      </c>
      <c r="H126" s="637">
        <v>9.11</v>
      </c>
      <c r="I126" s="637">
        <v>10.5</v>
      </c>
      <c r="J126" s="637">
        <v>46.76</v>
      </c>
      <c r="K126" s="637">
        <v>671.56</v>
      </c>
      <c r="L126" s="635" t="s">
        <v>551</v>
      </c>
      <c r="M126" s="636">
        <v>-34.299999999999997</v>
      </c>
      <c r="N126" s="637">
        <v>8.9600000000000009</v>
      </c>
      <c r="O126" s="681">
        <v>10.5</v>
      </c>
      <c r="P126" s="637">
        <v>46.75</v>
      </c>
      <c r="Q126" s="635" t="s">
        <v>469</v>
      </c>
      <c r="R126" s="637">
        <v>664.8</v>
      </c>
      <c r="S126" s="635" t="s">
        <v>38</v>
      </c>
      <c r="T126" s="639">
        <v>8</v>
      </c>
      <c r="U126" s="684">
        <f t="shared" si="0"/>
        <v>0</v>
      </c>
    </row>
    <row r="127" spans="1:21" ht="12" customHeight="1">
      <c r="A127" s="635" t="s">
        <v>367</v>
      </c>
      <c r="B127" s="635" t="s">
        <v>553</v>
      </c>
      <c r="C127" s="635" t="s">
        <v>554</v>
      </c>
      <c r="D127" s="635" t="s">
        <v>555</v>
      </c>
      <c r="E127" s="635" t="s">
        <v>449</v>
      </c>
      <c r="F127" s="635" t="s">
        <v>556</v>
      </c>
      <c r="G127" s="636">
        <v>14.8</v>
      </c>
      <c r="H127" s="637">
        <v>8.4700000000000006</v>
      </c>
      <c r="I127" s="637">
        <v>10.9</v>
      </c>
      <c r="J127" s="637">
        <v>48.72</v>
      </c>
      <c r="K127" s="637">
        <v>263.64</v>
      </c>
      <c r="L127" s="635" t="s">
        <v>557</v>
      </c>
      <c r="M127" s="636">
        <v>10.5</v>
      </c>
      <c r="N127" s="637">
        <v>7.76</v>
      </c>
      <c r="O127" s="681">
        <v>10</v>
      </c>
      <c r="P127" s="637">
        <v>45.03</v>
      </c>
      <c r="Q127" s="635" t="s">
        <v>517</v>
      </c>
      <c r="R127" s="637">
        <v>254.78</v>
      </c>
      <c r="S127" s="635" t="s">
        <v>38</v>
      </c>
      <c r="T127" s="639">
        <v>6</v>
      </c>
      <c r="U127" s="684">
        <f t="shared" si="0"/>
        <v>-0.90000000000000036</v>
      </c>
    </row>
    <row r="128" spans="1:21" ht="12" customHeight="1">
      <c r="A128" s="635" t="s">
        <v>382</v>
      </c>
      <c r="B128" s="635" t="s">
        <v>387</v>
      </c>
      <c r="C128" s="635" t="s">
        <v>453</v>
      </c>
      <c r="D128" s="635" t="s">
        <v>558</v>
      </c>
      <c r="E128" s="635" t="s">
        <v>449</v>
      </c>
      <c r="F128" s="635" t="s">
        <v>550</v>
      </c>
      <c r="G128" s="636">
        <v>4.3</v>
      </c>
      <c r="H128" s="637">
        <v>8.5299999999999994</v>
      </c>
      <c r="I128" s="637">
        <v>10.3</v>
      </c>
      <c r="J128" s="637">
        <v>59.65</v>
      </c>
      <c r="K128" s="637">
        <v>136.44999999999999</v>
      </c>
      <c r="L128" s="635" t="s">
        <v>559</v>
      </c>
      <c r="M128" s="636">
        <v>1.6</v>
      </c>
      <c r="N128" s="637">
        <v>8.44</v>
      </c>
      <c r="O128" s="681">
        <v>10.3</v>
      </c>
      <c r="P128" s="637">
        <v>59.09</v>
      </c>
      <c r="Q128" s="635" t="s">
        <v>469</v>
      </c>
      <c r="R128" s="637">
        <v>136.13</v>
      </c>
      <c r="S128" s="635" t="s">
        <v>38</v>
      </c>
      <c r="T128" s="639">
        <v>7</v>
      </c>
      <c r="U128" s="684">
        <f t="shared" si="0"/>
        <v>0</v>
      </c>
    </row>
    <row r="129" spans="1:21" ht="12" customHeight="1">
      <c r="A129" s="635" t="s">
        <v>360</v>
      </c>
      <c r="B129" s="635" t="s">
        <v>361</v>
      </c>
      <c r="C129" s="635" t="s">
        <v>8</v>
      </c>
      <c r="D129" s="635" t="s">
        <v>560</v>
      </c>
      <c r="E129" s="635" t="s">
        <v>449</v>
      </c>
      <c r="F129" s="635" t="s">
        <v>561</v>
      </c>
      <c r="G129" s="636">
        <v>10.8</v>
      </c>
      <c r="H129" s="637">
        <v>8.75</v>
      </c>
      <c r="I129" s="637">
        <v>11</v>
      </c>
      <c r="J129" s="637">
        <v>51.32</v>
      </c>
      <c r="K129" s="637">
        <v>208.66</v>
      </c>
      <c r="L129" s="635" t="s">
        <v>562</v>
      </c>
      <c r="M129" s="636">
        <v>7.1</v>
      </c>
      <c r="N129" s="637">
        <v>8.2799999999999994</v>
      </c>
      <c r="O129" s="681">
        <v>10.1</v>
      </c>
      <c r="P129" s="637">
        <v>51.32</v>
      </c>
      <c r="Q129" s="635" t="s">
        <v>563</v>
      </c>
      <c r="R129" s="637">
        <v>201.36</v>
      </c>
      <c r="S129" s="635" t="s">
        <v>38</v>
      </c>
      <c r="T129" s="639">
        <v>4</v>
      </c>
      <c r="U129" s="684">
        <f t="shared" si="0"/>
        <v>-0.90000000000000036</v>
      </c>
    </row>
    <row r="130" spans="1:21" ht="12" customHeight="1">
      <c r="A130" s="635" t="s">
        <v>355</v>
      </c>
      <c r="B130" s="635" t="s">
        <v>427</v>
      </c>
      <c r="C130" s="635" t="s">
        <v>148</v>
      </c>
      <c r="D130" s="635" t="s">
        <v>564</v>
      </c>
      <c r="E130" s="635" t="s">
        <v>449</v>
      </c>
      <c r="F130" s="635" t="s">
        <v>565</v>
      </c>
      <c r="G130" s="636">
        <v>27.4</v>
      </c>
      <c r="H130" s="637">
        <v>9.08</v>
      </c>
      <c r="I130" s="637">
        <v>11.75</v>
      </c>
      <c r="J130" s="637">
        <v>53.7</v>
      </c>
      <c r="K130" s="637">
        <v>487.85</v>
      </c>
      <c r="L130" s="635" t="s">
        <v>566</v>
      </c>
      <c r="M130" s="636">
        <v>7.9</v>
      </c>
      <c r="N130" s="637">
        <v>7.84</v>
      </c>
      <c r="O130" s="681">
        <v>9.4499999999999993</v>
      </c>
      <c r="P130" s="637">
        <v>53.7</v>
      </c>
      <c r="Q130" s="635" t="s">
        <v>517</v>
      </c>
      <c r="R130" s="637">
        <v>466.38</v>
      </c>
      <c r="S130" s="635" t="s">
        <v>465</v>
      </c>
      <c r="T130" s="639">
        <v>6</v>
      </c>
      <c r="U130" s="684">
        <f t="shared" si="0"/>
        <v>-2.3000000000000007</v>
      </c>
    </row>
    <row r="131" spans="1:21" ht="12" customHeight="1">
      <c r="A131" s="635" t="s">
        <v>377</v>
      </c>
      <c r="B131" s="635" t="s">
        <v>378</v>
      </c>
      <c r="C131" s="635" t="s">
        <v>114</v>
      </c>
      <c r="D131" s="635" t="s">
        <v>567</v>
      </c>
      <c r="E131" s="635" t="s">
        <v>449</v>
      </c>
      <c r="F131" s="635" t="s">
        <v>568</v>
      </c>
      <c r="G131" s="636">
        <v>2</v>
      </c>
      <c r="H131" s="637">
        <v>8.4499999999999993</v>
      </c>
      <c r="I131" s="637">
        <v>10.65</v>
      </c>
      <c r="J131" s="637">
        <v>53.56</v>
      </c>
      <c r="K131" s="637">
        <v>116.16</v>
      </c>
      <c r="L131" s="635" t="s">
        <v>569</v>
      </c>
      <c r="M131" s="636">
        <v>0.7</v>
      </c>
      <c r="N131" s="637">
        <v>7.88</v>
      </c>
      <c r="O131" s="681">
        <v>9.3000000000000007</v>
      </c>
      <c r="P131" s="637">
        <v>59.06</v>
      </c>
      <c r="Q131" s="635" t="s">
        <v>570</v>
      </c>
      <c r="R131" s="637">
        <v>115.93</v>
      </c>
      <c r="S131" s="635" t="s">
        <v>465</v>
      </c>
      <c r="T131" s="639">
        <v>7</v>
      </c>
      <c r="U131" s="684">
        <f t="shared" si="0"/>
        <v>-1.3499999999999996</v>
      </c>
    </row>
    <row r="132" spans="1:21" ht="12" customHeight="1">
      <c r="A132" s="635" t="s">
        <v>377</v>
      </c>
      <c r="B132" s="635" t="s">
        <v>378</v>
      </c>
      <c r="C132" s="635" t="s">
        <v>114</v>
      </c>
      <c r="D132" s="635" t="s">
        <v>571</v>
      </c>
      <c r="E132" s="635" t="s">
        <v>449</v>
      </c>
      <c r="F132" s="635" t="s">
        <v>568</v>
      </c>
      <c r="G132" s="636">
        <v>24.9</v>
      </c>
      <c r="H132" s="637">
        <v>7.42</v>
      </c>
      <c r="I132" s="637">
        <v>10.65</v>
      </c>
      <c r="J132" s="637">
        <v>53.56</v>
      </c>
      <c r="K132" s="637">
        <v>823.21</v>
      </c>
      <c r="L132" s="635" t="s">
        <v>569</v>
      </c>
      <c r="M132" s="636">
        <v>6.8</v>
      </c>
      <c r="N132" s="637">
        <v>6.56</v>
      </c>
      <c r="O132" s="681">
        <v>10</v>
      </c>
      <c r="P132" s="637">
        <v>42.74</v>
      </c>
      <c r="Q132" s="635" t="s">
        <v>570</v>
      </c>
      <c r="R132" s="637">
        <v>825.26</v>
      </c>
      <c r="S132" s="635" t="s">
        <v>465</v>
      </c>
      <c r="T132" s="639">
        <v>7</v>
      </c>
      <c r="U132" s="684">
        <f t="shared" si="0"/>
        <v>-0.65000000000000036</v>
      </c>
    </row>
    <row r="133" spans="1:21" ht="12" customHeight="1">
      <c r="A133" s="635" t="s">
        <v>379</v>
      </c>
      <c r="B133" s="635" t="s">
        <v>396</v>
      </c>
      <c r="C133" s="635" t="s">
        <v>187</v>
      </c>
      <c r="D133" s="635" t="s">
        <v>572</v>
      </c>
      <c r="E133" s="635" t="s">
        <v>449</v>
      </c>
      <c r="F133" s="635" t="s">
        <v>573</v>
      </c>
      <c r="G133" s="636">
        <v>10.5</v>
      </c>
      <c r="H133" s="637">
        <v>9.59</v>
      </c>
      <c r="I133" s="637">
        <v>11.25</v>
      </c>
      <c r="J133" s="637">
        <v>44.72</v>
      </c>
      <c r="K133" s="637">
        <v>180.99</v>
      </c>
      <c r="L133" s="635" t="s">
        <v>569</v>
      </c>
      <c r="M133" s="636">
        <v>6.8</v>
      </c>
      <c r="N133" s="637">
        <v>8.94</v>
      </c>
      <c r="O133" s="681">
        <v>9.9</v>
      </c>
      <c r="P133" s="637">
        <v>48.03</v>
      </c>
      <c r="Q133" s="635" t="s">
        <v>481</v>
      </c>
      <c r="R133" s="637">
        <v>165.33</v>
      </c>
      <c r="S133" s="635" t="s">
        <v>38</v>
      </c>
      <c r="T133" s="639">
        <v>12</v>
      </c>
      <c r="U133" s="684">
        <f t="shared" si="0"/>
        <v>-1.3499999999999996</v>
      </c>
    </row>
    <row r="134" spans="1:21" ht="12" customHeight="1">
      <c r="A134" s="635" t="s">
        <v>376</v>
      </c>
      <c r="B134" s="635" t="s">
        <v>574</v>
      </c>
      <c r="C134" s="635" t="s">
        <v>15</v>
      </c>
      <c r="D134" s="635" t="s">
        <v>575</v>
      </c>
      <c r="E134" s="635" t="s">
        <v>449</v>
      </c>
      <c r="F134" s="635" t="s">
        <v>576</v>
      </c>
      <c r="G134" s="636">
        <v>43.7</v>
      </c>
      <c r="H134" s="637">
        <v>8.2799999999999994</v>
      </c>
      <c r="I134" s="637">
        <v>10.3</v>
      </c>
      <c r="J134" s="637">
        <v>50</v>
      </c>
      <c r="K134" s="637">
        <v>983.69</v>
      </c>
      <c r="L134" s="635" t="s">
        <v>577</v>
      </c>
      <c r="M134" s="636">
        <v>8.6999999999999993</v>
      </c>
      <c r="N134" s="637">
        <v>7.78</v>
      </c>
      <c r="O134" s="681">
        <v>9.5</v>
      </c>
      <c r="P134" s="637">
        <v>50</v>
      </c>
      <c r="Q134" s="635" t="s">
        <v>531</v>
      </c>
      <c r="R134" s="637">
        <v>886.16</v>
      </c>
      <c r="S134" s="635" t="s">
        <v>38</v>
      </c>
      <c r="T134" s="639">
        <v>10</v>
      </c>
      <c r="U134" s="684">
        <f t="shared" si="0"/>
        <v>-0.80000000000000071</v>
      </c>
    </row>
    <row r="135" spans="1:21" ht="12" customHeight="1">
      <c r="A135" s="635" t="s">
        <v>382</v>
      </c>
      <c r="B135" s="635" t="s">
        <v>578</v>
      </c>
      <c r="C135" s="635" t="s">
        <v>298</v>
      </c>
      <c r="D135" s="635" t="s">
        <v>579</v>
      </c>
      <c r="E135" s="635" t="s">
        <v>449</v>
      </c>
      <c r="F135" s="635" t="s">
        <v>580</v>
      </c>
      <c r="G135" s="636">
        <v>12.8</v>
      </c>
      <c r="H135" s="637">
        <v>8.81</v>
      </c>
      <c r="I135" s="637">
        <v>10.3</v>
      </c>
      <c r="J135" s="637">
        <v>52.34</v>
      </c>
      <c r="K135" s="637">
        <v>333.81</v>
      </c>
      <c r="L135" s="635" t="s">
        <v>581</v>
      </c>
      <c r="M135" s="636">
        <v>-1</v>
      </c>
      <c r="N135" s="637" t="s">
        <v>167</v>
      </c>
      <c r="O135" s="681">
        <v>10.3</v>
      </c>
      <c r="P135" s="637">
        <v>51.61</v>
      </c>
      <c r="Q135" s="635" t="s">
        <v>469</v>
      </c>
      <c r="R135" s="637" t="s">
        <v>167</v>
      </c>
      <c r="S135" s="635" t="s">
        <v>167</v>
      </c>
      <c r="T135" s="639">
        <v>6</v>
      </c>
      <c r="U135" s="684">
        <f t="shared" si="0"/>
        <v>0</v>
      </c>
    </row>
    <row r="136" spans="1:21" ht="12" customHeight="1">
      <c r="A136" s="635" t="s">
        <v>426</v>
      </c>
      <c r="B136" s="635" t="s">
        <v>582</v>
      </c>
      <c r="C136" s="635" t="s">
        <v>583</v>
      </c>
      <c r="D136" s="635" t="s">
        <v>584</v>
      </c>
      <c r="E136" s="635" t="s">
        <v>449</v>
      </c>
      <c r="F136" s="635" t="s">
        <v>585</v>
      </c>
      <c r="G136" s="636">
        <v>8.8000000000000007</v>
      </c>
      <c r="H136" s="637">
        <v>8.34</v>
      </c>
      <c r="I136" s="637" t="s">
        <v>167</v>
      </c>
      <c r="J136" s="637">
        <v>54.15</v>
      </c>
      <c r="K136" s="637">
        <v>467.42</v>
      </c>
      <c r="L136" s="635" t="s">
        <v>586</v>
      </c>
      <c r="M136" s="636">
        <v>7.5</v>
      </c>
      <c r="N136" s="637">
        <v>8.34</v>
      </c>
      <c r="O136" s="681" t="s">
        <v>167</v>
      </c>
      <c r="P136" s="637">
        <v>54.28</v>
      </c>
      <c r="Q136" s="635" t="s">
        <v>527</v>
      </c>
      <c r="R136" s="637">
        <v>467.39</v>
      </c>
      <c r="S136" s="635" t="s">
        <v>465</v>
      </c>
      <c r="T136" s="639">
        <v>3</v>
      </c>
      <c r="U136" s="684"/>
    </row>
    <row r="137" spans="1:21" ht="12" customHeight="1">
      <c r="A137" s="635" t="s">
        <v>392</v>
      </c>
      <c r="B137" s="635" t="s">
        <v>361</v>
      </c>
      <c r="C137" s="635" t="s">
        <v>8</v>
      </c>
      <c r="D137" s="635" t="s">
        <v>587</v>
      </c>
      <c r="E137" s="635" t="s">
        <v>449</v>
      </c>
      <c r="F137" s="635" t="s">
        <v>588</v>
      </c>
      <c r="G137" s="636">
        <v>9.6999999999999993</v>
      </c>
      <c r="H137" s="637">
        <v>8.85</v>
      </c>
      <c r="I137" s="637">
        <v>11.05</v>
      </c>
      <c r="J137" s="637">
        <v>51.69</v>
      </c>
      <c r="K137" s="637">
        <v>273.87</v>
      </c>
      <c r="L137" s="635" t="s">
        <v>589</v>
      </c>
      <c r="M137" s="636">
        <v>6.6</v>
      </c>
      <c r="N137" s="637" t="s">
        <v>167</v>
      </c>
      <c r="O137" s="681" t="s">
        <v>167</v>
      </c>
      <c r="P137" s="637" t="s">
        <v>167</v>
      </c>
      <c r="Q137" s="635" t="s">
        <v>481</v>
      </c>
      <c r="R137" s="637" t="s">
        <v>167</v>
      </c>
      <c r="S137" s="635" t="s">
        <v>167</v>
      </c>
      <c r="T137" s="639">
        <v>3</v>
      </c>
      <c r="U137" s="684"/>
    </row>
    <row r="138" spans="1:21" ht="12" customHeight="1">
      <c r="A138" s="635" t="s">
        <v>359</v>
      </c>
      <c r="B138" s="635" t="s">
        <v>417</v>
      </c>
      <c r="C138" s="635" t="s">
        <v>187</v>
      </c>
      <c r="D138" s="635" t="s">
        <v>590</v>
      </c>
      <c r="E138" s="635" t="s">
        <v>449</v>
      </c>
      <c r="F138" s="635" t="s">
        <v>591</v>
      </c>
      <c r="G138" s="636">
        <v>28.4</v>
      </c>
      <c r="H138" s="637">
        <v>8.24</v>
      </c>
      <c r="I138" s="637">
        <v>11.25</v>
      </c>
      <c r="J138" s="637">
        <v>50.7</v>
      </c>
      <c r="K138" s="637">
        <v>755.18</v>
      </c>
      <c r="L138" s="635" t="s">
        <v>592</v>
      </c>
      <c r="M138" s="636">
        <v>15.4</v>
      </c>
      <c r="N138" s="637" t="s">
        <v>167</v>
      </c>
      <c r="O138" s="681" t="s">
        <v>167</v>
      </c>
      <c r="P138" s="637" t="s">
        <v>167</v>
      </c>
      <c r="Q138" s="635" t="s">
        <v>593</v>
      </c>
      <c r="R138" s="637" t="s">
        <v>167</v>
      </c>
      <c r="S138" s="635" t="s">
        <v>167</v>
      </c>
      <c r="T138" s="639">
        <v>7</v>
      </c>
      <c r="U138" s="684"/>
    </row>
    <row r="139" spans="1:21" ht="12" customHeight="1">
      <c r="A139" s="635" t="s">
        <v>402</v>
      </c>
      <c r="B139" s="635" t="s">
        <v>361</v>
      </c>
      <c r="C139" s="635" t="s">
        <v>8</v>
      </c>
      <c r="D139" s="635" t="s">
        <v>594</v>
      </c>
      <c r="E139" s="635" t="s">
        <v>449</v>
      </c>
      <c r="F139" s="635" t="s">
        <v>595</v>
      </c>
      <c r="G139" s="636">
        <v>9.6999999999999993</v>
      </c>
      <c r="H139" s="637">
        <v>8.7799999999999994</v>
      </c>
      <c r="I139" s="637">
        <v>10.9</v>
      </c>
      <c r="J139" s="637">
        <v>51.66</v>
      </c>
      <c r="K139" s="637">
        <v>160.07</v>
      </c>
      <c r="L139" s="635" t="s">
        <v>596</v>
      </c>
      <c r="M139" s="636">
        <v>2.8</v>
      </c>
      <c r="N139" s="637" t="s">
        <v>167</v>
      </c>
      <c r="O139" s="681" t="s">
        <v>167</v>
      </c>
      <c r="P139" s="637" t="s">
        <v>167</v>
      </c>
      <c r="Q139" s="635" t="s">
        <v>481</v>
      </c>
      <c r="R139" s="637" t="s">
        <v>167</v>
      </c>
      <c r="S139" s="635" t="s">
        <v>167</v>
      </c>
      <c r="T139" s="639">
        <v>6</v>
      </c>
      <c r="U139" s="684"/>
    </row>
    <row r="140" spans="1:21" ht="12" customHeight="1">
      <c r="A140" s="635" t="s">
        <v>380</v>
      </c>
      <c r="B140" s="635" t="s">
        <v>381</v>
      </c>
      <c r="C140" s="635" t="s">
        <v>300</v>
      </c>
      <c r="D140" s="635" t="s">
        <v>597</v>
      </c>
      <c r="E140" s="635" t="s">
        <v>449</v>
      </c>
      <c r="F140" s="635" t="s">
        <v>598</v>
      </c>
      <c r="G140" s="636">
        <v>16.2</v>
      </c>
      <c r="H140" s="637">
        <v>8.4</v>
      </c>
      <c r="I140" s="637" t="s">
        <v>167</v>
      </c>
      <c r="J140" s="637">
        <v>55.3</v>
      </c>
      <c r="K140" s="637">
        <v>846.7</v>
      </c>
      <c r="L140" s="635" t="s">
        <v>599</v>
      </c>
      <c r="M140" s="636">
        <v>9.5</v>
      </c>
      <c r="N140" s="637" t="s">
        <v>167</v>
      </c>
      <c r="O140" s="681" t="s">
        <v>167</v>
      </c>
      <c r="P140" s="637" t="s">
        <v>167</v>
      </c>
      <c r="Q140" s="635" t="s">
        <v>517</v>
      </c>
      <c r="R140" s="637" t="s">
        <v>167</v>
      </c>
      <c r="S140" s="635" t="s">
        <v>167</v>
      </c>
      <c r="T140" s="639">
        <v>4</v>
      </c>
      <c r="U140" s="684"/>
    </row>
    <row r="141" spans="1:21" ht="12" customHeight="1">
      <c r="A141" s="635" t="s">
        <v>409</v>
      </c>
      <c r="B141" s="635" t="s">
        <v>477</v>
      </c>
      <c r="C141" s="635" t="s">
        <v>101</v>
      </c>
      <c r="D141" s="635" t="s">
        <v>600</v>
      </c>
      <c r="E141" s="635" t="s">
        <v>449</v>
      </c>
      <c r="F141" s="635" t="s">
        <v>601</v>
      </c>
      <c r="G141" s="636">
        <v>28.5</v>
      </c>
      <c r="H141" s="637">
        <v>8.58</v>
      </c>
      <c r="I141" s="637">
        <v>10.5</v>
      </c>
      <c r="J141" s="637">
        <v>57.86</v>
      </c>
      <c r="K141" s="637">
        <v>720.44</v>
      </c>
      <c r="L141" s="635" t="s">
        <v>547</v>
      </c>
      <c r="M141" s="636">
        <v>20</v>
      </c>
      <c r="N141" s="637">
        <v>8.26</v>
      </c>
      <c r="O141" s="681">
        <v>9.75</v>
      </c>
      <c r="P141" s="637">
        <v>59.63</v>
      </c>
      <c r="Q141" s="635" t="s">
        <v>602</v>
      </c>
      <c r="R141" s="637" t="s">
        <v>167</v>
      </c>
      <c r="S141" s="635" t="s">
        <v>167</v>
      </c>
      <c r="T141" s="639">
        <v>17</v>
      </c>
      <c r="U141" s="684">
        <f t="shared" si="0"/>
        <v>-0.75</v>
      </c>
    </row>
    <row r="142" spans="1:21" ht="12" customHeight="1">
      <c r="A142" s="635" t="s">
        <v>412</v>
      </c>
      <c r="B142" s="635" t="s">
        <v>425</v>
      </c>
      <c r="C142" s="635" t="s">
        <v>603</v>
      </c>
      <c r="D142" s="635" t="s">
        <v>604</v>
      </c>
      <c r="E142" s="635" t="s">
        <v>449</v>
      </c>
      <c r="F142" s="635" t="s">
        <v>605</v>
      </c>
      <c r="G142" s="636">
        <v>2</v>
      </c>
      <c r="H142" s="637">
        <v>8.4700000000000006</v>
      </c>
      <c r="I142" s="637">
        <v>10.5</v>
      </c>
      <c r="J142" s="637">
        <v>54</v>
      </c>
      <c r="K142" s="637">
        <v>43.6</v>
      </c>
      <c r="L142" s="635" t="s">
        <v>606</v>
      </c>
      <c r="M142" s="636">
        <v>1.6</v>
      </c>
      <c r="N142" s="637">
        <v>7.99</v>
      </c>
      <c r="O142" s="681">
        <v>9.6</v>
      </c>
      <c r="P142" s="637">
        <v>54</v>
      </c>
      <c r="Q142" s="635" t="s">
        <v>607</v>
      </c>
      <c r="R142" s="637">
        <v>43.59</v>
      </c>
      <c r="S142" s="635" t="s">
        <v>465</v>
      </c>
      <c r="T142" s="639">
        <v>6</v>
      </c>
      <c r="U142" s="684">
        <f t="shared" si="0"/>
        <v>-0.90000000000000036</v>
      </c>
    </row>
    <row r="143" spans="1:21" ht="12" customHeight="1">
      <c r="A143" s="635" t="s">
        <v>382</v>
      </c>
      <c r="B143" s="635" t="s">
        <v>385</v>
      </c>
      <c r="C143" s="635" t="s">
        <v>554</v>
      </c>
      <c r="D143" s="635" t="s">
        <v>608</v>
      </c>
      <c r="E143" s="635" t="s">
        <v>449</v>
      </c>
      <c r="F143" s="635" t="s">
        <v>609</v>
      </c>
      <c r="G143" s="636">
        <v>-13.1</v>
      </c>
      <c r="H143" s="637" t="s">
        <v>167</v>
      </c>
      <c r="I143" s="637">
        <v>10.4</v>
      </c>
      <c r="J143" s="637">
        <v>49.31</v>
      </c>
      <c r="K143" s="637">
        <v>196.17</v>
      </c>
      <c r="L143" s="635" t="s">
        <v>585</v>
      </c>
      <c r="M143" s="636">
        <v>-13.1</v>
      </c>
      <c r="N143" s="637" t="s">
        <v>167</v>
      </c>
      <c r="O143" s="681">
        <v>10.4</v>
      </c>
      <c r="P143" s="637">
        <v>49.31</v>
      </c>
      <c r="Q143" s="635" t="s">
        <v>469</v>
      </c>
      <c r="R143" s="637">
        <v>196.17</v>
      </c>
      <c r="S143" s="635" t="s">
        <v>38</v>
      </c>
      <c r="T143" s="639">
        <v>1</v>
      </c>
      <c r="U143" s="684">
        <f t="shared" si="0"/>
        <v>0</v>
      </c>
    </row>
    <row r="144" spans="1:21" ht="12" customHeight="1">
      <c r="A144" s="635" t="s">
        <v>353</v>
      </c>
      <c r="B144" s="635" t="s">
        <v>401</v>
      </c>
      <c r="C144" s="635" t="s">
        <v>610</v>
      </c>
      <c r="D144" s="635" t="s">
        <v>611</v>
      </c>
      <c r="E144" s="635" t="s">
        <v>449</v>
      </c>
      <c r="F144" s="635" t="s">
        <v>612</v>
      </c>
      <c r="G144" s="636">
        <v>21.9</v>
      </c>
      <c r="H144" s="637">
        <v>6.71</v>
      </c>
      <c r="I144" s="637">
        <v>10.5</v>
      </c>
      <c r="J144" s="637">
        <v>41.55</v>
      </c>
      <c r="K144" s="637">
        <v>3068.22</v>
      </c>
      <c r="L144" s="635" t="s">
        <v>613</v>
      </c>
      <c r="M144" s="636">
        <v>16</v>
      </c>
      <c r="N144" s="637" t="s">
        <v>167</v>
      </c>
      <c r="O144" s="681">
        <v>10.3</v>
      </c>
      <c r="P144" s="637" t="s">
        <v>167</v>
      </c>
      <c r="Q144" s="635" t="s">
        <v>486</v>
      </c>
      <c r="R144" s="637" t="s">
        <v>167</v>
      </c>
      <c r="S144" s="635" t="s">
        <v>167</v>
      </c>
      <c r="T144" s="639">
        <v>9</v>
      </c>
      <c r="U144" s="684">
        <f t="shared" si="0"/>
        <v>-0.19999999999999929</v>
      </c>
    </row>
    <row r="145" spans="1:21" ht="12" customHeight="1">
      <c r="A145" s="635" t="s">
        <v>369</v>
      </c>
      <c r="B145" s="635" t="s">
        <v>370</v>
      </c>
      <c r="C145" s="635" t="s">
        <v>298</v>
      </c>
      <c r="D145" s="635" t="s">
        <v>614</v>
      </c>
      <c r="E145" s="635" t="s">
        <v>449</v>
      </c>
      <c r="F145" s="635" t="s">
        <v>615</v>
      </c>
      <c r="G145" s="636">
        <v>15</v>
      </c>
      <c r="H145" s="637">
        <v>8.36</v>
      </c>
      <c r="I145" s="637">
        <v>10.75</v>
      </c>
      <c r="J145" s="637">
        <v>50.48</v>
      </c>
      <c r="K145" s="637">
        <v>190.65</v>
      </c>
      <c r="L145" s="635" t="s">
        <v>616</v>
      </c>
      <c r="M145" s="636">
        <v>11</v>
      </c>
      <c r="N145" s="637">
        <v>7.83</v>
      </c>
      <c r="O145" s="681">
        <v>9.6999999999999993</v>
      </c>
      <c r="P145" s="637">
        <v>50.48</v>
      </c>
      <c r="Q145" s="635" t="s">
        <v>517</v>
      </c>
      <c r="R145" s="637">
        <v>189.81</v>
      </c>
      <c r="S145" s="635" t="s">
        <v>38</v>
      </c>
      <c r="T145" s="639">
        <v>18</v>
      </c>
      <c r="U145" s="684">
        <f t="shared" si="0"/>
        <v>-1.0500000000000007</v>
      </c>
    </row>
    <row r="146" spans="1:21" ht="12" customHeight="1">
      <c r="A146" s="635" t="s">
        <v>394</v>
      </c>
      <c r="B146" s="635" t="s">
        <v>395</v>
      </c>
      <c r="C146" s="635" t="s">
        <v>187</v>
      </c>
      <c r="D146" s="635" t="s">
        <v>617</v>
      </c>
      <c r="E146" s="635" t="s">
        <v>449</v>
      </c>
      <c r="F146" s="635" t="s">
        <v>618</v>
      </c>
      <c r="G146" s="636">
        <v>6.1</v>
      </c>
      <c r="H146" s="637">
        <v>8.19</v>
      </c>
      <c r="I146" s="637">
        <v>10.62</v>
      </c>
      <c r="J146" s="637">
        <v>51.16</v>
      </c>
      <c r="K146" s="637">
        <v>70.349999999999994</v>
      </c>
      <c r="L146" s="635" t="s">
        <v>619</v>
      </c>
      <c r="M146" s="636">
        <v>5</v>
      </c>
      <c r="N146" s="637">
        <v>7.67</v>
      </c>
      <c r="O146" s="681">
        <v>9.6</v>
      </c>
      <c r="P146" s="637">
        <v>51.16</v>
      </c>
      <c r="Q146" s="635" t="s">
        <v>620</v>
      </c>
      <c r="R146" s="637">
        <v>69.760000000000005</v>
      </c>
      <c r="S146" s="635" t="s">
        <v>465</v>
      </c>
      <c r="T146" s="639">
        <v>7</v>
      </c>
      <c r="U146" s="684">
        <f t="shared" ref="U146:U154" si="1">+O146-I146</f>
        <v>-1.0199999999999996</v>
      </c>
    </row>
    <row r="147" spans="1:21" ht="12" customHeight="1">
      <c r="A147" s="635" t="s">
        <v>386</v>
      </c>
      <c r="B147" s="635" t="s">
        <v>399</v>
      </c>
      <c r="C147" s="635" t="s">
        <v>187</v>
      </c>
      <c r="D147" s="635" t="s">
        <v>621</v>
      </c>
      <c r="E147" s="635" t="s">
        <v>449</v>
      </c>
      <c r="F147" s="635" t="s">
        <v>622</v>
      </c>
      <c r="G147" s="636">
        <v>28.6</v>
      </c>
      <c r="H147" s="637">
        <v>8.26</v>
      </c>
      <c r="I147" s="637">
        <v>10.75</v>
      </c>
      <c r="J147" s="637">
        <v>48</v>
      </c>
      <c r="K147" s="637">
        <v>1657.79</v>
      </c>
      <c r="L147" s="635" t="s">
        <v>623</v>
      </c>
      <c r="M147" s="636">
        <v>13.4</v>
      </c>
      <c r="N147" s="637">
        <v>7.8</v>
      </c>
      <c r="O147" s="681">
        <v>9.8000000000000007</v>
      </c>
      <c r="P147" s="637">
        <v>48</v>
      </c>
      <c r="Q147" s="635" t="s">
        <v>624</v>
      </c>
      <c r="R147" s="637">
        <v>1633</v>
      </c>
      <c r="S147" s="635" t="s">
        <v>38</v>
      </c>
      <c r="T147" s="639">
        <v>10</v>
      </c>
      <c r="U147" s="684">
        <f t="shared" si="1"/>
        <v>-0.94999999999999929</v>
      </c>
    </row>
    <row r="148" spans="1:21" ht="12" customHeight="1">
      <c r="A148" s="635" t="s">
        <v>397</v>
      </c>
      <c r="B148" s="635" t="s">
        <v>398</v>
      </c>
      <c r="C148" s="635" t="s">
        <v>625</v>
      </c>
      <c r="D148" s="635" t="s">
        <v>626</v>
      </c>
      <c r="E148" s="635" t="s">
        <v>449</v>
      </c>
      <c r="F148" s="635" t="s">
        <v>627</v>
      </c>
      <c r="G148" s="636">
        <v>5.6</v>
      </c>
      <c r="H148" s="637">
        <v>8.65</v>
      </c>
      <c r="I148" s="637">
        <v>10.5</v>
      </c>
      <c r="J148" s="637">
        <v>50.82</v>
      </c>
      <c r="K148" s="637">
        <v>183.54</v>
      </c>
      <c r="L148" s="635" t="s">
        <v>628</v>
      </c>
      <c r="M148" s="636">
        <v>2.7</v>
      </c>
      <c r="N148" s="637">
        <v>8.27</v>
      </c>
      <c r="O148" s="681">
        <v>9.75</v>
      </c>
      <c r="P148" s="637">
        <v>50.82</v>
      </c>
      <c r="Q148" s="635" t="s">
        <v>624</v>
      </c>
      <c r="R148" s="637">
        <v>183.07</v>
      </c>
      <c r="S148" s="635" t="s">
        <v>465</v>
      </c>
      <c r="T148" s="639">
        <v>12</v>
      </c>
      <c r="U148" s="684">
        <f t="shared" si="1"/>
        <v>-0.75</v>
      </c>
    </row>
    <row r="149" spans="1:21" ht="12" customHeight="1">
      <c r="A149" s="635" t="s">
        <v>365</v>
      </c>
      <c r="B149" s="635" t="s">
        <v>629</v>
      </c>
      <c r="C149" s="635" t="s">
        <v>630</v>
      </c>
      <c r="D149" s="635" t="s">
        <v>631</v>
      </c>
      <c r="E149" s="635" t="s">
        <v>449</v>
      </c>
      <c r="F149" s="635" t="s">
        <v>632</v>
      </c>
      <c r="G149" s="636">
        <v>3.7</v>
      </c>
      <c r="H149" s="637">
        <v>7.65</v>
      </c>
      <c r="I149" s="637">
        <v>10.5</v>
      </c>
      <c r="J149" s="637">
        <v>40.25</v>
      </c>
      <c r="K149" s="637">
        <v>71.37</v>
      </c>
      <c r="L149" s="635" t="s">
        <v>628</v>
      </c>
      <c r="M149" s="636">
        <v>2.7</v>
      </c>
      <c r="N149" s="637">
        <v>7.24</v>
      </c>
      <c r="O149" s="681">
        <v>9.5</v>
      </c>
      <c r="P149" s="637">
        <v>40.25</v>
      </c>
      <c r="Q149" s="635" t="s">
        <v>624</v>
      </c>
      <c r="R149" s="637">
        <v>69.56</v>
      </c>
      <c r="S149" s="635" t="s">
        <v>465</v>
      </c>
      <c r="T149" s="639">
        <v>11</v>
      </c>
      <c r="U149" s="684">
        <f t="shared" si="1"/>
        <v>-1</v>
      </c>
    </row>
    <row r="150" spans="1:21" ht="12" customHeight="1">
      <c r="A150" s="635" t="s">
        <v>424</v>
      </c>
      <c r="B150" s="635" t="s">
        <v>633</v>
      </c>
      <c r="C150" s="635" t="s">
        <v>187</v>
      </c>
      <c r="D150" s="635" t="s">
        <v>634</v>
      </c>
      <c r="E150" s="635" t="s">
        <v>449</v>
      </c>
      <c r="F150" s="635" t="s">
        <v>635</v>
      </c>
      <c r="G150" s="636">
        <v>34.5</v>
      </c>
      <c r="H150" s="637">
        <v>8.3699999999999992</v>
      </c>
      <c r="I150" s="637">
        <v>11.25</v>
      </c>
      <c r="J150" s="637">
        <v>52</v>
      </c>
      <c r="K150" s="637">
        <v>527.67999999999995</v>
      </c>
      <c r="L150" s="635" t="s">
        <v>636</v>
      </c>
      <c r="M150" s="636">
        <v>21.5</v>
      </c>
      <c r="N150" s="637">
        <v>7.48</v>
      </c>
      <c r="O150" s="681">
        <v>10</v>
      </c>
      <c r="P150" s="637">
        <v>52</v>
      </c>
      <c r="Q150" s="635" t="s">
        <v>602</v>
      </c>
      <c r="R150" s="637">
        <v>511.68</v>
      </c>
      <c r="S150" s="635" t="s">
        <v>465</v>
      </c>
      <c r="T150" s="639">
        <v>10</v>
      </c>
      <c r="U150" s="684">
        <f t="shared" si="1"/>
        <v>-1.25</v>
      </c>
    </row>
    <row r="151" spans="1:21" ht="12" customHeight="1">
      <c r="A151" s="635" t="s">
        <v>360</v>
      </c>
      <c r="B151" s="635" t="s">
        <v>423</v>
      </c>
      <c r="C151" s="635" t="s">
        <v>17</v>
      </c>
      <c r="D151" s="635" t="s">
        <v>637</v>
      </c>
      <c r="E151" s="635" t="s">
        <v>449</v>
      </c>
      <c r="F151" s="635" t="s">
        <v>612</v>
      </c>
      <c r="G151" s="636">
        <v>16.7</v>
      </c>
      <c r="H151" s="637">
        <v>8.5299999999999994</v>
      </c>
      <c r="I151" s="637">
        <v>11.25</v>
      </c>
      <c r="J151" s="637">
        <v>52.71</v>
      </c>
      <c r="K151" s="637">
        <v>338.57</v>
      </c>
      <c r="L151" s="635" t="s">
        <v>638</v>
      </c>
      <c r="M151" s="636">
        <v>11.9</v>
      </c>
      <c r="N151" s="637">
        <v>7.98</v>
      </c>
      <c r="O151" s="681">
        <v>10.199999999999999</v>
      </c>
      <c r="P151" s="637">
        <v>52.71</v>
      </c>
      <c r="Q151" s="635" t="s">
        <v>639</v>
      </c>
      <c r="R151" s="637">
        <v>348.87</v>
      </c>
      <c r="S151" s="635" t="s">
        <v>38</v>
      </c>
      <c r="T151" s="639">
        <v>4</v>
      </c>
      <c r="U151" s="684">
        <f t="shared" si="1"/>
        <v>-1.0500000000000007</v>
      </c>
    </row>
    <row r="152" spans="1:21" ht="12" customHeight="1">
      <c r="A152" s="635" t="s">
        <v>362</v>
      </c>
      <c r="B152" s="635" t="s">
        <v>400</v>
      </c>
      <c r="C152" s="635" t="s">
        <v>640</v>
      </c>
      <c r="D152" s="635" t="s">
        <v>641</v>
      </c>
      <c r="E152" s="635" t="s">
        <v>449</v>
      </c>
      <c r="F152" s="635" t="s">
        <v>642</v>
      </c>
      <c r="G152" s="636">
        <v>49.5</v>
      </c>
      <c r="H152" s="637">
        <v>9.31</v>
      </c>
      <c r="I152" s="637">
        <v>10.75</v>
      </c>
      <c r="J152" s="637">
        <v>52.87</v>
      </c>
      <c r="K152" s="637">
        <v>956.28</v>
      </c>
      <c r="L152" s="635" t="s">
        <v>643</v>
      </c>
      <c r="M152" s="636">
        <v>32.200000000000003</v>
      </c>
      <c r="N152" s="637">
        <v>8.33</v>
      </c>
      <c r="O152" s="681">
        <v>9.06</v>
      </c>
      <c r="P152" s="637">
        <v>53.27</v>
      </c>
      <c r="Q152" s="635" t="s">
        <v>486</v>
      </c>
      <c r="R152" s="637">
        <v>952.28</v>
      </c>
      <c r="S152" s="635" t="s">
        <v>38</v>
      </c>
      <c r="T152" s="639">
        <v>10</v>
      </c>
      <c r="U152" s="684">
        <f t="shared" si="1"/>
        <v>-1.6899999999999995</v>
      </c>
    </row>
    <row r="153" spans="1:21" ht="12" customHeight="1">
      <c r="A153" s="635" t="s">
        <v>362</v>
      </c>
      <c r="B153" s="635" t="s">
        <v>390</v>
      </c>
      <c r="C153" s="635" t="s">
        <v>298</v>
      </c>
      <c r="D153" s="635" t="s">
        <v>644</v>
      </c>
      <c r="E153" s="635" t="s">
        <v>449</v>
      </c>
      <c r="F153" s="635" t="s">
        <v>645</v>
      </c>
      <c r="G153" s="636">
        <v>8.3000000000000007</v>
      </c>
      <c r="H153" s="637">
        <v>8.5</v>
      </c>
      <c r="I153" s="637">
        <v>10.85</v>
      </c>
      <c r="J153" s="637">
        <v>56</v>
      </c>
      <c r="K153" s="637">
        <v>192.56</v>
      </c>
      <c r="L153" s="635" t="s">
        <v>643</v>
      </c>
      <c r="M153" s="636">
        <v>1.9</v>
      </c>
      <c r="N153" s="637">
        <v>7.43</v>
      </c>
      <c r="O153" s="681">
        <v>9.4499999999999993</v>
      </c>
      <c r="P153" s="637">
        <v>50</v>
      </c>
      <c r="Q153" s="635" t="s">
        <v>486</v>
      </c>
      <c r="R153" s="637">
        <v>187.53</v>
      </c>
      <c r="S153" s="635" t="s">
        <v>38</v>
      </c>
      <c r="T153" s="639">
        <v>10</v>
      </c>
      <c r="U153" s="684">
        <f t="shared" si="1"/>
        <v>-1.4000000000000004</v>
      </c>
    </row>
    <row r="154" spans="1:21" ht="12" customHeight="1">
      <c r="A154" s="635" t="s">
        <v>362</v>
      </c>
      <c r="B154" s="635" t="s">
        <v>391</v>
      </c>
      <c r="C154" s="635" t="s">
        <v>298</v>
      </c>
      <c r="D154" s="635" t="s">
        <v>646</v>
      </c>
      <c r="E154" s="635" t="s">
        <v>449</v>
      </c>
      <c r="F154" s="635" t="s">
        <v>645</v>
      </c>
      <c r="G154" s="636">
        <v>112.6</v>
      </c>
      <c r="H154" s="637">
        <v>8.11</v>
      </c>
      <c r="I154" s="637">
        <v>10.85</v>
      </c>
      <c r="J154" s="637">
        <v>56</v>
      </c>
      <c r="K154" s="637">
        <v>1472.85</v>
      </c>
      <c r="L154" s="635" t="s">
        <v>643</v>
      </c>
      <c r="M154" s="636">
        <v>57.8</v>
      </c>
      <c r="N154" s="637">
        <v>6.94</v>
      </c>
      <c r="O154" s="681">
        <v>9.4499999999999993</v>
      </c>
      <c r="P154" s="637">
        <v>49</v>
      </c>
      <c r="Q154" s="635" t="s">
        <v>486</v>
      </c>
      <c r="R154" s="637">
        <v>1359.08</v>
      </c>
      <c r="S154" s="635" t="s">
        <v>38</v>
      </c>
      <c r="T154" s="639">
        <v>10</v>
      </c>
      <c r="U154" s="684">
        <f t="shared" si="1"/>
        <v>-1.4000000000000004</v>
      </c>
    </row>
    <row r="155" spans="1:21" ht="12" hidden="1" customHeight="1">
      <c r="A155" s="635" t="s">
        <v>382</v>
      </c>
      <c r="B155" s="635" t="s">
        <v>534</v>
      </c>
      <c r="C155" s="635" t="s">
        <v>535</v>
      </c>
      <c r="D155" s="635" t="s">
        <v>776</v>
      </c>
      <c r="E155" s="635" t="s">
        <v>449</v>
      </c>
      <c r="F155" s="635" t="s">
        <v>691</v>
      </c>
      <c r="G155" s="636">
        <v>8</v>
      </c>
      <c r="H155" s="637">
        <v>8.77</v>
      </c>
      <c r="I155" s="637">
        <v>10.75</v>
      </c>
      <c r="J155" s="637">
        <v>52.59</v>
      </c>
      <c r="K155" s="637">
        <v>84</v>
      </c>
      <c r="L155" s="635" t="s">
        <v>692</v>
      </c>
      <c r="M155" s="636">
        <v>2.9</v>
      </c>
      <c r="N155" s="637">
        <v>8.52</v>
      </c>
      <c r="O155" s="681">
        <v>10.4</v>
      </c>
      <c r="P155" s="637">
        <v>52.59</v>
      </c>
      <c r="Q155" s="635" t="s">
        <v>486</v>
      </c>
      <c r="R155" s="637">
        <v>84.13</v>
      </c>
      <c r="S155" s="635" t="s">
        <v>38</v>
      </c>
      <c r="T155" s="639">
        <v>6</v>
      </c>
      <c r="U155" s="87"/>
    </row>
    <row r="156" spans="1:21" ht="12" hidden="1" customHeight="1">
      <c r="A156" s="635" t="s">
        <v>409</v>
      </c>
      <c r="B156" s="635" t="s">
        <v>777</v>
      </c>
      <c r="C156" s="635" t="s">
        <v>99</v>
      </c>
      <c r="D156" s="635" t="s">
        <v>778</v>
      </c>
      <c r="E156" s="635" t="s">
        <v>449</v>
      </c>
      <c r="F156" s="635" t="s">
        <v>693</v>
      </c>
      <c r="G156" s="636">
        <v>28.4</v>
      </c>
      <c r="H156" s="637">
        <v>8.1999999999999993</v>
      </c>
      <c r="I156" s="637">
        <v>10.95</v>
      </c>
      <c r="J156" s="637">
        <v>51</v>
      </c>
      <c r="K156" s="637">
        <v>548.20000000000005</v>
      </c>
      <c r="L156" s="635" t="s">
        <v>694</v>
      </c>
      <c r="M156" s="636">
        <v>15.4</v>
      </c>
      <c r="N156" s="637">
        <v>7.38</v>
      </c>
      <c r="O156" s="681">
        <v>10</v>
      </c>
      <c r="P156" s="637">
        <v>45.36</v>
      </c>
      <c r="Q156" s="635" t="s">
        <v>602</v>
      </c>
      <c r="R156" s="637" t="s">
        <v>167</v>
      </c>
      <c r="S156" s="635" t="s">
        <v>167</v>
      </c>
      <c r="T156" s="639">
        <v>10</v>
      </c>
      <c r="U156" s="87"/>
    </row>
    <row r="157" spans="1:21" ht="12" hidden="1" customHeight="1">
      <c r="A157" s="635" t="s">
        <v>386</v>
      </c>
      <c r="B157" s="635" t="s">
        <v>373</v>
      </c>
      <c r="C157" s="635" t="s">
        <v>496</v>
      </c>
      <c r="D157" s="635" t="s">
        <v>779</v>
      </c>
      <c r="E157" s="635" t="s">
        <v>449</v>
      </c>
      <c r="F157" s="635" t="s">
        <v>695</v>
      </c>
      <c r="G157" s="636">
        <v>6.2</v>
      </c>
      <c r="H157" s="637">
        <v>8.23</v>
      </c>
      <c r="I157" s="637">
        <v>10.9</v>
      </c>
      <c r="J157" s="637">
        <v>48.04</v>
      </c>
      <c r="K157" s="637">
        <v>201.35</v>
      </c>
      <c r="L157" s="635" t="s">
        <v>696</v>
      </c>
      <c r="M157" s="636">
        <v>3.8</v>
      </c>
      <c r="N157" s="637" t="s">
        <v>167</v>
      </c>
      <c r="O157" s="681" t="s">
        <v>167</v>
      </c>
      <c r="P157" s="637" t="s">
        <v>167</v>
      </c>
      <c r="Q157" s="635" t="s">
        <v>167</v>
      </c>
      <c r="R157" s="637" t="s">
        <v>167</v>
      </c>
      <c r="S157" s="635" t="s">
        <v>167</v>
      </c>
      <c r="T157" s="639">
        <v>7</v>
      </c>
      <c r="U157" s="87"/>
    </row>
    <row r="158" spans="1:21" ht="12" hidden="1" customHeight="1">
      <c r="A158" s="635" t="s">
        <v>397</v>
      </c>
      <c r="B158" s="635" t="s">
        <v>378</v>
      </c>
      <c r="C158" s="635" t="s">
        <v>114</v>
      </c>
      <c r="D158" s="635" t="s">
        <v>780</v>
      </c>
      <c r="E158" s="635" t="s">
        <v>449</v>
      </c>
      <c r="F158" s="635" t="s">
        <v>697</v>
      </c>
      <c r="G158" s="636">
        <v>73.2</v>
      </c>
      <c r="H158" s="637">
        <v>9.73</v>
      </c>
      <c r="I158" s="637">
        <v>11</v>
      </c>
      <c r="J158" s="637">
        <v>52.3</v>
      </c>
      <c r="K158" s="637">
        <v>1073.7</v>
      </c>
      <c r="L158" s="635" t="s">
        <v>698</v>
      </c>
      <c r="M158" s="636">
        <v>52.6</v>
      </c>
      <c r="N158" s="637">
        <v>8.9499999999999993</v>
      </c>
      <c r="O158" s="681">
        <v>9.5</v>
      </c>
      <c r="P158" s="637">
        <v>52.3</v>
      </c>
      <c r="Q158" s="635" t="s">
        <v>699</v>
      </c>
      <c r="R158" s="637">
        <v>1070.1199999999999</v>
      </c>
      <c r="S158" s="635" t="s">
        <v>465</v>
      </c>
      <c r="T158" s="639">
        <v>13</v>
      </c>
      <c r="U158" s="87"/>
    </row>
    <row r="159" spans="1:21" ht="12" hidden="1" customHeight="1">
      <c r="A159" s="635" t="s">
        <v>409</v>
      </c>
      <c r="B159" s="635" t="s">
        <v>410</v>
      </c>
      <c r="C159" s="635" t="s">
        <v>148</v>
      </c>
      <c r="D159" s="635" t="s">
        <v>781</v>
      </c>
      <c r="E159" s="635" t="s">
        <v>449</v>
      </c>
      <c r="F159" s="635" t="s">
        <v>691</v>
      </c>
      <c r="G159" s="636">
        <v>11.1</v>
      </c>
      <c r="H159" s="637" t="s">
        <v>167</v>
      </c>
      <c r="I159" s="637" t="s">
        <v>167</v>
      </c>
      <c r="J159" s="637" t="s">
        <v>167</v>
      </c>
      <c r="K159" s="637">
        <v>81.99</v>
      </c>
      <c r="L159" s="635" t="s">
        <v>700</v>
      </c>
      <c r="M159" s="636">
        <v>11.1</v>
      </c>
      <c r="N159" s="637" t="s">
        <v>167</v>
      </c>
      <c r="O159" s="681" t="s">
        <v>167</v>
      </c>
      <c r="P159" s="637" t="s">
        <v>167</v>
      </c>
      <c r="Q159" s="635" t="s">
        <v>701</v>
      </c>
      <c r="R159" s="637">
        <v>81.99</v>
      </c>
      <c r="S159" s="635" t="s">
        <v>38</v>
      </c>
      <c r="T159" s="639">
        <v>6</v>
      </c>
      <c r="U159" s="87"/>
    </row>
    <row r="160" spans="1:21" ht="12" hidden="1" customHeight="1">
      <c r="A160" s="635" t="s">
        <v>406</v>
      </c>
      <c r="B160" s="635" t="s">
        <v>477</v>
      </c>
      <c r="C160" s="635" t="s">
        <v>101</v>
      </c>
      <c r="D160" s="635" t="s">
        <v>782</v>
      </c>
      <c r="E160" s="635" t="s">
        <v>449</v>
      </c>
      <c r="F160" s="635" t="s">
        <v>702</v>
      </c>
      <c r="G160" s="636">
        <v>27.8</v>
      </c>
      <c r="H160" s="637">
        <v>8.59</v>
      </c>
      <c r="I160" s="637">
        <v>10.45</v>
      </c>
      <c r="J160" s="637">
        <v>58.22</v>
      </c>
      <c r="K160" s="637">
        <v>683.37</v>
      </c>
      <c r="L160" s="635" t="s">
        <v>703</v>
      </c>
      <c r="M160" s="636">
        <v>9.1</v>
      </c>
      <c r="N160" s="637">
        <v>8.09</v>
      </c>
      <c r="O160" s="681">
        <v>9.6</v>
      </c>
      <c r="P160" s="637">
        <v>57.88</v>
      </c>
      <c r="Q160" s="635" t="s">
        <v>624</v>
      </c>
      <c r="R160" s="637">
        <v>670.54</v>
      </c>
      <c r="S160" s="635" t="s">
        <v>38</v>
      </c>
      <c r="T160" s="639">
        <v>7</v>
      </c>
      <c r="U160" s="87"/>
    </row>
    <row r="161" spans="1:21" ht="12" hidden="1" customHeight="1">
      <c r="A161" s="635" t="s">
        <v>783</v>
      </c>
      <c r="B161" s="635" t="s">
        <v>629</v>
      </c>
      <c r="C161" s="635" t="s">
        <v>630</v>
      </c>
      <c r="D161" s="635" t="s">
        <v>784</v>
      </c>
      <c r="E161" s="635" t="s">
        <v>449</v>
      </c>
      <c r="F161" s="635" t="s">
        <v>704</v>
      </c>
      <c r="G161" s="636">
        <v>9.3000000000000007</v>
      </c>
      <c r="H161" s="637">
        <v>7.65</v>
      </c>
      <c r="I161" s="637">
        <v>10.5</v>
      </c>
      <c r="J161" s="637">
        <v>40.25</v>
      </c>
      <c r="K161" s="637">
        <v>95.95</v>
      </c>
      <c r="L161" s="635" t="s">
        <v>705</v>
      </c>
      <c r="M161" s="636">
        <v>7.8</v>
      </c>
      <c r="N161" s="637">
        <v>7.41</v>
      </c>
      <c r="O161" s="681" t="s">
        <v>167</v>
      </c>
      <c r="P161" s="637" t="s">
        <v>167</v>
      </c>
      <c r="Q161" s="635" t="s">
        <v>624</v>
      </c>
      <c r="R161" s="637">
        <v>92.31</v>
      </c>
      <c r="S161" s="635" t="s">
        <v>465</v>
      </c>
      <c r="T161" s="639">
        <v>6</v>
      </c>
      <c r="U161" s="87"/>
    </row>
    <row r="162" spans="1:21" ht="12" hidden="1" customHeight="1">
      <c r="A162" s="635" t="s">
        <v>359</v>
      </c>
      <c r="B162" s="635" t="s">
        <v>404</v>
      </c>
      <c r="C162" s="635" t="s">
        <v>148</v>
      </c>
      <c r="D162" s="635" t="s">
        <v>785</v>
      </c>
      <c r="E162" s="635" t="s">
        <v>449</v>
      </c>
      <c r="F162" s="635" t="s">
        <v>706</v>
      </c>
      <c r="G162" s="636">
        <v>37.799999999999997</v>
      </c>
      <c r="H162" s="637">
        <v>8.74</v>
      </c>
      <c r="I162" s="637">
        <v>11.6</v>
      </c>
      <c r="J162" s="637">
        <v>52.23</v>
      </c>
      <c r="K162" s="637">
        <v>809.37</v>
      </c>
      <c r="L162" s="635" t="s">
        <v>707</v>
      </c>
      <c r="M162" s="636">
        <v>17</v>
      </c>
      <c r="N162" s="637" t="s">
        <v>167</v>
      </c>
      <c r="O162" s="681" t="s">
        <v>167</v>
      </c>
      <c r="P162" s="637" t="s">
        <v>167</v>
      </c>
      <c r="Q162" s="635" t="s">
        <v>481</v>
      </c>
      <c r="R162" s="637" t="s">
        <v>167</v>
      </c>
      <c r="S162" s="635" t="s">
        <v>167</v>
      </c>
      <c r="T162" s="639">
        <v>9</v>
      </c>
      <c r="U162" s="87"/>
    </row>
    <row r="163" spans="1:21" ht="12" hidden="1" customHeight="1">
      <c r="A163" s="635" t="s">
        <v>426</v>
      </c>
      <c r="B163" s="635" t="s">
        <v>582</v>
      </c>
      <c r="C163" s="635" t="s">
        <v>583</v>
      </c>
      <c r="D163" s="635" t="s">
        <v>786</v>
      </c>
      <c r="E163" s="635" t="s">
        <v>449</v>
      </c>
      <c r="F163" s="635" t="s">
        <v>708</v>
      </c>
      <c r="G163" s="636">
        <v>8.6</v>
      </c>
      <c r="H163" s="637">
        <v>8.44</v>
      </c>
      <c r="I163" s="637" t="s">
        <v>167</v>
      </c>
      <c r="J163" s="637">
        <v>54.58</v>
      </c>
      <c r="K163" s="637">
        <v>438.8</v>
      </c>
      <c r="L163" s="635" t="s">
        <v>709</v>
      </c>
      <c r="M163" s="636">
        <v>8.5</v>
      </c>
      <c r="N163" s="637">
        <v>8.44</v>
      </c>
      <c r="O163" s="681" t="s">
        <v>167</v>
      </c>
      <c r="P163" s="637">
        <v>54.58</v>
      </c>
      <c r="Q163" s="635" t="s">
        <v>620</v>
      </c>
      <c r="R163" s="637">
        <v>438.8</v>
      </c>
      <c r="S163" s="635" t="s">
        <v>465</v>
      </c>
      <c r="T163" s="639">
        <v>4</v>
      </c>
      <c r="U163" s="87"/>
    </row>
    <row r="164" spans="1:21" ht="12" hidden="1" customHeight="1">
      <c r="A164" s="635" t="s">
        <v>382</v>
      </c>
      <c r="B164" s="635" t="s">
        <v>383</v>
      </c>
      <c r="C164" s="635" t="s">
        <v>548</v>
      </c>
      <c r="D164" s="635" t="s">
        <v>787</v>
      </c>
      <c r="E164" s="635" t="s">
        <v>449</v>
      </c>
      <c r="F164" s="635" t="s">
        <v>710</v>
      </c>
      <c r="G164" s="636">
        <v>0</v>
      </c>
      <c r="H164" s="637" t="s">
        <v>167</v>
      </c>
      <c r="I164" s="637" t="s">
        <v>167</v>
      </c>
      <c r="J164" s="637" t="s">
        <v>167</v>
      </c>
      <c r="K164" s="637" t="s">
        <v>167</v>
      </c>
      <c r="L164" s="635" t="s">
        <v>711</v>
      </c>
      <c r="M164" s="636">
        <v>0</v>
      </c>
      <c r="N164" s="637" t="s">
        <v>167</v>
      </c>
      <c r="O164" s="681" t="s">
        <v>167</v>
      </c>
      <c r="P164" s="637" t="s">
        <v>167</v>
      </c>
      <c r="Q164" s="635" t="s">
        <v>486</v>
      </c>
      <c r="R164" s="637" t="s">
        <v>167</v>
      </c>
      <c r="S164" s="635" t="s">
        <v>167</v>
      </c>
      <c r="T164" s="639">
        <v>4</v>
      </c>
      <c r="U164" s="87"/>
    </row>
    <row r="165" spans="1:21" ht="12" hidden="1" customHeight="1">
      <c r="A165" s="635" t="s">
        <v>382</v>
      </c>
      <c r="B165" s="635" t="s">
        <v>384</v>
      </c>
      <c r="C165" s="635" t="s">
        <v>548</v>
      </c>
      <c r="D165" s="635" t="s">
        <v>788</v>
      </c>
      <c r="E165" s="635" t="s">
        <v>449</v>
      </c>
      <c r="F165" s="635" t="s">
        <v>710</v>
      </c>
      <c r="G165" s="636">
        <v>0</v>
      </c>
      <c r="H165" s="637" t="s">
        <v>167</v>
      </c>
      <c r="I165" s="637" t="s">
        <v>167</v>
      </c>
      <c r="J165" s="637" t="s">
        <v>167</v>
      </c>
      <c r="K165" s="637" t="s">
        <v>167</v>
      </c>
      <c r="L165" s="635" t="s">
        <v>711</v>
      </c>
      <c r="M165" s="636">
        <v>0</v>
      </c>
      <c r="N165" s="637" t="s">
        <v>167</v>
      </c>
      <c r="O165" s="681" t="s">
        <v>167</v>
      </c>
      <c r="P165" s="637" t="s">
        <v>167</v>
      </c>
      <c r="Q165" s="635" t="s">
        <v>486</v>
      </c>
      <c r="R165" s="637" t="s">
        <v>167</v>
      </c>
      <c r="S165" s="635" t="s">
        <v>167</v>
      </c>
      <c r="T165" s="639">
        <v>4</v>
      </c>
      <c r="U165" s="87"/>
    </row>
    <row r="166" spans="1:21" ht="12" hidden="1" customHeight="1">
      <c r="A166" s="635" t="s">
        <v>372</v>
      </c>
      <c r="B166" s="635" t="s">
        <v>373</v>
      </c>
      <c r="C166" s="635" t="s">
        <v>496</v>
      </c>
      <c r="D166" s="635" t="s">
        <v>789</v>
      </c>
      <c r="E166" s="635" t="s">
        <v>449</v>
      </c>
      <c r="F166" s="635" t="s">
        <v>712</v>
      </c>
      <c r="G166" s="636">
        <v>1.9</v>
      </c>
      <c r="H166" s="637">
        <v>8.49</v>
      </c>
      <c r="I166" s="637">
        <v>10.9</v>
      </c>
      <c r="J166" s="637">
        <v>50.15</v>
      </c>
      <c r="K166" s="637">
        <v>103.4</v>
      </c>
      <c r="L166" s="635" t="s">
        <v>618</v>
      </c>
      <c r="M166" s="636">
        <v>1.1000000000000001</v>
      </c>
      <c r="N166" s="637" t="s">
        <v>167</v>
      </c>
      <c r="O166" s="681" t="s">
        <v>167</v>
      </c>
      <c r="P166" s="637" t="s">
        <v>167</v>
      </c>
      <c r="Q166" s="635" t="s">
        <v>624</v>
      </c>
      <c r="R166" s="637" t="s">
        <v>167</v>
      </c>
      <c r="S166" s="635" t="s">
        <v>167</v>
      </c>
      <c r="T166" s="639">
        <v>2</v>
      </c>
      <c r="U166" s="87"/>
    </row>
    <row r="167" spans="1:21" ht="12" hidden="1" customHeight="1">
      <c r="A167" s="635" t="s">
        <v>405</v>
      </c>
      <c r="B167" s="635" t="s">
        <v>422</v>
      </c>
      <c r="C167" s="635" t="s">
        <v>535</v>
      </c>
      <c r="D167" s="635" t="s">
        <v>790</v>
      </c>
      <c r="E167" s="635" t="s">
        <v>449</v>
      </c>
      <c r="F167" s="635" t="s">
        <v>713</v>
      </c>
      <c r="G167" s="636">
        <v>20.3</v>
      </c>
      <c r="H167" s="637">
        <v>8.68</v>
      </c>
      <c r="I167" s="637">
        <v>10.8</v>
      </c>
      <c r="J167" s="637">
        <v>57.1</v>
      </c>
      <c r="K167" s="637">
        <v>1063.32</v>
      </c>
      <c r="L167" s="635" t="s">
        <v>714</v>
      </c>
      <c r="M167" s="636">
        <v>12.8</v>
      </c>
      <c r="N167" s="637">
        <v>8.24</v>
      </c>
      <c r="O167" s="681">
        <v>10.1</v>
      </c>
      <c r="P167" s="637">
        <v>56</v>
      </c>
      <c r="Q167" s="635" t="s">
        <v>624</v>
      </c>
      <c r="R167" s="637" t="s">
        <v>167</v>
      </c>
      <c r="S167" s="635" t="s">
        <v>38</v>
      </c>
      <c r="T167" s="639">
        <v>8</v>
      </c>
      <c r="U167" s="87"/>
    </row>
    <row r="168" spans="1:21" ht="12" hidden="1" customHeight="1">
      <c r="A168" s="635" t="s">
        <v>359</v>
      </c>
      <c r="B168" s="635" t="s">
        <v>374</v>
      </c>
      <c r="C168" s="635" t="s">
        <v>791</v>
      </c>
      <c r="D168" s="635" t="s">
        <v>792</v>
      </c>
      <c r="E168" s="635" t="s">
        <v>449</v>
      </c>
      <c r="F168" s="635" t="s">
        <v>706</v>
      </c>
      <c r="G168" s="636">
        <v>16.5</v>
      </c>
      <c r="H168" s="637">
        <v>9.11</v>
      </c>
      <c r="I168" s="637">
        <v>11.6</v>
      </c>
      <c r="J168" s="637">
        <v>53.56</v>
      </c>
      <c r="K168" s="637">
        <v>232.13</v>
      </c>
      <c r="L168" s="635" t="s">
        <v>715</v>
      </c>
      <c r="M168" s="636">
        <v>8.9</v>
      </c>
      <c r="N168" s="637" t="s">
        <v>167</v>
      </c>
      <c r="O168" s="681" t="s">
        <v>167</v>
      </c>
      <c r="P168" s="637" t="s">
        <v>167</v>
      </c>
      <c r="Q168" s="635" t="s">
        <v>481</v>
      </c>
      <c r="R168" s="637" t="s">
        <v>167</v>
      </c>
      <c r="S168" s="635" t="s">
        <v>167</v>
      </c>
      <c r="T168" s="639">
        <v>6</v>
      </c>
      <c r="U168" s="87"/>
    </row>
    <row r="169" spans="1:21" ht="12" hidden="1" customHeight="1">
      <c r="A169" s="635" t="s">
        <v>355</v>
      </c>
      <c r="B169" s="635" t="s">
        <v>421</v>
      </c>
      <c r="C169" s="635" t="s">
        <v>630</v>
      </c>
      <c r="D169" s="635" t="s">
        <v>793</v>
      </c>
      <c r="E169" s="635" t="s">
        <v>449</v>
      </c>
      <c r="F169" s="635" t="s">
        <v>706</v>
      </c>
      <c r="G169" s="636">
        <v>4.4000000000000004</v>
      </c>
      <c r="H169" s="637">
        <v>8.58</v>
      </c>
      <c r="I169" s="637">
        <v>10.7</v>
      </c>
      <c r="J169" s="637">
        <v>42.88</v>
      </c>
      <c r="K169" s="637">
        <v>51.36</v>
      </c>
      <c r="L169" s="635" t="s">
        <v>716</v>
      </c>
      <c r="M169" s="636">
        <v>3.7</v>
      </c>
      <c r="N169" s="637">
        <v>7.93</v>
      </c>
      <c r="O169" s="681">
        <v>9.1999999999999993</v>
      </c>
      <c r="P169" s="637">
        <v>42.88</v>
      </c>
      <c r="Q169" s="635" t="s">
        <v>717</v>
      </c>
      <c r="R169" s="637">
        <v>50.73</v>
      </c>
      <c r="S169" s="635" t="s">
        <v>465</v>
      </c>
      <c r="T169" s="639">
        <v>6</v>
      </c>
      <c r="U169" s="87"/>
    </row>
    <row r="170" spans="1:21" ht="12" hidden="1" customHeight="1">
      <c r="A170" s="635" t="s">
        <v>371</v>
      </c>
      <c r="B170" s="635" t="s">
        <v>420</v>
      </c>
      <c r="C170" s="635" t="s">
        <v>794</v>
      </c>
      <c r="D170" s="635" t="s">
        <v>795</v>
      </c>
      <c r="E170" s="635" t="s">
        <v>449</v>
      </c>
      <c r="F170" s="635" t="s">
        <v>718</v>
      </c>
      <c r="G170" s="636">
        <v>39.4</v>
      </c>
      <c r="H170" s="637">
        <v>8.14</v>
      </c>
      <c r="I170" s="637">
        <v>10.1</v>
      </c>
      <c r="J170" s="637">
        <v>52.2</v>
      </c>
      <c r="K170" s="637">
        <v>784.32</v>
      </c>
      <c r="L170" s="635" t="s">
        <v>719</v>
      </c>
      <c r="M170" s="636">
        <v>6.2</v>
      </c>
      <c r="N170" s="637">
        <v>7.48</v>
      </c>
      <c r="O170" s="681">
        <v>8.83</v>
      </c>
      <c r="P170" s="637">
        <v>52.2</v>
      </c>
      <c r="Q170" s="635" t="s">
        <v>699</v>
      </c>
      <c r="R170" s="637">
        <v>753.64</v>
      </c>
      <c r="S170" s="635" t="s">
        <v>681</v>
      </c>
      <c r="T170" s="639">
        <v>5</v>
      </c>
      <c r="U170" s="87"/>
    </row>
    <row r="171" spans="1:21" ht="12" hidden="1" customHeight="1">
      <c r="A171" s="635" t="s">
        <v>418</v>
      </c>
      <c r="B171" s="635" t="s">
        <v>419</v>
      </c>
      <c r="C171" s="635" t="s">
        <v>771</v>
      </c>
      <c r="D171" s="635" t="s">
        <v>796</v>
      </c>
      <c r="E171" s="635" t="s">
        <v>449</v>
      </c>
      <c r="F171" s="635" t="s">
        <v>720</v>
      </c>
      <c r="G171" s="636">
        <v>10.199999999999999</v>
      </c>
      <c r="H171" s="637">
        <v>8.07</v>
      </c>
      <c r="I171" s="637">
        <v>11</v>
      </c>
      <c r="J171" s="637">
        <v>48.28</v>
      </c>
      <c r="K171" s="637">
        <v>238.7</v>
      </c>
      <c r="L171" s="635" t="s">
        <v>721</v>
      </c>
      <c r="M171" s="636">
        <v>5.8</v>
      </c>
      <c r="N171" s="637">
        <v>7.56</v>
      </c>
      <c r="O171" s="681">
        <v>10</v>
      </c>
      <c r="P171" s="637" t="s">
        <v>167</v>
      </c>
      <c r="Q171" s="635" t="s">
        <v>699</v>
      </c>
      <c r="R171" s="637" t="s">
        <v>167</v>
      </c>
      <c r="S171" s="635" t="s">
        <v>167</v>
      </c>
      <c r="T171" s="639">
        <v>11</v>
      </c>
      <c r="U171" s="87"/>
    </row>
    <row r="172" spans="1:21" ht="12" hidden="1" customHeight="1">
      <c r="A172" s="635" t="s">
        <v>359</v>
      </c>
      <c r="B172" s="635" t="s">
        <v>417</v>
      </c>
      <c r="C172" s="635" t="s">
        <v>187</v>
      </c>
      <c r="D172" s="635" t="s">
        <v>797</v>
      </c>
      <c r="E172" s="635" t="s">
        <v>449</v>
      </c>
      <c r="F172" s="635" t="s">
        <v>722</v>
      </c>
      <c r="G172" s="636">
        <v>70.2</v>
      </c>
      <c r="H172" s="637">
        <v>8.61</v>
      </c>
      <c r="I172" s="637">
        <v>11.5</v>
      </c>
      <c r="J172" s="637">
        <v>49.99</v>
      </c>
      <c r="K172" s="637">
        <v>687.83</v>
      </c>
      <c r="L172" s="635" t="s">
        <v>723</v>
      </c>
      <c r="M172" s="636">
        <v>53</v>
      </c>
      <c r="N172" s="637" t="s">
        <v>167</v>
      </c>
      <c r="O172" s="681" t="s">
        <v>167</v>
      </c>
      <c r="P172" s="637" t="s">
        <v>167</v>
      </c>
      <c r="Q172" s="635" t="s">
        <v>724</v>
      </c>
      <c r="R172" s="637" t="s">
        <v>167</v>
      </c>
      <c r="S172" s="635" t="s">
        <v>167</v>
      </c>
      <c r="T172" s="639">
        <v>7</v>
      </c>
      <c r="U172" s="87"/>
    </row>
    <row r="173" spans="1:21" ht="12" hidden="1" customHeight="1">
      <c r="A173" s="635" t="s">
        <v>353</v>
      </c>
      <c r="B173" s="635" t="s">
        <v>401</v>
      </c>
      <c r="C173" s="635" t="s">
        <v>610</v>
      </c>
      <c r="D173" s="635" t="s">
        <v>798</v>
      </c>
      <c r="E173" s="635" t="s">
        <v>449</v>
      </c>
      <c r="F173" s="635" t="s">
        <v>725</v>
      </c>
      <c r="G173" s="636">
        <v>45.1</v>
      </c>
      <c r="H173" s="637">
        <v>6.93</v>
      </c>
      <c r="I173" s="637">
        <v>11</v>
      </c>
      <c r="J173" s="637">
        <v>40.64</v>
      </c>
      <c r="K173" s="637">
        <v>2888.72</v>
      </c>
      <c r="L173" s="635" t="s">
        <v>710</v>
      </c>
      <c r="M173" s="636">
        <v>31.4</v>
      </c>
      <c r="N173" s="637" t="s">
        <v>167</v>
      </c>
      <c r="O173" s="681">
        <v>10.5</v>
      </c>
      <c r="P173" s="637" t="s">
        <v>167</v>
      </c>
      <c r="Q173" s="635" t="s">
        <v>167</v>
      </c>
      <c r="R173" s="637" t="s">
        <v>167</v>
      </c>
      <c r="S173" s="635" t="s">
        <v>167</v>
      </c>
      <c r="T173" s="639">
        <v>9</v>
      </c>
      <c r="U173" s="87"/>
    </row>
    <row r="174" spans="1:21" ht="12" hidden="1" customHeight="1">
      <c r="A174" s="635" t="s">
        <v>415</v>
      </c>
      <c r="B174" s="635" t="s">
        <v>416</v>
      </c>
      <c r="C174" s="635" t="s">
        <v>518</v>
      </c>
      <c r="D174" s="635" t="s">
        <v>799</v>
      </c>
      <c r="E174" s="635" t="s">
        <v>449</v>
      </c>
      <c r="F174" s="635" t="s">
        <v>726</v>
      </c>
      <c r="G174" s="636">
        <v>208.7</v>
      </c>
      <c r="H174" s="637" t="s">
        <v>167</v>
      </c>
      <c r="I174" s="637" t="s">
        <v>167</v>
      </c>
      <c r="J174" s="637" t="s">
        <v>167</v>
      </c>
      <c r="K174" s="637">
        <v>2458.5500000000002</v>
      </c>
      <c r="L174" s="635" t="s">
        <v>727</v>
      </c>
      <c r="M174" s="636">
        <v>47.4</v>
      </c>
      <c r="N174" s="637" t="s">
        <v>167</v>
      </c>
      <c r="O174" s="681" t="s">
        <v>167</v>
      </c>
      <c r="P174" s="637" t="s">
        <v>167</v>
      </c>
      <c r="Q174" s="635" t="s">
        <v>517</v>
      </c>
      <c r="R174" s="637">
        <v>2448.52</v>
      </c>
      <c r="S174" s="635" t="s">
        <v>38</v>
      </c>
      <c r="T174" s="639">
        <v>16</v>
      </c>
      <c r="U174" s="87"/>
    </row>
    <row r="175" spans="1:21" ht="12" hidden="1" customHeight="1">
      <c r="A175" s="635" t="s">
        <v>409</v>
      </c>
      <c r="B175" s="635" t="s">
        <v>477</v>
      </c>
      <c r="C175" s="635" t="s">
        <v>101</v>
      </c>
      <c r="D175" s="635" t="s">
        <v>800</v>
      </c>
      <c r="E175" s="635" t="s">
        <v>449</v>
      </c>
      <c r="F175" s="635" t="s">
        <v>728</v>
      </c>
      <c r="G175" s="636">
        <v>15.6</v>
      </c>
      <c r="H175" s="637">
        <v>8.41</v>
      </c>
      <c r="I175" s="637">
        <v>10</v>
      </c>
      <c r="J175" s="637">
        <v>55.7</v>
      </c>
      <c r="K175" s="637">
        <v>59.15</v>
      </c>
      <c r="L175" s="635" t="s">
        <v>729</v>
      </c>
      <c r="M175" s="636">
        <v>15.6</v>
      </c>
      <c r="N175" s="637">
        <v>8.4</v>
      </c>
      <c r="O175" s="681">
        <v>10</v>
      </c>
      <c r="P175" s="637">
        <v>55.7</v>
      </c>
      <c r="Q175" s="635" t="s">
        <v>457</v>
      </c>
      <c r="R175" s="637">
        <v>59.15</v>
      </c>
      <c r="S175" s="635" t="s">
        <v>38</v>
      </c>
      <c r="T175" s="639">
        <v>8</v>
      </c>
      <c r="U175" s="87"/>
    </row>
    <row r="176" spans="1:21" ht="12" hidden="1" customHeight="1">
      <c r="A176" s="635" t="s">
        <v>392</v>
      </c>
      <c r="B176" s="635" t="s">
        <v>388</v>
      </c>
      <c r="C176" s="635" t="s">
        <v>545</v>
      </c>
      <c r="D176" s="635" t="s">
        <v>801</v>
      </c>
      <c r="E176" s="635" t="s">
        <v>449</v>
      </c>
      <c r="F176" s="635" t="s">
        <v>730</v>
      </c>
      <c r="G176" s="636">
        <v>6.5</v>
      </c>
      <c r="H176" s="637">
        <v>9.3000000000000007</v>
      </c>
      <c r="I176" s="637">
        <v>11</v>
      </c>
      <c r="J176" s="637">
        <v>56</v>
      </c>
      <c r="K176" s="637">
        <v>67</v>
      </c>
      <c r="L176" s="635" t="s">
        <v>731</v>
      </c>
      <c r="M176" s="636">
        <v>4.5999999999999996</v>
      </c>
      <c r="N176" s="637">
        <v>8.75</v>
      </c>
      <c r="O176" s="681">
        <v>10.050000000000001</v>
      </c>
      <c r="P176" s="637">
        <v>55.44</v>
      </c>
      <c r="Q176" s="635" t="s">
        <v>699</v>
      </c>
      <c r="R176" s="637">
        <v>65.400000000000006</v>
      </c>
      <c r="S176" s="635" t="s">
        <v>465</v>
      </c>
      <c r="T176" s="639">
        <v>4</v>
      </c>
      <c r="U176" s="87"/>
    </row>
    <row r="177" spans="1:21" ht="12" hidden="1" customHeight="1">
      <c r="A177" s="635" t="s">
        <v>355</v>
      </c>
      <c r="B177" s="635" t="s">
        <v>356</v>
      </c>
      <c r="C177" s="635" t="s">
        <v>774</v>
      </c>
      <c r="D177" s="635" t="s">
        <v>802</v>
      </c>
      <c r="E177" s="635" t="s">
        <v>449</v>
      </c>
      <c r="F177" s="635" t="s">
        <v>732</v>
      </c>
      <c r="G177" s="636">
        <v>6.2</v>
      </c>
      <c r="H177" s="637">
        <v>9.08</v>
      </c>
      <c r="I177" s="637">
        <v>10.65</v>
      </c>
      <c r="J177" s="637">
        <v>50.17</v>
      </c>
      <c r="K177" s="637">
        <v>50.8</v>
      </c>
      <c r="L177" s="635" t="s">
        <v>733</v>
      </c>
      <c r="M177" s="636">
        <v>5.0999999999999996</v>
      </c>
      <c r="N177" s="637">
        <v>8.39</v>
      </c>
      <c r="O177" s="681">
        <v>9.4499999999999993</v>
      </c>
      <c r="P177" s="637">
        <v>50.17</v>
      </c>
      <c r="Q177" s="635" t="s">
        <v>717</v>
      </c>
      <c r="R177" s="637">
        <v>49.68</v>
      </c>
      <c r="S177" s="635" t="s">
        <v>465</v>
      </c>
      <c r="T177" s="639">
        <v>6</v>
      </c>
      <c r="U177" s="87"/>
    </row>
    <row r="178" spans="1:21" ht="12" hidden="1" customHeight="1">
      <c r="A178" s="635" t="s">
        <v>386</v>
      </c>
      <c r="B178" s="635" t="s">
        <v>399</v>
      </c>
      <c r="C178" s="635" t="s">
        <v>187</v>
      </c>
      <c r="D178" s="635" t="s">
        <v>803</v>
      </c>
      <c r="E178" s="635" t="s">
        <v>449</v>
      </c>
      <c r="F178" s="635" t="s">
        <v>734</v>
      </c>
      <c r="G178" s="636">
        <v>24.4</v>
      </c>
      <c r="H178" s="637">
        <v>8.1</v>
      </c>
      <c r="I178" s="637">
        <v>10.1</v>
      </c>
      <c r="J178" s="637">
        <v>46</v>
      </c>
      <c r="K178" s="637">
        <v>1615.79</v>
      </c>
      <c r="L178" s="635" t="s">
        <v>735</v>
      </c>
      <c r="M178" s="636">
        <v>19</v>
      </c>
      <c r="N178" s="637" t="s">
        <v>167</v>
      </c>
      <c r="O178" s="681" t="s">
        <v>167</v>
      </c>
      <c r="P178" s="637" t="s">
        <v>167</v>
      </c>
      <c r="Q178" s="635" t="s">
        <v>167</v>
      </c>
      <c r="R178" s="637" t="s">
        <v>167</v>
      </c>
      <c r="S178" s="635" t="s">
        <v>167</v>
      </c>
      <c r="T178" s="639">
        <v>5</v>
      </c>
      <c r="U178" s="87"/>
    </row>
    <row r="179" spans="1:21" ht="12" hidden="1" customHeight="1">
      <c r="A179" s="635" t="s">
        <v>365</v>
      </c>
      <c r="B179" s="635" t="s">
        <v>366</v>
      </c>
      <c r="C179" s="635" t="s">
        <v>774</v>
      </c>
      <c r="D179" s="635" t="s">
        <v>804</v>
      </c>
      <c r="E179" s="635" t="s">
        <v>449</v>
      </c>
      <c r="F179" s="635" t="s">
        <v>736</v>
      </c>
      <c r="G179" s="636">
        <v>11.4</v>
      </c>
      <c r="H179" s="637">
        <v>9.1</v>
      </c>
      <c r="I179" s="637">
        <v>11.2</v>
      </c>
      <c r="J179" s="637">
        <v>50</v>
      </c>
      <c r="K179" s="637">
        <v>169.01</v>
      </c>
      <c r="L179" s="635" t="s">
        <v>737</v>
      </c>
      <c r="M179" s="636">
        <v>6.8</v>
      </c>
      <c r="N179" s="637">
        <v>8.33</v>
      </c>
      <c r="O179" s="681" t="s">
        <v>167</v>
      </c>
      <c r="P179" s="637" t="s">
        <v>167</v>
      </c>
      <c r="Q179" s="635" t="s">
        <v>738</v>
      </c>
      <c r="R179" s="637">
        <v>164.3</v>
      </c>
      <c r="S179" s="635" t="s">
        <v>167</v>
      </c>
      <c r="T179" s="639">
        <v>12</v>
      </c>
      <c r="U179" s="87"/>
    </row>
    <row r="180" spans="1:21" ht="12" hidden="1" customHeight="1">
      <c r="A180" s="635" t="s">
        <v>376</v>
      </c>
      <c r="B180" s="635" t="s">
        <v>373</v>
      </c>
      <c r="C180" s="635" t="s">
        <v>496</v>
      </c>
      <c r="D180" s="635" t="s">
        <v>805</v>
      </c>
      <c r="E180" s="635" t="s">
        <v>449</v>
      </c>
      <c r="F180" s="635" t="s">
        <v>739</v>
      </c>
      <c r="G180" s="636">
        <v>5.4</v>
      </c>
      <c r="H180" s="637">
        <v>8.61</v>
      </c>
      <c r="I180" s="637">
        <v>10.9</v>
      </c>
      <c r="J180" s="637">
        <v>50.76</v>
      </c>
      <c r="K180" s="637">
        <v>148.41999999999999</v>
      </c>
      <c r="L180" s="635" t="s">
        <v>737</v>
      </c>
      <c r="M180" s="636">
        <v>3</v>
      </c>
      <c r="N180" s="637">
        <v>8</v>
      </c>
      <c r="O180" s="681">
        <v>10.1</v>
      </c>
      <c r="P180" s="637">
        <v>50</v>
      </c>
      <c r="Q180" s="635" t="s">
        <v>517</v>
      </c>
      <c r="R180" s="637">
        <v>137.19999999999999</v>
      </c>
      <c r="S180" s="635" t="s">
        <v>38</v>
      </c>
      <c r="T180" s="639">
        <v>5</v>
      </c>
      <c r="U180" s="87"/>
    </row>
    <row r="181" spans="1:21" ht="12" hidden="1" customHeight="1">
      <c r="A181" s="635" t="s">
        <v>367</v>
      </c>
      <c r="B181" s="635" t="s">
        <v>368</v>
      </c>
      <c r="C181" s="635" t="s">
        <v>603</v>
      </c>
      <c r="D181" s="635" t="s">
        <v>806</v>
      </c>
      <c r="E181" s="635" t="s">
        <v>449</v>
      </c>
      <c r="F181" s="635" t="s">
        <v>740</v>
      </c>
      <c r="G181" s="636">
        <v>4.7</v>
      </c>
      <c r="H181" s="637">
        <v>9.69</v>
      </c>
      <c r="I181" s="637">
        <v>11.25</v>
      </c>
      <c r="J181" s="637">
        <v>51.58</v>
      </c>
      <c r="K181" s="637">
        <v>109.24</v>
      </c>
      <c r="L181" s="635" t="s">
        <v>741</v>
      </c>
      <c r="M181" s="636">
        <v>3.7</v>
      </c>
      <c r="N181" s="637" t="s">
        <v>167</v>
      </c>
      <c r="O181" s="681" t="s">
        <v>167</v>
      </c>
      <c r="P181" s="637" t="s">
        <v>167</v>
      </c>
      <c r="Q181" s="635" t="s">
        <v>167</v>
      </c>
      <c r="R181" s="637" t="s">
        <v>167</v>
      </c>
      <c r="S181" s="635" t="s">
        <v>167</v>
      </c>
      <c r="T181" s="639">
        <v>8</v>
      </c>
      <c r="U181" s="87"/>
    </row>
    <row r="182" spans="1:21" ht="12" hidden="1" customHeight="1">
      <c r="A182" s="635" t="s">
        <v>389</v>
      </c>
      <c r="B182" s="635" t="s">
        <v>414</v>
      </c>
      <c r="C182" s="635" t="s">
        <v>640</v>
      </c>
      <c r="D182" s="635" t="s">
        <v>807</v>
      </c>
      <c r="E182" s="635" t="s">
        <v>449</v>
      </c>
      <c r="F182" s="635" t="s">
        <v>742</v>
      </c>
      <c r="G182" s="636">
        <v>11.9</v>
      </c>
      <c r="H182" s="637">
        <v>8.27</v>
      </c>
      <c r="I182" s="637">
        <v>10.5</v>
      </c>
      <c r="J182" s="637">
        <v>51.26</v>
      </c>
      <c r="K182" s="637">
        <v>244.86</v>
      </c>
      <c r="L182" s="635" t="s">
        <v>743</v>
      </c>
      <c r="M182" s="636">
        <v>9</v>
      </c>
      <c r="N182" s="637" t="s">
        <v>167</v>
      </c>
      <c r="O182" s="681" t="s">
        <v>167</v>
      </c>
      <c r="P182" s="637" t="s">
        <v>167</v>
      </c>
      <c r="Q182" s="635" t="s">
        <v>717</v>
      </c>
      <c r="R182" s="637" t="s">
        <v>167</v>
      </c>
      <c r="S182" s="635" t="s">
        <v>167</v>
      </c>
      <c r="T182" s="639">
        <v>7</v>
      </c>
      <c r="U182" s="87"/>
    </row>
    <row r="183" spans="1:21" ht="12" hidden="1" customHeight="1">
      <c r="A183" s="635" t="s">
        <v>382</v>
      </c>
      <c r="B183" s="635" t="s">
        <v>578</v>
      </c>
      <c r="C183" s="635" t="s">
        <v>298</v>
      </c>
      <c r="D183" s="635" t="s">
        <v>808</v>
      </c>
      <c r="E183" s="635" t="s">
        <v>449</v>
      </c>
      <c r="F183" s="635" t="s">
        <v>744</v>
      </c>
      <c r="G183" s="636">
        <v>5</v>
      </c>
      <c r="H183" s="637">
        <v>8.57</v>
      </c>
      <c r="I183" s="637">
        <v>11.25</v>
      </c>
      <c r="J183" s="637">
        <v>53.62</v>
      </c>
      <c r="K183" s="637">
        <v>357.83</v>
      </c>
      <c r="L183" s="635" t="s">
        <v>745</v>
      </c>
      <c r="M183" s="636">
        <v>-8.3000000000000007</v>
      </c>
      <c r="N183" s="637">
        <v>7.72</v>
      </c>
      <c r="O183" s="681">
        <v>10.3</v>
      </c>
      <c r="P183" s="637">
        <v>51.65</v>
      </c>
      <c r="Q183" s="635" t="s">
        <v>517</v>
      </c>
      <c r="R183" s="637">
        <v>346.67</v>
      </c>
      <c r="S183" s="635" t="s">
        <v>38</v>
      </c>
      <c r="T183" s="639">
        <v>9</v>
      </c>
      <c r="U183" s="87"/>
    </row>
    <row r="184" spans="1:21" ht="12" hidden="1" customHeight="1">
      <c r="A184" s="635" t="s">
        <v>382</v>
      </c>
      <c r="B184" s="635" t="s">
        <v>387</v>
      </c>
      <c r="C184" s="635" t="s">
        <v>453</v>
      </c>
      <c r="D184" s="635" t="s">
        <v>809</v>
      </c>
      <c r="E184" s="635" t="s">
        <v>449</v>
      </c>
      <c r="F184" s="635" t="s">
        <v>746</v>
      </c>
      <c r="G184" s="636">
        <v>4.4000000000000004</v>
      </c>
      <c r="H184" s="637">
        <v>8.77</v>
      </c>
      <c r="I184" s="637">
        <v>10.4</v>
      </c>
      <c r="J184" s="637">
        <v>57.27</v>
      </c>
      <c r="K184" s="637">
        <v>137.1</v>
      </c>
      <c r="L184" s="635" t="s">
        <v>747</v>
      </c>
      <c r="M184" s="636">
        <v>1.9</v>
      </c>
      <c r="N184" s="637">
        <v>8.8000000000000007</v>
      </c>
      <c r="O184" s="681">
        <v>10.3</v>
      </c>
      <c r="P184" s="637">
        <v>58.06</v>
      </c>
      <c r="Q184" s="635" t="s">
        <v>517</v>
      </c>
      <c r="R184" s="637">
        <v>128.29</v>
      </c>
      <c r="S184" s="635" t="s">
        <v>38</v>
      </c>
      <c r="T184" s="639">
        <v>8</v>
      </c>
      <c r="U184" s="87"/>
    </row>
    <row r="185" spans="1:21" ht="12" hidden="1" customHeight="1">
      <c r="A185" s="635" t="s">
        <v>353</v>
      </c>
      <c r="B185" s="635" t="s">
        <v>413</v>
      </c>
      <c r="C185" s="635" t="s">
        <v>810</v>
      </c>
      <c r="D185" s="635" t="s">
        <v>811</v>
      </c>
      <c r="E185" s="635" t="s">
        <v>449</v>
      </c>
      <c r="F185" s="635" t="s">
        <v>748</v>
      </c>
      <c r="G185" s="636">
        <v>19.8</v>
      </c>
      <c r="H185" s="637">
        <v>7.5</v>
      </c>
      <c r="I185" s="637">
        <v>11</v>
      </c>
      <c r="J185" s="637">
        <v>49.04</v>
      </c>
      <c r="K185" s="637">
        <v>421.99</v>
      </c>
      <c r="L185" s="635" t="s">
        <v>749</v>
      </c>
      <c r="M185" s="636">
        <v>8.1</v>
      </c>
      <c r="N185" s="637">
        <v>7.19</v>
      </c>
      <c r="O185" s="681">
        <v>10.35</v>
      </c>
      <c r="P185" s="637" t="s">
        <v>167</v>
      </c>
      <c r="Q185" s="635" t="s">
        <v>167</v>
      </c>
      <c r="R185" s="637" t="s">
        <v>167</v>
      </c>
      <c r="S185" s="635" t="s">
        <v>167</v>
      </c>
      <c r="T185" s="639">
        <v>6</v>
      </c>
      <c r="U185" s="87"/>
    </row>
    <row r="186" spans="1:2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</row>
    <row r="187" spans="1:21" ht="14.2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685"/>
      <c r="N187" s="692" t="s">
        <v>750</v>
      </c>
      <c r="O187" s="693">
        <f>AVERAGE(O114:O154)</f>
        <v>9.9445714285714306</v>
      </c>
      <c r="P187" s="87"/>
      <c r="Q187" s="87"/>
      <c r="R187" s="87"/>
      <c r="S187" s="87"/>
      <c r="T187" s="87"/>
      <c r="U187" s="693">
        <f>AVERAGE(U114:U154)</f>
        <v>-0.82599999999999996</v>
      </c>
    </row>
    <row r="188" spans="1:21" ht="14.2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694"/>
      <c r="N188" s="692" t="s">
        <v>751</v>
      </c>
      <c r="O188" s="693">
        <f>+O119</f>
        <v>10.5</v>
      </c>
      <c r="P188" s="87"/>
      <c r="Q188" s="87"/>
      <c r="R188" s="87"/>
      <c r="S188" s="87"/>
      <c r="T188" s="87"/>
      <c r="U188" s="693">
        <f>+U130</f>
        <v>-2.3000000000000007</v>
      </c>
    </row>
    <row r="189" spans="1:21" ht="14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694"/>
      <c r="N189" s="685" t="s">
        <v>752</v>
      </c>
      <c r="O189" s="693">
        <f>+O152</f>
        <v>9.06</v>
      </c>
      <c r="P189" s="87"/>
      <c r="Q189" s="87"/>
      <c r="R189" s="87"/>
      <c r="S189" s="87"/>
      <c r="T189" s="87"/>
      <c r="U189" s="693">
        <f>+U143</f>
        <v>0</v>
      </c>
    </row>
    <row r="192" spans="1:21">
      <c r="A192" s="635" t="s">
        <v>382</v>
      </c>
      <c r="B192" s="635" t="s">
        <v>534</v>
      </c>
      <c r="C192" s="635" t="s">
        <v>535</v>
      </c>
      <c r="D192" s="635" t="s">
        <v>776</v>
      </c>
      <c r="E192" s="635" t="s">
        <v>449</v>
      </c>
      <c r="F192" s="635" t="s">
        <v>691</v>
      </c>
      <c r="G192" s="636">
        <v>8</v>
      </c>
      <c r="H192" s="637">
        <v>8.77</v>
      </c>
      <c r="I192" s="637">
        <v>10.75</v>
      </c>
      <c r="J192" s="637">
        <v>52.59</v>
      </c>
      <c r="K192" s="637">
        <v>84</v>
      </c>
      <c r="L192" s="635" t="s">
        <v>692</v>
      </c>
      <c r="M192" s="636">
        <v>2.9</v>
      </c>
      <c r="N192" s="637">
        <v>8.52</v>
      </c>
      <c r="O192" s="681">
        <v>10.4</v>
      </c>
      <c r="P192" s="637">
        <v>52.59</v>
      </c>
      <c r="Q192" s="635" t="s">
        <v>486</v>
      </c>
      <c r="R192" s="637">
        <v>84.13</v>
      </c>
      <c r="S192" s="635" t="s">
        <v>38</v>
      </c>
      <c r="T192" s="639">
        <v>6</v>
      </c>
      <c r="U192" s="684">
        <f t="shared" ref="U192:U222" si="2">+O192-I192</f>
        <v>-0.34999999999999964</v>
      </c>
    </row>
    <row r="193" spans="1:21">
      <c r="A193" s="635" t="s">
        <v>409</v>
      </c>
      <c r="B193" s="635" t="s">
        <v>777</v>
      </c>
      <c r="C193" s="635" t="s">
        <v>99</v>
      </c>
      <c r="D193" s="635" t="s">
        <v>778</v>
      </c>
      <c r="E193" s="635" t="s">
        <v>449</v>
      </c>
      <c r="F193" s="635" t="s">
        <v>693</v>
      </c>
      <c r="G193" s="636">
        <v>28.4</v>
      </c>
      <c r="H193" s="637">
        <v>8.1999999999999993</v>
      </c>
      <c r="I193" s="637">
        <v>10.95</v>
      </c>
      <c r="J193" s="637">
        <v>51</v>
      </c>
      <c r="K193" s="637">
        <v>548.20000000000005</v>
      </c>
      <c r="L193" s="635" t="s">
        <v>694</v>
      </c>
      <c r="M193" s="636">
        <v>15.4</v>
      </c>
      <c r="N193" s="637">
        <v>7.38</v>
      </c>
      <c r="O193" s="681">
        <v>10</v>
      </c>
      <c r="P193" s="637">
        <v>45.36</v>
      </c>
      <c r="Q193" s="635" t="s">
        <v>602</v>
      </c>
      <c r="R193" s="637" t="s">
        <v>167</v>
      </c>
      <c r="S193" s="635" t="s">
        <v>167</v>
      </c>
      <c r="T193" s="639">
        <v>10</v>
      </c>
      <c r="U193" s="684">
        <f t="shared" si="2"/>
        <v>-0.94999999999999929</v>
      </c>
    </row>
    <row r="194" spans="1:21">
      <c r="A194" s="635" t="s">
        <v>386</v>
      </c>
      <c r="B194" s="635" t="s">
        <v>373</v>
      </c>
      <c r="C194" s="635" t="s">
        <v>496</v>
      </c>
      <c r="D194" s="635" t="s">
        <v>779</v>
      </c>
      <c r="E194" s="635" t="s">
        <v>449</v>
      </c>
      <c r="F194" s="635" t="s">
        <v>695</v>
      </c>
      <c r="G194" s="636">
        <v>6.2</v>
      </c>
      <c r="H194" s="637">
        <v>8.23</v>
      </c>
      <c r="I194" s="637">
        <v>10.9</v>
      </c>
      <c r="J194" s="637">
        <v>48.04</v>
      </c>
      <c r="K194" s="637">
        <v>201.35</v>
      </c>
      <c r="L194" s="635" t="s">
        <v>696</v>
      </c>
      <c r="M194" s="636">
        <v>3.8</v>
      </c>
      <c r="N194" s="637" t="s">
        <v>167</v>
      </c>
      <c r="O194" s="681" t="s">
        <v>167</v>
      </c>
      <c r="P194" s="637" t="s">
        <v>167</v>
      </c>
      <c r="Q194" s="635" t="s">
        <v>167</v>
      </c>
      <c r="R194" s="637" t="s">
        <v>167</v>
      </c>
      <c r="S194" s="635" t="s">
        <v>167</v>
      </c>
      <c r="T194" s="639">
        <v>7</v>
      </c>
      <c r="U194" s="684"/>
    </row>
    <row r="195" spans="1:21">
      <c r="A195" s="635" t="s">
        <v>397</v>
      </c>
      <c r="B195" s="635" t="s">
        <v>378</v>
      </c>
      <c r="C195" s="635" t="s">
        <v>114</v>
      </c>
      <c r="D195" s="635" t="s">
        <v>780</v>
      </c>
      <c r="E195" s="635" t="s">
        <v>449</v>
      </c>
      <c r="F195" s="635" t="s">
        <v>697</v>
      </c>
      <c r="G195" s="636">
        <v>73.2</v>
      </c>
      <c r="H195" s="637">
        <v>9.73</v>
      </c>
      <c r="I195" s="637">
        <v>11</v>
      </c>
      <c r="J195" s="637">
        <v>52.3</v>
      </c>
      <c r="K195" s="637">
        <v>1073.7</v>
      </c>
      <c r="L195" s="635" t="s">
        <v>698</v>
      </c>
      <c r="M195" s="636">
        <v>52.6</v>
      </c>
      <c r="N195" s="637">
        <v>8.9499999999999993</v>
      </c>
      <c r="O195" s="681">
        <v>9.5</v>
      </c>
      <c r="P195" s="637">
        <v>52.3</v>
      </c>
      <c r="Q195" s="635" t="s">
        <v>699</v>
      </c>
      <c r="R195" s="637">
        <v>1070.1199999999999</v>
      </c>
      <c r="S195" s="635" t="s">
        <v>465</v>
      </c>
      <c r="T195" s="639">
        <v>13</v>
      </c>
      <c r="U195" s="684">
        <f t="shared" si="2"/>
        <v>-1.5</v>
      </c>
    </row>
    <row r="196" spans="1:21">
      <c r="A196" s="635" t="s">
        <v>409</v>
      </c>
      <c r="B196" s="635" t="s">
        <v>410</v>
      </c>
      <c r="C196" s="635" t="s">
        <v>148</v>
      </c>
      <c r="D196" s="635" t="s">
        <v>781</v>
      </c>
      <c r="E196" s="635" t="s">
        <v>449</v>
      </c>
      <c r="F196" s="635" t="s">
        <v>691</v>
      </c>
      <c r="G196" s="636">
        <v>11.1</v>
      </c>
      <c r="H196" s="637" t="s">
        <v>167</v>
      </c>
      <c r="I196" s="637" t="s">
        <v>167</v>
      </c>
      <c r="J196" s="637" t="s">
        <v>167</v>
      </c>
      <c r="K196" s="637">
        <v>81.99</v>
      </c>
      <c r="L196" s="635" t="s">
        <v>700</v>
      </c>
      <c r="M196" s="636">
        <v>11.1</v>
      </c>
      <c r="N196" s="637" t="s">
        <v>167</v>
      </c>
      <c r="O196" s="681" t="s">
        <v>167</v>
      </c>
      <c r="P196" s="637" t="s">
        <v>167</v>
      </c>
      <c r="Q196" s="635" t="s">
        <v>701</v>
      </c>
      <c r="R196" s="637">
        <v>81.99</v>
      </c>
      <c r="S196" s="635" t="s">
        <v>38</v>
      </c>
      <c r="T196" s="639">
        <v>6</v>
      </c>
      <c r="U196" s="684"/>
    </row>
    <row r="197" spans="1:21">
      <c r="A197" s="635" t="s">
        <v>406</v>
      </c>
      <c r="B197" s="635" t="s">
        <v>477</v>
      </c>
      <c r="C197" s="635" t="s">
        <v>101</v>
      </c>
      <c r="D197" s="635" t="s">
        <v>782</v>
      </c>
      <c r="E197" s="635" t="s">
        <v>449</v>
      </c>
      <c r="F197" s="635" t="s">
        <v>702</v>
      </c>
      <c r="G197" s="636">
        <v>27.8</v>
      </c>
      <c r="H197" s="637">
        <v>8.59</v>
      </c>
      <c r="I197" s="637">
        <v>10.45</v>
      </c>
      <c r="J197" s="637">
        <v>58.22</v>
      </c>
      <c r="K197" s="637">
        <v>683.37</v>
      </c>
      <c r="L197" s="635" t="s">
        <v>703</v>
      </c>
      <c r="M197" s="636">
        <v>9.1</v>
      </c>
      <c r="N197" s="637">
        <v>8.09</v>
      </c>
      <c r="O197" s="681">
        <v>9.6</v>
      </c>
      <c r="P197" s="637">
        <v>57.88</v>
      </c>
      <c r="Q197" s="635" t="s">
        <v>624</v>
      </c>
      <c r="R197" s="637">
        <v>670.54</v>
      </c>
      <c r="S197" s="635" t="s">
        <v>38</v>
      </c>
      <c r="T197" s="639">
        <v>7</v>
      </c>
      <c r="U197" s="684">
        <f t="shared" si="2"/>
        <v>-0.84999999999999964</v>
      </c>
    </row>
    <row r="198" spans="1:21">
      <c r="A198" s="635" t="s">
        <v>783</v>
      </c>
      <c r="B198" s="635" t="s">
        <v>629</v>
      </c>
      <c r="C198" s="635" t="s">
        <v>630</v>
      </c>
      <c r="D198" s="635" t="s">
        <v>784</v>
      </c>
      <c r="E198" s="635" t="s">
        <v>449</v>
      </c>
      <c r="F198" s="635" t="s">
        <v>704</v>
      </c>
      <c r="G198" s="636">
        <v>9.3000000000000007</v>
      </c>
      <c r="H198" s="637">
        <v>7.65</v>
      </c>
      <c r="I198" s="637">
        <v>10.5</v>
      </c>
      <c r="J198" s="637">
        <v>40.25</v>
      </c>
      <c r="K198" s="637">
        <v>95.95</v>
      </c>
      <c r="L198" s="635" t="s">
        <v>705</v>
      </c>
      <c r="M198" s="636">
        <v>7.8</v>
      </c>
      <c r="N198" s="637">
        <v>7.41</v>
      </c>
      <c r="O198" s="681" t="s">
        <v>167</v>
      </c>
      <c r="P198" s="637" t="s">
        <v>167</v>
      </c>
      <c r="Q198" s="635" t="s">
        <v>624</v>
      </c>
      <c r="R198" s="637">
        <v>92.31</v>
      </c>
      <c r="S198" s="635" t="s">
        <v>465</v>
      </c>
      <c r="T198" s="639">
        <v>6</v>
      </c>
      <c r="U198" s="684"/>
    </row>
    <row r="199" spans="1:21">
      <c r="A199" s="635" t="s">
        <v>359</v>
      </c>
      <c r="B199" s="635" t="s">
        <v>404</v>
      </c>
      <c r="C199" s="635" t="s">
        <v>148</v>
      </c>
      <c r="D199" s="635" t="s">
        <v>785</v>
      </c>
      <c r="E199" s="635" t="s">
        <v>449</v>
      </c>
      <c r="F199" s="635" t="s">
        <v>706</v>
      </c>
      <c r="G199" s="636">
        <v>37.799999999999997</v>
      </c>
      <c r="H199" s="637">
        <v>8.74</v>
      </c>
      <c r="I199" s="637">
        <v>11.6</v>
      </c>
      <c r="J199" s="637">
        <v>52.23</v>
      </c>
      <c r="K199" s="637">
        <v>809.37</v>
      </c>
      <c r="L199" s="635" t="s">
        <v>707</v>
      </c>
      <c r="M199" s="636">
        <v>17</v>
      </c>
      <c r="N199" s="637" t="s">
        <v>167</v>
      </c>
      <c r="O199" s="681" t="s">
        <v>167</v>
      </c>
      <c r="P199" s="637" t="s">
        <v>167</v>
      </c>
      <c r="Q199" s="635" t="s">
        <v>481</v>
      </c>
      <c r="R199" s="637" t="s">
        <v>167</v>
      </c>
      <c r="S199" s="635" t="s">
        <v>167</v>
      </c>
      <c r="T199" s="639">
        <v>9</v>
      </c>
      <c r="U199" s="684"/>
    </row>
    <row r="200" spans="1:21">
      <c r="A200" s="635" t="s">
        <v>426</v>
      </c>
      <c r="B200" s="635" t="s">
        <v>582</v>
      </c>
      <c r="C200" s="635" t="s">
        <v>583</v>
      </c>
      <c r="D200" s="635" t="s">
        <v>786</v>
      </c>
      <c r="E200" s="635" t="s">
        <v>449</v>
      </c>
      <c r="F200" s="635" t="s">
        <v>708</v>
      </c>
      <c r="G200" s="636">
        <v>8.6</v>
      </c>
      <c r="H200" s="637">
        <v>8.44</v>
      </c>
      <c r="I200" s="637" t="s">
        <v>167</v>
      </c>
      <c r="J200" s="637">
        <v>54.58</v>
      </c>
      <c r="K200" s="637">
        <v>438.8</v>
      </c>
      <c r="L200" s="635" t="s">
        <v>709</v>
      </c>
      <c r="M200" s="636">
        <v>8.5</v>
      </c>
      <c r="N200" s="637">
        <v>8.44</v>
      </c>
      <c r="O200" s="681" t="s">
        <v>167</v>
      </c>
      <c r="P200" s="637">
        <v>54.58</v>
      </c>
      <c r="Q200" s="635" t="s">
        <v>620</v>
      </c>
      <c r="R200" s="637">
        <v>438.8</v>
      </c>
      <c r="S200" s="635" t="s">
        <v>465</v>
      </c>
      <c r="T200" s="639">
        <v>4</v>
      </c>
      <c r="U200" s="684"/>
    </row>
    <row r="201" spans="1:21" ht="25.5">
      <c r="A201" s="635" t="s">
        <v>382</v>
      </c>
      <c r="B201" s="635" t="s">
        <v>383</v>
      </c>
      <c r="C201" s="635" t="s">
        <v>548</v>
      </c>
      <c r="D201" s="635" t="s">
        <v>787</v>
      </c>
      <c r="E201" s="635" t="s">
        <v>449</v>
      </c>
      <c r="F201" s="635" t="s">
        <v>710</v>
      </c>
      <c r="G201" s="636">
        <v>0</v>
      </c>
      <c r="H201" s="637" t="s">
        <v>167</v>
      </c>
      <c r="I201" s="637" t="s">
        <v>167</v>
      </c>
      <c r="J201" s="637" t="s">
        <v>167</v>
      </c>
      <c r="K201" s="637" t="s">
        <v>167</v>
      </c>
      <c r="L201" s="635" t="s">
        <v>711</v>
      </c>
      <c r="M201" s="636">
        <v>0</v>
      </c>
      <c r="N201" s="637" t="s">
        <v>167</v>
      </c>
      <c r="O201" s="681" t="s">
        <v>167</v>
      </c>
      <c r="P201" s="637" t="s">
        <v>167</v>
      </c>
      <c r="Q201" s="635" t="s">
        <v>486</v>
      </c>
      <c r="R201" s="637" t="s">
        <v>167</v>
      </c>
      <c r="S201" s="635" t="s">
        <v>167</v>
      </c>
      <c r="T201" s="639">
        <v>4</v>
      </c>
      <c r="U201" s="684"/>
    </row>
    <row r="202" spans="1:21">
      <c r="A202" s="635" t="s">
        <v>382</v>
      </c>
      <c r="B202" s="635" t="s">
        <v>384</v>
      </c>
      <c r="C202" s="635" t="s">
        <v>548</v>
      </c>
      <c r="D202" s="635" t="s">
        <v>788</v>
      </c>
      <c r="E202" s="635" t="s">
        <v>449</v>
      </c>
      <c r="F202" s="635" t="s">
        <v>710</v>
      </c>
      <c r="G202" s="636">
        <v>0</v>
      </c>
      <c r="H202" s="637" t="s">
        <v>167</v>
      </c>
      <c r="I202" s="637" t="s">
        <v>167</v>
      </c>
      <c r="J202" s="637" t="s">
        <v>167</v>
      </c>
      <c r="K202" s="637" t="s">
        <v>167</v>
      </c>
      <c r="L202" s="635" t="s">
        <v>711</v>
      </c>
      <c r="M202" s="636">
        <v>0</v>
      </c>
      <c r="N202" s="637" t="s">
        <v>167</v>
      </c>
      <c r="O202" s="681" t="s">
        <v>167</v>
      </c>
      <c r="P202" s="637" t="s">
        <v>167</v>
      </c>
      <c r="Q202" s="635" t="s">
        <v>486</v>
      </c>
      <c r="R202" s="637" t="s">
        <v>167</v>
      </c>
      <c r="S202" s="635" t="s">
        <v>167</v>
      </c>
      <c r="T202" s="639">
        <v>4</v>
      </c>
      <c r="U202" s="684"/>
    </row>
    <row r="203" spans="1:21">
      <c r="A203" s="635" t="s">
        <v>372</v>
      </c>
      <c r="B203" s="635" t="s">
        <v>373</v>
      </c>
      <c r="C203" s="635" t="s">
        <v>496</v>
      </c>
      <c r="D203" s="635" t="s">
        <v>789</v>
      </c>
      <c r="E203" s="635" t="s">
        <v>449</v>
      </c>
      <c r="F203" s="635" t="s">
        <v>712</v>
      </c>
      <c r="G203" s="636">
        <v>1.9</v>
      </c>
      <c r="H203" s="637">
        <v>8.49</v>
      </c>
      <c r="I203" s="637">
        <v>10.9</v>
      </c>
      <c r="J203" s="637">
        <v>50.15</v>
      </c>
      <c r="K203" s="637">
        <v>103.4</v>
      </c>
      <c r="L203" s="635" t="s">
        <v>618</v>
      </c>
      <c r="M203" s="636">
        <v>1.1000000000000001</v>
      </c>
      <c r="N203" s="637" t="s">
        <v>167</v>
      </c>
      <c r="O203" s="681" t="s">
        <v>167</v>
      </c>
      <c r="P203" s="637" t="s">
        <v>167</v>
      </c>
      <c r="Q203" s="635" t="s">
        <v>624</v>
      </c>
      <c r="R203" s="637" t="s">
        <v>167</v>
      </c>
      <c r="S203" s="635" t="s">
        <v>167</v>
      </c>
      <c r="T203" s="639">
        <v>2</v>
      </c>
      <c r="U203" s="684"/>
    </row>
    <row r="204" spans="1:21">
      <c r="A204" s="635" t="s">
        <v>405</v>
      </c>
      <c r="B204" s="635" t="s">
        <v>422</v>
      </c>
      <c r="C204" s="635" t="s">
        <v>535</v>
      </c>
      <c r="D204" s="635" t="s">
        <v>790</v>
      </c>
      <c r="E204" s="635" t="s">
        <v>449</v>
      </c>
      <c r="F204" s="635" t="s">
        <v>713</v>
      </c>
      <c r="G204" s="636">
        <v>20.3</v>
      </c>
      <c r="H204" s="637">
        <v>8.68</v>
      </c>
      <c r="I204" s="637">
        <v>10.8</v>
      </c>
      <c r="J204" s="637">
        <v>57.1</v>
      </c>
      <c r="K204" s="637">
        <v>1063.32</v>
      </c>
      <c r="L204" s="635" t="s">
        <v>714</v>
      </c>
      <c r="M204" s="636">
        <v>12.8</v>
      </c>
      <c r="N204" s="637">
        <v>8.24</v>
      </c>
      <c r="O204" s="681">
        <v>10.1</v>
      </c>
      <c r="P204" s="637">
        <v>56</v>
      </c>
      <c r="Q204" s="635" t="s">
        <v>624</v>
      </c>
      <c r="R204" s="637" t="s">
        <v>167</v>
      </c>
      <c r="S204" s="635" t="s">
        <v>38</v>
      </c>
      <c r="T204" s="639">
        <v>8</v>
      </c>
      <c r="U204" s="684">
        <f t="shared" si="2"/>
        <v>-0.70000000000000107</v>
      </c>
    </row>
    <row r="205" spans="1:21">
      <c r="A205" s="635" t="s">
        <v>359</v>
      </c>
      <c r="B205" s="635" t="s">
        <v>374</v>
      </c>
      <c r="C205" s="635" t="s">
        <v>791</v>
      </c>
      <c r="D205" s="635" t="s">
        <v>792</v>
      </c>
      <c r="E205" s="635" t="s">
        <v>449</v>
      </c>
      <c r="F205" s="635" t="s">
        <v>706</v>
      </c>
      <c r="G205" s="636">
        <v>16.5</v>
      </c>
      <c r="H205" s="637">
        <v>9.11</v>
      </c>
      <c r="I205" s="637">
        <v>11.6</v>
      </c>
      <c r="J205" s="637">
        <v>53.56</v>
      </c>
      <c r="K205" s="637">
        <v>232.13</v>
      </c>
      <c r="L205" s="635" t="s">
        <v>715</v>
      </c>
      <c r="M205" s="636">
        <v>8.9</v>
      </c>
      <c r="N205" s="637" t="s">
        <v>167</v>
      </c>
      <c r="O205" s="681" t="s">
        <v>167</v>
      </c>
      <c r="P205" s="637" t="s">
        <v>167</v>
      </c>
      <c r="Q205" s="635" t="s">
        <v>481</v>
      </c>
      <c r="R205" s="637" t="s">
        <v>167</v>
      </c>
      <c r="S205" s="635" t="s">
        <v>167</v>
      </c>
      <c r="T205" s="639">
        <v>6</v>
      </c>
      <c r="U205" s="684"/>
    </row>
    <row r="206" spans="1:21">
      <c r="A206" s="635" t="s">
        <v>355</v>
      </c>
      <c r="B206" s="635" t="s">
        <v>421</v>
      </c>
      <c r="C206" s="635" t="s">
        <v>630</v>
      </c>
      <c r="D206" s="635" t="s">
        <v>793</v>
      </c>
      <c r="E206" s="635" t="s">
        <v>449</v>
      </c>
      <c r="F206" s="635" t="s">
        <v>706</v>
      </c>
      <c r="G206" s="636">
        <v>4.4000000000000004</v>
      </c>
      <c r="H206" s="637">
        <v>8.58</v>
      </c>
      <c r="I206" s="637">
        <v>10.7</v>
      </c>
      <c r="J206" s="637">
        <v>42.88</v>
      </c>
      <c r="K206" s="637">
        <v>51.36</v>
      </c>
      <c r="L206" s="635" t="s">
        <v>716</v>
      </c>
      <c r="M206" s="636">
        <v>3.7</v>
      </c>
      <c r="N206" s="637">
        <v>7.93</v>
      </c>
      <c r="O206" s="681">
        <v>9.1999999999999993</v>
      </c>
      <c r="P206" s="637">
        <v>42.88</v>
      </c>
      <c r="Q206" s="635" t="s">
        <v>717</v>
      </c>
      <c r="R206" s="637">
        <v>50.73</v>
      </c>
      <c r="S206" s="635" t="s">
        <v>465</v>
      </c>
      <c r="T206" s="639">
        <v>6</v>
      </c>
      <c r="U206" s="684">
        <f t="shared" si="2"/>
        <v>-1.5</v>
      </c>
    </row>
    <row r="207" spans="1:21" ht="25.5">
      <c r="A207" s="635" t="s">
        <v>371</v>
      </c>
      <c r="B207" s="635" t="s">
        <v>420</v>
      </c>
      <c r="C207" s="635" t="s">
        <v>794</v>
      </c>
      <c r="D207" s="635" t="s">
        <v>795</v>
      </c>
      <c r="E207" s="635" t="s">
        <v>449</v>
      </c>
      <c r="F207" s="635" t="s">
        <v>718</v>
      </c>
      <c r="G207" s="636">
        <v>39.4</v>
      </c>
      <c r="H207" s="637">
        <v>8.14</v>
      </c>
      <c r="I207" s="637">
        <v>10.1</v>
      </c>
      <c r="J207" s="637">
        <v>52.2</v>
      </c>
      <c r="K207" s="637">
        <v>784.32</v>
      </c>
      <c r="L207" s="635" t="s">
        <v>719</v>
      </c>
      <c r="M207" s="636">
        <v>6.2</v>
      </c>
      <c r="N207" s="637">
        <v>7.48</v>
      </c>
      <c r="O207" s="681">
        <v>8.83</v>
      </c>
      <c r="P207" s="637">
        <v>52.2</v>
      </c>
      <c r="Q207" s="635" t="s">
        <v>699</v>
      </c>
      <c r="R207" s="637">
        <v>753.64</v>
      </c>
      <c r="S207" s="635" t="s">
        <v>681</v>
      </c>
      <c r="T207" s="639">
        <v>5</v>
      </c>
      <c r="U207" s="684">
        <f t="shared" si="2"/>
        <v>-1.2699999999999996</v>
      </c>
    </row>
    <row r="208" spans="1:21">
      <c r="A208" s="635" t="s">
        <v>418</v>
      </c>
      <c r="B208" s="635" t="s">
        <v>419</v>
      </c>
      <c r="C208" s="635" t="s">
        <v>771</v>
      </c>
      <c r="D208" s="635" t="s">
        <v>796</v>
      </c>
      <c r="E208" s="635" t="s">
        <v>449</v>
      </c>
      <c r="F208" s="635" t="s">
        <v>720</v>
      </c>
      <c r="G208" s="636">
        <v>10.199999999999999</v>
      </c>
      <c r="H208" s="637">
        <v>8.07</v>
      </c>
      <c r="I208" s="637">
        <v>11</v>
      </c>
      <c r="J208" s="637">
        <v>48.28</v>
      </c>
      <c r="K208" s="637">
        <v>238.7</v>
      </c>
      <c r="L208" s="635" t="s">
        <v>721</v>
      </c>
      <c r="M208" s="636">
        <v>5.8</v>
      </c>
      <c r="N208" s="637">
        <v>7.56</v>
      </c>
      <c r="O208" s="681">
        <v>10</v>
      </c>
      <c r="P208" s="637" t="s">
        <v>167</v>
      </c>
      <c r="Q208" s="635" t="s">
        <v>699</v>
      </c>
      <c r="R208" s="637" t="s">
        <v>167</v>
      </c>
      <c r="S208" s="635" t="s">
        <v>167</v>
      </c>
      <c r="T208" s="639">
        <v>11</v>
      </c>
      <c r="U208" s="684">
        <f t="shared" si="2"/>
        <v>-1</v>
      </c>
    </row>
    <row r="209" spans="1:21">
      <c r="A209" s="635" t="s">
        <v>359</v>
      </c>
      <c r="B209" s="635" t="s">
        <v>417</v>
      </c>
      <c r="C209" s="635" t="s">
        <v>187</v>
      </c>
      <c r="D209" s="635" t="s">
        <v>797</v>
      </c>
      <c r="E209" s="635" t="s">
        <v>449</v>
      </c>
      <c r="F209" s="635" t="s">
        <v>722</v>
      </c>
      <c r="G209" s="636">
        <v>70.2</v>
      </c>
      <c r="H209" s="637">
        <v>8.61</v>
      </c>
      <c r="I209" s="637">
        <v>11.5</v>
      </c>
      <c r="J209" s="637">
        <v>49.99</v>
      </c>
      <c r="K209" s="637">
        <v>687.83</v>
      </c>
      <c r="L209" s="635" t="s">
        <v>723</v>
      </c>
      <c r="M209" s="636">
        <v>53</v>
      </c>
      <c r="N209" s="637" t="s">
        <v>167</v>
      </c>
      <c r="O209" s="681" t="s">
        <v>167</v>
      </c>
      <c r="P209" s="637" t="s">
        <v>167</v>
      </c>
      <c r="Q209" s="635" t="s">
        <v>724</v>
      </c>
      <c r="R209" s="637" t="s">
        <v>167</v>
      </c>
      <c r="S209" s="635" t="s">
        <v>167</v>
      </c>
      <c r="T209" s="639">
        <v>7</v>
      </c>
      <c r="U209" s="684"/>
    </row>
    <row r="210" spans="1:21">
      <c r="A210" s="635" t="s">
        <v>353</v>
      </c>
      <c r="B210" s="635" t="s">
        <v>401</v>
      </c>
      <c r="C210" s="635" t="s">
        <v>610</v>
      </c>
      <c r="D210" s="635" t="s">
        <v>798</v>
      </c>
      <c r="E210" s="635" t="s">
        <v>449</v>
      </c>
      <c r="F210" s="635" t="s">
        <v>725</v>
      </c>
      <c r="G210" s="636">
        <v>45.1</v>
      </c>
      <c r="H210" s="637">
        <v>6.93</v>
      </c>
      <c r="I210" s="637">
        <v>11</v>
      </c>
      <c r="J210" s="637">
        <v>40.64</v>
      </c>
      <c r="K210" s="637">
        <v>2888.72</v>
      </c>
      <c r="L210" s="635" t="s">
        <v>710</v>
      </c>
      <c r="M210" s="636">
        <v>31.4</v>
      </c>
      <c r="N210" s="637" t="s">
        <v>167</v>
      </c>
      <c r="O210" s="681">
        <v>10.5</v>
      </c>
      <c r="P210" s="637" t="s">
        <v>167</v>
      </c>
      <c r="Q210" s="635" t="s">
        <v>167</v>
      </c>
      <c r="R210" s="637" t="s">
        <v>167</v>
      </c>
      <c r="S210" s="635" t="s">
        <v>167</v>
      </c>
      <c r="T210" s="639">
        <v>9</v>
      </c>
      <c r="U210" s="684">
        <f t="shared" si="2"/>
        <v>-0.5</v>
      </c>
    </row>
    <row r="211" spans="1:21">
      <c r="A211" s="635" t="s">
        <v>415</v>
      </c>
      <c r="B211" s="635" t="s">
        <v>416</v>
      </c>
      <c r="C211" s="635" t="s">
        <v>518</v>
      </c>
      <c r="D211" s="635" t="s">
        <v>799</v>
      </c>
      <c r="E211" s="635" t="s">
        <v>449</v>
      </c>
      <c r="F211" s="635" t="s">
        <v>726</v>
      </c>
      <c r="G211" s="636">
        <v>208.7</v>
      </c>
      <c r="H211" s="637" t="s">
        <v>167</v>
      </c>
      <c r="I211" s="637" t="s">
        <v>167</v>
      </c>
      <c r="J211" s="637" t="s">
        <v>167</v>
      </c>
      <c r="K211" s="637">
        <v>2458.5500000000002</v>
      </c>
      <c r="L211" s="635" t="s">
        <v>727</v>
      </c>
      <c r="M211" s="636">
        <v>47.4</v>
      </c>
      <c r="N211" s="637" t="s">
        <v>167</v>
      </c>
      <c r="O211" s="681" t="s">
        <v>167</v>
      </c>
      <c r="P211" s="637" t="s">
        <v>167</v>
      </c>
      <c r="Q211" s="635" t="s">
        <v>517</v>
      </c>
      <c r="R211" s="637">
        <v>2448.52</v>
      </c>
      <c r="S211" s="635" t="s">
        <v>38</v>
      </c>
      <c r="T211" s="639">
        <v>16</v>
      </c>
      <c r="U211" s="684"/>
    </row>
    <row r="212" spans="1:21">
      <c r="A212" s="635" t="s">
        <v>409</v>
      </c>
      <c r="B212" s="635" t="s">
        <v>477</v>
      </c>
      <c r="C212" s="635" t="s">
        <v>101</v>
      </c>
      <c r="D212" s="635" t="s">
        <v>800</v>
      </c>
      <c r="E212" s="635" t="s">
        <v>449</v>
      </c>
      <c r="F212" s="635" t="s">
        <v>728</v>
      </c>
      <c r="G212" s="636">
        <v>15.6</v>
      </c>
      <c r="H212" s="637">
        <v>8.41</v>
      </c>
      <c r="I212" s="637">
        <v>10</v>
      </c>
      <c r="J212" s="637">
        <v>55.7</v>
      </c>
      <c r="K212" s="637">
        <v>59.15</v>
      </c>
      <c r="L212" s="635" t="s">
        <v>729</v>
      </c>
      <c r="M212" s="636">
        <v>15.6</v>
      </c>
      <c r="N212" s="637">
        <v>8.4</v>
      </c>
      <c r="O212" s="681">
        <v>10</v>
      </c>
      <c r="P212" s="637">
        <v>55.7</v>
      </c>
      <c r="Q212" s="635" t="s">
        <v>457</v>
      </c>
      <c r="R212" s="637">
        <v>59.15</v>
      </c>
      <c r="S212" s="635" t="s">
        <v>38</v>
      </c>
      <c r="T212" s="639">
        <v>8</v>
      </c>
      <c r="U212" s="684">
        <f t="shared" si="2"/>
        <v>0</v>
      </c>
    </row>
    <row r="213" spans="1:21">
      <c r="A213" s="635" t="s">
        <v>392</v>
      </c>
      <c r="B213" s="635" t="s">
        <v>388</v>
      </c>
      <c r="C213" s="635" t="s">
        <v>545</v>
      </c>
      <c r="D213" s="635" t="s">
        <v>801</v>
      </c>
      <c r="E213" s="635" t="s">
        <v>449</v>
      </c>
      <c r="F213" s="635" t="s">
        <v>730</v>
      </c>
      <c r="G213" s="636">
        <v>6.5</v>
      </c>
      <c r="H213" s="637">
        <v>9.3000000000000007</v>
      </c>
      <c r="I213" s="637">
        <v>11</v>
      </c>
      <c r="J213" s="637">
        <v>56</v>
      </c>
      <c r="K213" s="637">
        <v>67</v>
      </c>
      <c r="L213" s="635" t="s">
        <v>731</v>
      </c>
      <c r="M213" s="636">
        <v>4.5999999999999996</v>
      </c>
      <c r="N213" s="637">
        <v>8.75</v>
      </c>
      <c r="O213" s="681">
        <v>10.050000000000001</v>
      </c>
      <c r="P213" s="637">
        <v>55.44</v>
      </c>
      <c r="Q213" s="635" t="s">
        <v>699</v>
      </c>
      <c r="R213" s="637">
        <v>65.400000000000006</v>
      </c>
      <c r="S213" s="635" t="s">
        <v>465</v>
      </c>
      <c r="T213" s="639">
        <v>4</v>
      </c>
      <c r="U213" s="684">
        <f t="shared" si="2"/>
        <v>-0.94999999999999929</v>
      </c>
    </row>
    <row r="214" spans="1:21">
      <c r="A214" s="635" t="s">
        <v>355</v>
      </c>
      <c r="B214" s="635" t="s">
        <v>356</v>
      </c>
      <c r="C214" s="635" t="s">
        <v>774</v>
      </c>
      <c r="D214" s="635" t="s">
        <v>802</v>
      </c>
      <c r="E214" s="635" t="s">
        <v>449</v>
      </c>
      <c r="F214" s="635" t="s">
        <v>732</v>
      </c>
      <c r="G214" s="636">
        <v>6.2</v>
      </c>
      <c r="H214" s="637">
        <v>9.08</v>
      </c>
      <c r="I214" s="637">
        <v>10.65</v>
      </c>
      <c r="J214" s="637">
        <v>50.17</v>
      </c>
      <c r="K214" s="637">
        <v>50.8</v>
      </c>
      <c r="L214" s="635" t="s">
        <v>733</v>
      </c>
      <c r="M214" s="636">
        <v>5.0999999999999996</v>
      </c>
      <c r="N214" s="637">
        <v>8.39</v>
      </c>
      <c r="O214" s="681">
        <v>9.4499999999999993</v>
      </c>
      <c r="P214" s="637">
        <v>50.17</v>
      </c>
      <c r="Q214" s="635" t="s">
        <v>717</v>
      </c>
      <c r="R214" s="637">
        <v>49.68</v>
      </c>
      <c r="S214" s="635" t="s">
        <v>465</v>
      </c>
      <c r="T214" s="639">
        <v>6</v>
      </c>
      <c r="U214" s="684">
        <f t="shared" si="2"/>
        <v>-1.2000000000000011</v>
      </c>
    </row>
    <row r="215" spans="1:21">
      <c r="A215" s="635" t="s">
        <v>386</v>
      </c>
      <c r="B215" s="635" t="s">
        <v>399</v>
      </c>
      <c r="C215" s="635" t="s">
        <v>187</v>
      </c>
      <c r="D215" s="635" t="s">
        <v>803</v>
      </c>
      <c r="E215" s="635" t="s">
        <v>449</v>
      </c>
      <c r="F215" s="635" t="s">
        <v>734</v>
      </c>
      <c r="G215" s="636">
        <v>24.4</v>
      </c>
      <c r="H215" s="637">
        <v>8.1</v>
      </c>
      <c r="I215" s="637">
        <v>10.1</v>
      </c>
      <c r="J215" s="637">
        <v>46</v>
      </c>
      <c r="K215" s="637">
        <v>1615.79</v>
      </c>
      <c r="L215" s="635" t="s">
        <v>735</v>
      </c>
      <c r="M215" s="636">
        <v>19</v>
      </c>
      <c r="N215" s="637" t="s">
        <v>167</v>
      </c>
      <c r="O215" s="681" t="s">
        <v>167</v>
      </c>
      <c r="P215" s="637" t="s">
        <v>167</v>
      </c>
      <c r="Q215" s="635" t="s">
        <v>167</v>
      </c>
      <c r="R215" s="637" t="s">
        <v>167</v>
      </c>
      <c r="S215" s="635" t="s">
        <v>167</v>
      </c>
      <c r="T215" s="639">
        <v>5</v>
      </c>
      <c r="U215" s="684"/>
    </row>
    <row r="216" spans="1:21">
      <c r="A216" s="635" t="s">
        <v>365</v>
      </c>
      <c r="B216" s="635" t="s">
        <v>366</v>
      </c>
      <c r="C216" s="635" t="s">
        <v>774</v>
      </c>
      <c r="D216" s="635" t="s">
        <v>804</v>
      </c>
      <c r="E216" s="635" t="s">
        <v>449</v>
      </c>
      <c r="F216" s="635" t="s">
        <v>736</v>
      </c>
      <c r="G216" s="636">
        <v>11.4</v>
      </c>
      <c r="H216" s="637">
        <v>9.1</v>
      </c>
      <c r="I216" s="637">
        <v>11.2</v>
      </c>
      <c r="J216" s="637">
        <v>50</v>
      </c>
      <c r="K216" s="637">
        <v>169.01</v>
      </c>
      <c r="L216" s="635" t="s">
        <v>737</v>
      </c>
      <c r="M216" s="636">
        <v>6.8</v>
      </c>
      <c r="N216" s="637">
        <v>8.33</v>
      </c>
      <c r="O216" s="681" t="s">
        <v>167</v>
      </c>
      <c r="P216" s="637" t="s">
        <v>167</v>
      </c>
      <c r="Q216" s="635" t="s">
        <v>738</v>
      </c>
      <c r="R216" s="637">
        <v>164.3</v>
      </c>
      <c r="S216" s="635" t="s">
        <v>167</v>
      </c>
      <c r="T216" s="639">
        <v>12</v>
      </c>
      <c r="U216" s="684"/>
    </row>
    <row r="217" spans="1:21">
      <c r="A217" s="635" t="s">
        <v>376</v>
      </c>
      <c r="B217" s="635" t="s">
        <v>373</v>
      </c>
      <c r="C217" s="635" t="s">
        <v>496</v>
      </c>
      <c r="D217" s="635" t="s">
        <v>805</v>
      </c>
      <c r="E217" s="635" t="s">
        <v>449</v>
      </c>
      <c r="F217" s="635" t="s">
        <v>739</v>
      </c>
      <c r="G217" s="636">
        <v>5.4</v>
      </c>
      <c r="H217" s="637">
        <v>8.61</v>
      </c>
      <c r="I217" s="637">
        <v>10.9</v>
      </c>
      <c r="J217" s="637">
        <v>50.76</v>
      </c>
      <c r="K217" s="637">
        <v>148.41999999999999</v>
      </c>
      <c r="L217" s="635" t="s">
        <v>737</v>
      </c>
      <c r="M217" s="636">
        <v>3</v>
      </c>
      <c r="N217" s="637">
        <v>8</v>
      </c>
      <c r="O217" s="681">
        <v>10.1</v>
      </c>
      <c r="P217" s="637">
        <v>50</v>
      </c>
      <c r="Q217" s="635" t="s">
        <v>517</v>
      </c>
      <c r="R217" s="637">
        <v>137.19999999999999</v>
      </c>
      <c r="S217" s="635" t="s">
        <v>38</v>
      </c>
      <c r="T217" s="639">
        <v>5</v>
      </c>
      <c r="U217" s="684">
        <f t="shared" si="2"/>
        <v>-0.80000000000000071</v>
      </c>
    </row>
    <row r="218" spans="1:21">
      <c r="A218" s="635" t="s">
        <v>367</v>
      </c>
      <c r="B218" s="635" t="s">
        <v>368</v>
      </c>
      <c r="C218" s="635" t="s">
        <v>603</v>
      </c>
      <c r="D218" s="635" t="s">
        <v>806</v>
      </c>
      <c r="E218" s="635" t="s">
        <v>449</v>
      </c>
      <c r="F218" s="635" t="s">
        <v>740</v>
      </c>
      <c r="G218" s="636">
        <v>4.7</v>
      </c>
      <c r="H218" s="637">
        <v>9.69</v>
      </c>
      <c r="I218" s="637">
        <v>11.25</v>
      </c>
      <c r="J218" s="637">
        <v>51.58</v>
      </c>
      <c r="K218" s="637">
        <v>109.24</v>
      </c>
      <c r="L218" s="635" t="s">
        <v>741</v>
      </c>
      <c r="M218" s="636">
        <v>3.7</v>
      </c>
      <c r="N218" s="637" t="s">
        <v>167</v>
      </c>
      <c r="O218" s="681" t="s">
        <v>167</v>
      </c>
      <c r="P218" s="637" t="s">
        <v>167</v>
      </c>
      <c r="Q218" s="635" t="s">
        <v>167</v>
      </c>
      <c r="R218" s="637" t="s">
        <v>167</v>
      </c>
      <c r="S218" s="635" t="s">
        <v>167</v>
      </c>
      <c r="T218" s="639">
        <v>8</v>
      </c>
      <c r="U218" s="684"/>
    </row>
    <row r="219" spans="1:21">
      <c r="A219" s="635" t="s">
        <v>389</v>
      </c>
      <c r="B219" s="635" t="s">
        <v>414</v>
      </c>
      <c r="C219" s="635" t="s">
        <v>640</v>
      </c>
      <c r="D219" s="635" t="s">
        <v>807</v>
      </c>
      <c r="E219" s="635" t="s">
        <v>449</v>
      </c>
      <c r="F219" s="635" t="s">
        <v>742</v>
      </c>
      <c r="G219" s="636">
        <v>11.9</v>
      </c>
      <c r="H219" s="637">
        <v>8.27</v>
      </c>
      <c r="I219" s="637">
        <v>10.5</v>
      </c>
      <c r="J219" s="637">
        <v>51.26</v>
      </c>
      <c r="K219" s="637">
        <v>244.86</v>
      </c>
      <c r="L219" s="635" t="s">
        <v>743</v>
      </c>
      <c r="M219" s="636">
        <v>9</v>
      </c>
      <c r="N219" s="637" t="s">
        <v>167</v>
      </c>
      <c r="O219" s="681" t="s">
        <v>167</v>
      </c>
      <c r="P219" s="637" t="s">
        <v>167</v>
      </c>
      <c r="Q219" s="635" t="s">
        <v>717</v>
      </c>
      <c r="R219" s="637" t="s">
        <v>167</v>
      </c>
      <c r="S219" s="635" t="s">
        <v>167</v>
      </c>
      <c r="T219" s="639">
        <v>7</v>
      </c>
      <c r="U219" s="684"/>
    </row>
    <row r="220" spans="1:21">
      <c r="A220" s="635" t="s">
        <v>382</v>
      </c>
      <c r="B220" s="635" t="s">
        <v>578</v>
      </c>
      <c r="C220" s="635" t="s">
        <v>298</v>
      </c>
      <c r="D220" s="635" t="s">
        <v>808</v>
      </c>
      <c r="E220" s="635" t="s">
        <v>449</v>
      </c>
      <c r="F220" s="635" t="s">
        <v>744</v>
      </c>
      <c r="G220" s="636">
        <v>5</v>
      </c>
      <c r="H220" s="637">
        <v>8.57</v>
      </c>
      <c r="I220" s="637">
        <v>11.25</v>
      </c>
      <c r="J220" s="637">
        <v>53.62</v>
      </c>
      <c r="K220" s="637">
        <v>357.83</v>
      </c>
      <c r="L220" s="635" t="s">
        <v>745</v>
      </c>
      <c r="M220" s="636">
        <v>-8.3000000000000007</v>
      </c>
      <c r="N220" s="637">
        <v>7.72</v>
      </c>
      <c r="O220" s="681">
        <v>10.3</v>
      </c>
      <c r="P220" s="637">
        <v>51.65</v>
      </c>
      <c r="Q220" s="635" t="s">
        <v>517</v>
      </c>
      <c r="R220" s="637">
        <v>346.67</v>
      </c>
      <c r="S220" s="635" t="s">
        <v>38</v>
      </c>
      <c r="T220" s="639">
        <v>9</v>
      </c>
      <c r="U220" s="684">
        <f t="shared" si="2"/>
        <v>-0.94999999999999929</v>
      </c>
    </row>
    <row r="221" spans="1:21">
      <c r="A221" s="635" t="s">
        <v>382</v>
      </c>
      <c r="B221" s="635" t="s">
        <v>387</v>
      </c>
      <c r="C221" s="635" t="s">
        <v>453</v>
      </c>
      <c r="D221" s="635" t="s">
        <v>809</v>
      </c>
      <c r="E221" s="635" t="s">
        <v>449</v>
      </c>
      <c r="F221" s="635" t="s">
        <v>746</v>
      </c>
      <c r="G221" s="636">
        <v>4.4000000000000004</v>
      </c>
      <c r="H221" s="637">
        <v>8.77</v>
      </c>
      <c r="I221" s="637">
        <v>10.4</v>
      </c>
      <c r="J221" s="637">
        <v>57.27</v>
      </c>
      <c r="K221" s="637">
        <v>137.1</v>
      </c>
      <c r="L221" s="635" t="s">
        <v>747</v>
      </c>
      <c r="M221" s="636">
        <v>1.9</v>
      </c>
      <c r="N221" s="637">
        <v>8.8000000000000007</v>
      </c>
      <c r="O221" s="681">
        <v>10.3</v>
      </c>
      <c r="P221" s="637">
        <v>58.06</v>
      </c>
      <c r="Q221" s="635" t="s">
        <v>517</v>
      </c>
      <c r="R221" s="637">
        <v>128.29</v>
      </c>
      <c r="S221" s="635" t="s">
        <v>38</v>
      </c>
      <c r="T221" s="639">
        <v>8</v>
      </c>
      <c r="U221" s="684">
        <f t="shared" si="2"/>
        <v>-9.9999999999999645E-2</v>
      </c>
    </row>
    <row r="222" spans="1:21">
      <c r="A222" s="635" t="s">
        <v>353</v>
      </c>
      <c r="B222" s="635" t="s">
        <v>413</v>
      </c>
      <c r="C222" s="635" t="s">
        <v>810</v>
      </c>
      <c r="D222" s="635" t="s">
        <v>811</v>
      </c>
      <c r="E222" s="635" t="s">
        <v>449</v>
      </c>
      <c r="F222" s="635" t="s">
        <v>748</v>
      </c>
      <c r="G222" s="636">
        <v>19.8</v>
      </c>
      <c r="H222" s="637">
        <v>7.5</v>
      </c>
      <c r="I222" s="637">
        <v>11</v>
      </c>
      <c r="J222" s="637">
        <v>49.04</v>
      </c>
      <c r="K222" s="637">
        <v>421.99</v>
      </c>
      <c r="L222" s="635" t="s">
        <v>749</v>
      </c>
      <c r="M222" s="636">
        <v>8.1</v>
      </c>
      <c r="N222" s="637">
        <v>7.19</v>
      </c>
      <c r="O222" s="681">
        <v>10.35</v>
      </c>
      <c r="P222" s="637" t="s">
        <v>167</v>
      </c>
      <c r="Q222" s="635" t="s">
        <v>167</v>
      </c>
      <c r="R222" s="637" t="s">
        <v>167</v>
      </c>
      <c r="S222" s="635" t="s">
        <v>167</v>
      </c>
      <c r="T222" s="639">
        <v>6</v>
      </c>
      <c r="U222" s="684">
        <f t="shared" si="2"/>
        <v>-0.65000000000000036</v>
      </c>
    </row>
    <row r="224" spans="1:21" ht="14.25">
      <c r="M224" s="685"/>
      <c r="N224" s="692" t="s">
        <v>823</v>
      </c>
      <c r="O224" s="693">
        <f>AVERAGE(O192:O222)</f>
        <v>9.9175000000000004</v>
      </c>
      <c r="P224" s="87"/>
      <c r="Q224" s="87"/>
      <c r="R224" s="87"/>
      <c r="S224" s="87"/>
      <c r="T224" s="87"/>
      <c r="U224" s="693">
        <f>AVERAGE(U192:U222)</f>
        <v>-0.82937499999999997</v>
      </c>
    </row>
    <row r="225" spans="13:21" ht="14.25">
      <c r="M225" s="694"/>
      <c r="N225" s="692" t="s">
        <v>824</v>
      </c>
      <c r="O225" s="693">
        <f>+O192</f>
        <v>10.4</v>
      </c>
      <c r="P225" s="87"/>
      <c r="Q225" s="87"/>
      <c r="R225" s="87"/>
      <c r="S225" s="87"/>
      <c r="T225" s="87"/>
      <c r="U225" s="693">
        <f>+U195</f>
        <v>-1.5</v>
      </c>
    </row>
    <row r="226" spans="13:21" ht="14.25">
      <c r="M226" s="694"/>
      <c r="N226" s="685" t="s">
        <v>825</v>
      </c>
      <c r="O226" s="693">
        <f>+O207</f>
        <v>8.83</v>
      </c>
      <c r="P226" s="87"/>
      <c r="Q226" s="87"/>
      <c r="R226" s="87"/>
      <c r="S226" s="87"/>
      <c r="T226" s="87"/>
      <c r="U226" s="693">
        <f>+U212</f>
        <v>0</v>
      </c>
    </row>
  </sheetData>
  <mergeCells count="5">
    <mergeCell ref="F4:K4"/>
    <mergeCell ref="L4:S4"/>
    <mergeCell ref="P67:Q67"/>
    <mergeCell ref="F72:K72"/>
    <mergeCell ref="L72:S72"/>
  </mergeCells>
  <pageMargins left="0.7" right="0.7" top="0.75" bottom="0.75" header="0.3" footer="0.3"/>
  <pageSetup scale="50" fitToHeight="2" orientation="landscape" r:id="rId1"/>
  <rowBreaks count="1" manualBreakCount="1"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3"/>
  <sheetViews>
    <sheetView view="pageBreakPreview" topLeftCell="A37" zoomScale="110" zoomScaleNormal="100" zoomScaleSheetLayoutView="110" workbookViewId="0">
      <selection activeCell="T68" sqref="T68"/>
    </sheetView>
  </sheetViews>
  <sheetFormatPr defaultRowHeight="12.75"/>
  <cols>
    <col min="1" max="1" width="23.5" customWidth="1"/>
    <col min="2" max="2" width="12.83203125" customWidth="1"/>
    <col min="3" max="3" width="13.5" customWidth="1"/>
    <col min="4" max="4" width="12.5" customWidth="1"/>
    <col min="5" max="5" width="13.33203125" customWidth="1"/>
    <col min="6" max="6" width="12" customWidth="1"/>
    <col min="7" max="8" width="14.83203125" style="6" customWidth="1"/>
    <col min="9" max="9" width="13" customWidth="1"/>
    <col min="10" max="10" width="14.83203125" customWidth="1"/>
    <col min="11" max="11" width="25.1640625" customWidth="1"/>
    <col min="12" max="13" width="12.83203125" customWidth="1"/>
    <col min="14" max="16" width="12.83203125" style="6" customWidth="1"/>
    <col min="17" max="19" width="13.33203125" style="6" customWidth="1"/>
    <col min="20" max="20" width="13.5" style="6" customWidth="1"/>
    <col min="21" max="23" width="9.33203125" style="6"/>
    <col min="25" max="25" width="9.33203125" style="6"/>
    <col min="28" max="28" width="14.83203125" style="6" customWidth="1"/>
    <col min="29" max="29" width="15.1640625" style="6" customWidth="1"/>
  </cols>
  <sheetData>
    <row r="1" spans="1:29">
      <c r="A1" s="79"/>
      <c r="J1" t="s">
        <v>335</v>
      </c>
      <c r="N1"/>
      <c r="O1"/>
      <c r="P1"/>
      <c r="S1"/>
      <c r="T1" t="s">
        <v>336</v>
      </c>
    </row>
    <row r="2" spans="1:29">
      <c r="A2" s="79"/>
      <c r="N2"/>
      <c r="O2"/>
      <c r="P2"/>
      <c r="S2"/>
      <c r="T2"/>
    </row>
    <row r="3" spans="1:29">
      <c r="A3" s="79"/>
      <c r="N3"/>
      <c r="O3"/>
      <c r="P3"/>
      <c r="S3"/>
      <c r="T3"/>
    </row>
    <row r="4" spans="1:29" ht="18.75">
      <c r="A4" s="28" t="str">
        <f>Comps!B3</f>
        <v>Questar Gas Company</v>
      </c>
      <c r="B4" s="29"/>
      <c r="C4" s="29"/>
      <c r="D4" s="29"/>
      <c r="E4" s="29"/>
      <c r="F4" s="29"/>
      <c r="G4" s="33"/>
      <c r="H4" s="33"/>
      <c r="I4" s="29"/>
      <c r="J4" s="29"/>
      <c r="K4" s="28" t="str">
        <f>+A4</f>
        <v>Questar Gas Company</v>
      </c>
      <c r="L4" s="29"/>
      <c r="M4" s="29"/>
      <c r="N4" s="29"/>
      <c r="O4" s="29"/>
      <c r="P4" s="29"/>
      <c r="Q4" s="33"/>
      <c r="R4" s="33"/>
      <c r="S4" s="29"/>
      <c r="T4" s="29"/>
    </row>
    <row r="5" spans="1:29" ht="15.75">
      <c r="A5" s="31" t="s">
        <v>72</v>
      </c>
      <c r="B5" s="29"/>
      <c r="C5" s="29"/>
      <c r="D5" s="29"/>
      <c r="E5" s="29"/>
      <c r="F5" s="29"/>
      <c r="G5" s="33"/>
      <c r="H5" s="33"/>
      <c r="I5" s="29"/>
      <c r="J5" s="29"/>
      <c r="K5" s="31" t="s">
        <v>72</v>
      </c>
      <c r="L5" s="29"/>
      <c r="M5" s="29"/>
      <c r="N5" s="29"/>
      <c r="O5" s="29"/>
      <c r="P5" s="29"/>
      <c r="Q5" s="33"/>
      <c r="R5" s="33"/>
      <c r="S5" s="29"/>
      <c r="T5" s="29"/>
    </row>
    <row r="6" spans="1:29" ht="15.75">
      <c r="A6" s="48">
        <f>Comps!B5</f>
        <v>41634</v>
      </c>
      <c r="B6" s="29"/>
      <c r="C6" s="29"/>
      <c r="D6" s="29"/>
      <c r="E6" s="29"/>
      <c r="F6" s="29"/>
      <c r="G6" s="33"/>
      <c r="H6" s="33"/>
      <c r="I6" s="29"/>
      <c r="J6" s="29"/>
      <c r="K6" s="48">
        <f>+A6</f>
        <v>41634</v>
      </c>
      <c r="L6" s="29"/>
      <c r="M6" s="29"/>
      <c r="N6" s="29"/>
      <c r="O6" s="29"/>
      <c r="P6" s="29"/>
      <c r="Q6" s="33"/>
      <c r="R6" s="33"/>
      <c r="S6" s="29"/>
      <c r="T6" s="29"/>
    </row>
    <row r="7" spans="1:29" ht="12.75" customHeight="1">
      <c r="A7" s="31"/>
      <c r="B7" s="29"/>
      <c r="C7" s="29"/>
      <c r="D7" s="29"/>
      <c r="E7" s="29"/>
      <c r="F7" s="29"/>
      <c r="G7" s="33"/>
      <c r="H7" s="33"/>
      <c r="I7" s="29"/>
      <c r="J7" s="29"/>
      <c r="K7" s="31"/>
      <c r="L7" s="29"/>
      <c r="M7" s="29"/>
      <c r="N7" s="29"/>
      <c r="O7" s="29"/>
      <c r="P7" s="29"/>
      <c r="Q7" s="33"/>
      <c r="R7" s="33"/>
      <c r="S7" s="29"/>
      <c r="T7" s="29"/>
    </row>
    <row r="8" spans="1:29">
      <c r="A8" s="29"/>
      <c r="B8" s="29"/>
      <c r="C8" s="29"/>
      <c r="D8" s="29"/>
      <c r="E8" s="29"/>
      <c r="F8" s="29"/>
      <c r="G8" s="33"/>
      <c r="H8" s="33"/>
      <c r="I8" s="29"/>
      <c r="J8" s="29"/>
      <c r="K8" s="29"/>
      <c r="L8" s="29"/>
      <c r="M8" s="29"/>
      <c r="N8" s="29"/>
      <c r="O8" s="29"/>
      <c r="P8" s="29"/>
      <c r="Q8" s="33"/>
      <c r="R8" s="33"/>
      <c r="S8" s="29"/>
      <c r="T8" s="29"/>
    </row>
    <row r="9" spans="1:29">
      <c r="A9" s="18"/>
      <c r="G9" s="79"/>
      <c r="I9" s="79"/>
      <c r="K9" s="18"/>
      <c r="N9"/>
      <c r="O9"/>
      <c r="P9"/>
      <c r="Q9" s="79"/>
      <c r="S9" s="79"/>
      <c r="T9" s="79"/>
    </row>
    <row r="10" spans="1:29" ht="15.75">
      <c r="A10" s="10" t="s">
        <v>252</v>
      </c>
      <c r="K10" s="10" t="s">
        <v>219</v>
      </c>
      <c r="N10"/>
      <c r="O10"/>
      <c r="P10"/>
      <c r="S10"/>
      <c r="T10"/>
    </row>
    <row r="11" spans="1:29">
      <c r="N11"/>
      <c r="O11" s="249" t="s">
        <v>140</v>
      </c>
      <c r="P11" s="249" t="s">
        <v>140</v>
      </c>
      <c r="S11"/>
      <c r="T11"/>
    </row>
    <row r="12" spans="1:29">
      <c r="B12" s="17"/>
      <c r="C12" s="17"/>
      <c r="D12" s="15" t="s">
        <v>40</v>
      </c>
      <c r="E12" s="15" t="s">
        <v>27</v>
      </c>
      <c r="F12" s="15" t="s">
        <v>27</v>
      </c>
      <c r="G12" s="32" t="s">
        <v>45</v>
      </c>
      <c r="H12" s="32" t="s">
        <v>45</v>
      </c>
      <c r="I12" s="15"/>
      <c r="J12" s="15" t="s">
        <v>45</v>
      </c>
      <c r="L12" s="179"/>
      <c r="M12" s="179"/>
      <c r="N12" s="180" t="s">
        <v>40</v>
      </c>
      <c r="O12" s="180" t="s">
        <v>27</v>
      </c>
      <c r="P12" s="180" t="s">
        <v>27</v>
      </c>
      <c r="Q12" s="32" t="s">
        <v>45</v>
      </c>
      <c r="R12" s="32" t="s">
        <v>45</v>
      </c>
      <c r="S12" s="180"/>
      <c r="T12" s="180" t="s">
        <v>45</v>
      </c>
    </row>
    <row r="13" spans="1:29">
      <c r="B13" s="484">
        <v>41634</v>
      </c>
      <c r="C13" s="15" t="s">
        <v>22</v>
      </c>
      <c r="D13" s="15" t="s">
        <v>41</v>
      </c>
      <c r="E13" s="15" t="s">
        <v>34</v>
      </c>
      <c r="F13" s="15" t="s">
        <v>34</v>
      </c>
      <c r="G13" s="46" t="s">
        <v>93</v>
      </c>
      <c r="H13" s="46" t="s">
        <v>93</v>
      </c>
      <c r="I13" s="16" t="s">
        <v>39</v>
      </c>
      <c r="J13" s="16" t="s">
        <v>93</v>
      </c>
      <c r="L13" s="484">
        <f>+B13</f>
        <v>41634</v>
      </c>
      <c r="M13" s="180" t="s">
        <v>22</v>
      </c>
      <c r="N13" s="180" t="s">
        <v>41</v>
      </c>
      <c r="O13" s="180" t="s">
        <v>34</v>
      </c>
      <c r="P13" s="180" t="s">
        <v>34</v>
      </c>
      <c r="Q13" s="46" t="s">
        <v>93</v>
      </c>
      <c r="R13" s="46" t="s">
        <v>93</v>
      </c>
      <c r="S13" s="16" t="s">
        <v>39</v>
      </c>
      <c r="T13" s="16" t="s">
        <v>93</v>
      </c>
      <c r="AB13" s="62"/>
    </row>
    <row r="14" spans="1:29">
      <c r="A14" s="2" t="s">
        <v>3</v>
      </c>
      <c r="B14" s="132" t="s">
        <v>4</v>
      </c>
      <c r="C14" s="15" t="s">
        <v>23</v>
      </c>
      <c r="D14" s="15" t="s">
        <v>37</v>
      </c>
      <c r="E14" s="15" t="s">
        <v>60</v>
      </c>
      <c r="F14" s="15" t="s">
        <v>62</v>
      </c>
      <c r="G14" s="32" t="s">
        <v>60</v>
      </c>
      <c r="H14" s="32" t="s">
        <v>61</v>
      </c>
      <c r="I14" s="15" t="s">
        <v>26</v>
      </c>
      <c r="J14" s="15" t="s">
        <v>94</v>
      </c>
      <c r="K14" s="2" t="s">
        <v>3</v>
      </c>
      <c r="L14" s="180" t="s">
        <v>4</v>
      </c>
      <c r="M14" s="180" t="s">
        <v>23</v>
      </c>
      <c r="N14" s="180" t="s">
        <v>37</v>
      </c>
      <c r="O14" s="180" t="s">
        <v>60</v>
      </c>
      <c r="P14" s="180" t="s">
        <v>62</v>
      </c>
      <c r="Q14" s="32" t="s">
        <v>60</v>
      </c>
      <c r="R14" s="32" t="s">
        <v>61</v>
      </c>
      <c r="S14" s="180" t="s">
        <v>26</v>
      </c>
      <c r="T14" s="180" t="s">
        <v>94</v>
      </c>
      <c r="AB14" s="61"/>
      <c r="AC14" s="61"/>
    </row>
    <row r="15" spans="1:29" ht="7.5" customHeight="1">
      <c r="A15" s="3"/>
      <c r="B15" s="81"/>
      <c r="C15" s="3"/>
      <c r="D15" s="3"/>
      <c r="E15" s="11"/>
      <c r="F15" s="11"/>
      <c r="G15" s="11"/>
      <c r="H15" s="11"/>
      <c r="I15" s="11"/>
      <c r="J15" s="11"/>
      <c r="K15" s="3"/>
      <c r="L15" s="3"/>
      <c r="M15" s="3"/>
      <c r="N15" s="3"/>
      <c r="O15" s="11"/>
      <c r="P15" s="11"/>
      <c r="Q15" s="11"/>
      <c r="R15" s="11"/>
      <c r="S15" s="11"/>
      <c r="T15" s="11"/>
    </row>
    <row r="16" spans="1:29">
      <c r="A16" t="str">
        <f>Comps!B12</f>
        <v>AGL Resources</v>
      </c>
      <c r="B16" s="79">
        <v>47.13</v>
      </c>
      <c r="C16" s="79">
        <f>+Dividends!C24</f>
        <v>1.861</v>
      </c>
      <c r="D16" s="6">
        <f>C16/B16</f>
        <v>3.9486526628474433E-2</v>
      </c>
      <c r="E16" s="84">
        <f>+'Growth &amp; Beta'!H12</f>
        <v>4.6766666666666672E-2</v>
      </c>
      <c r="F16" s="84">
        <f>+Dividends!L24</f>
        <v>4.4999999999999998E-2</v>
      </c>
      <c r="G16" s="6">
        <f>D16*(1+E16)+E16</f>
        <v>8.809984652379943E-2</v>
      </c>
      <c r="H16" s="6">
        <f>D16*(1+F16)+F16</f>
        <v>8.6263420326755769E-2</v>
      </c>
      <c r="I16" s="6">
        <f>E16*0.75+F16*0.25</f>
        <v>4.6325000000000005E-2</v>
      </c>
      <c r="J16" s="6">
        <f>D16*(1+F16)+I16</f>
        <v>8.7588420326755789E-2</v>
      </c>
      <c r="K16" t="str">
        <f>+A16</f>
        <v>AGL Resources</v>
      </c>
      <c r="L16" s="79">
        <f>+B16</f>
        <v>47.13</v>
      </c>
      <c r="M16" s="79">
        <f>+C16</f>
        <v>1.861</v>
      </c>
      <c r="N16" s="6">
        <f>M16/L16</f>
        <v>3.9486526628474433E-2</v>
      </c>
      <c r="O16" s="84">
        <f>+'Growth &amp; Beta'!B12</f>
        <v>0.09</v>
      </c>
      <c r="P16" s="84">
        <f>+Dividends!L24</f>
        <v>4.4999999999999998E-2</v>
      </c>
      <c r="Q16" s="6">
        <f t="shared" ref="Q16:Q23" si="0">N16*(1+O16)+O16</f>
        <v>0.13304031402503713</v>
      </c>
      <c r="R16" s="6">
        <f t="shared" ref="R16:R23" si="1">N16*(1+P16)+P16</f>
        <v>8.6263420326755769E-2</v>
      </c>
      <c r="S16" s="6">
        <f>O16*0.75+P16*0.25</f>
        <v>7.8750000000000001E-2</v>
      </c>
      <c r="T16" s="6">
        <f>N16*(1+P16)+S16</f>
        <v>0.12001342032675577</v>
      </c>
    </row>
    <row r="17" spans="1:29">
      <c r="A17" t="str">
        <f>Comps!B13</f>
        <v>Atmos Energy</v>
      </c>
      <c r="B17" s="79">
        <v>45.01</v>
      </c>
      <c r="C17" s="79">
        <f>+Dividends!C25</f>
        <v>1.4049999999999998</v>
      </c>
      <c r="D17" s="6">
        <f t="shared" ref="D17:D24" si="2">C17/B17</f>
        <v>3.121528549211286E-2</v>
      </c>
      <c r="E17" s="84">
        <f>+'Growth &amp; Beta'!H13</f>
        <v>6.1766666666666664E-2</v>
      </c>
      <c r="F17" s="84">
        <f>+Dividends!L25</f>
        <v>1.4999999999999999E-2</v>
      </c>
      <c r="G17" s="6">
        <f t="shared" ref="G17:G23" si="3">D17*(1+E17)+E17</f>
        <v>9.4910016292675703E-2</v>
      </c>
      <c r="H17" s="6">
        <f t="shared" ref="H17:H23" si="4">D17*(1+F17)+F17</f>
        <v>4.6683514774494547E-2</v>
      </c>
      <c r="I17" s="6">
        <f t="shared" ref="I17:I23" si="5">E17*0.75+F17*0.25</f>
        <v>5.0074999999999995E-2</v>
      </c>
      <c r="J17" s="6">
        <f t="shared" ref="J17:J23" si="6">D17*(1+F17)+I17</f>
        <v>8.1758514774494542E-2</v>
      </c>
      <c r="K17" t="str">
        <f t="shared" ref="K17:K24" si="7">+A17</f>
        <v>Atmos Energy</v>
      </c>
      <c r="L17" s="79">
        <f t="shared" ref="L17:L23" si="8">+B17</f>
        <v>45.01</v>
      </c>
      <c r="M17" s="79">
        <f t="shared" ref="M17:M23" si="9">+C17</f>
        <v>1.4049999999999998</v>
      </c>
      <c r="N17" s="6">
        <f t="shared" ref="N17:N23" si="10">M17/L17</f>
        <v>3.121528549211286E-2</v>
      </c>
      <c r="O17" s="84">
        <f>+'Growth &amp; Beta'!B13</f>
        <v>5.5E-2</v>
      </c>
      <c r="P17" s="84">
        <f>+Dividends!L25</f>
        <v>1.4999999999999999E-2</v>
      </c>
      <c r="Q17" s="6">
        <f t="shared" si="0"/>
        <v>8.7932126194179061E-2</v>
      </c>
      <c r="R17" s="6">
        <f t="shared" si="1"/>
        <v>4.6683514774494547E-2</v>
      </c>
      <c r="S17" s="6">
        <f t="shared" ref="S17:S23" si="11">O17*0.75+P17*0.25</f>
        <v>4.4999999999999998E-2</v>
      </c>
      <c r="T17" s="6">
        <f t="shared" ref="T17:T23" si="12">N17*(1+P17)+S17</f>
        <v>7.6683514774494546E-2</v>
      </c>
    </row>
    <row r="18" spans="1:29">
      <c r="A18" t="str">
        <f>Comps!B14</f>
        <v>Laclede Group</v>
      </c>
      <c r="B18" s="79">
        <v>45.56</v>
      </c>
      <c r="C18" s="79">
        <f>+Dividends!C26</f>
        <v>1.71</v>
      </c>
      <c r="D18" s="6">
        <f t="shared" si="2"/>
        <v>3.7532923617208072E-2</v>
      </c>
      <c r="E18" s="84">
        <f>+'Growth &amp; Beta'!H14</f>
        <v>4.5133333333333338E-2</v>
      </c>
      <c r="F18" s="84">
        <f>+Dividends!L26</f>
        <v>3.5000000000000003E-2</v>
      </c>
      <c r="G18" s="6">
        <f t="shared" si="3"/>
        <v>8.4360242903131405E-2</v>
      </c>
      <c r="H18" s="6">
        <f t="shared" si="4"/>
        <v>7.3846575943810361E-2</v>
      </c>
      <c r="I18" s="6">
        <f t="shared" si="5"/>
        <v>4.2600000000000006E-2</v>
      </c>
      <c r="J18" s="6">
        <f t="shared" si="6"/>
        <v>8.1446575943810356E-2</v>
      </c>
      <c r="K18" t="str">
        <f t="shared" si="7"/>
        <v>Laclede Group</v>
      </c>
      <c r="L18" s="79">
        <f t="shared" si="8"/>
        <v>45.56</v>
      </c>
      <c r="M18" s="79">
        <f t="shared" si="9"/>
        <v>1.71</v>
      </c>
      <c r="N18" s="6">
        <f t="shared" si="10"/>
        <v>3.7532923617208072E-2</v>
      </c>
      <c r="O18" s="84">
        <f>+'Growth &amp; Beta'!B14</f>
        <v>0.06</v>
      </c>
      <c r="P18" s="84">
        <f>+Dividends!L26</f>
        <v>3.5000000000000003E-2</v>
      </c>
      <c r="Q18" s="6">
        <f t="shared" si="0"/>
        <v>9.9784899034240565E-2</v>
      </c>
      <c r="R18" s="6">
        <f t="shared" si="1"/>
        <v>7.3846575943810361E-2</v>
      </c>
      <c r="S18" s="6">
        <f t="shared" si="11"/>
        <v>5.3749999999999999E-2</v>
      </c>
      <c r="T18" s="6">
        <f t="shared" si="12"/>
        <v>9.259657594381035E-2</v>
      </c>
      <c r="AB18" s="60"/>
      <c r="AC18" s="60"/>
    </row>
    <row r="19" spans="1:29">
      <c r="A19" t="str">
        <f>Comps!B15</f>
        <v>New Jersey Resources</v>
      </c>
      <c r="B19" s="79">
        <v>45.95</v>
      </c>
      <c r="C19" s="79">
        <f>+Dividends!C27</f>
        <v>1.59</v>
      </c>
      <c r="D19" s="6">
        <f t="shared" si="2"/>
        <v>3.4602829162132753E-2</v>
      </c>
      <c r="E19" s="84">
        <f>+'Growth &amp; Beta'!H15</f>
        <v>0.03</v>
      </c>
      <c r="F19" s="84">
        <f>+Dividends!L27</f>
        <v>0.03</v>
      </c>
      <c r="G19" s="6">
        <f t="shared" ref="G19" si="13">D19*(1+E19)+E19</f>
        <v>6.5640914036996734E-2</v>
      </c>
      <c r="H19" s="6">
        <f t="shared" ref="H19" si="14">D19*(1+F19)+F19</f>
        <v>6.5640914036996734E-2</v>
      </c>
      <c r="I19" s="6">
        <f t="shared" ref="I19" si="15">E19*0.75+F19*0.25</f>
        <v>0.03</v>
      </c>
      <c r="J19" s="6">
        <f t="shared" ref="J19" si="16">D19*(1+F19)+I19</f>
        <v>6.5640914036996734E-2</v>
      </c>
      <c r="K19" t="str">
        <f t="shared" si="7"/>
        <v>New Jersey Resources</v>
      </c>
      <c r="L19" s="79">
        <f t="shared" ref="L19" si="17">+B19</f>
        <v>45.95</v>
      </c>
      <c r="M19" s="79">
        <f t="shared" ref="M19" si="18">+C19</f>
        <v>1.59</v>
      </c>
      <c r="N19" s="6">
        <f t="shared" ref="N19" si="19">M19/L19</f>
        <v>3.4602829162132753E-2</v>
      </c>
      <c r="O19" s="84">
        <f>+'Growth &amp; Beta'!B15</f>
        <v>5.5E-2</v>
      </c>
      <c r="P19" s="84">
        <f>+Dividends!L27</f>
        <v>0.03</v>
      </c>
      <c r="Q19" s="6">
        <f t="shared" ref="Q19" si="20">N19*(1+O19)+O19</f>
        <v>9.1505984766050055E-2</v>
      </c>
      <c r="R19" s="6">
        <f t="shared" ref="R19" si="21">N19*(1+P19)+P19</f>
        <v>6.5640914036996734E-2</v>
      </c>
      <c r="S19" s="6">
        <f t="shared" ref="S19" si="22">O19*0.75+P19*0.25</f>
        <v>4.8750000000000002E-2</v>
      </c>
      <c r="T19" s="6">
        <f t="shared" ref="T19" si="23">N19*(1+P19)+S19</f>
        <v>8.4390914036996736E-2</v>
      </c>
      <c r="AB19" s="60"/>
      <c r="AC19" s="60"/>
    </row>
    <row r="20" spans="1:29">
      <c r="A20" t="str">
        <f>Comps!B16</f>
        <v>Northwest Nat. Gas</v>
      </c>
      <c r="B20" s="79">
        <v>42.93</v>
      </c>
      <c r="C20" s="79">
        <f>+Dividends!C28</f>
        <v>1.84</v>
      </c>
      <c r="D20" s="6">
        <f t="shared" si="2"/>
        <v>4.2860470533426509E-2</v>
      </c>
      <c r="E20" s="84">
        <f>+'Growth &amp; Beta'!H16</f>
        <v>0.04</v>
      </c>
      <c r="F20" s="84">
        <f>+Dividends!L28</f>
        <v>2.5000000000000001E-2</v>
      </c>
      <c r="G20" s="6">
        <f t="shared" si="3"/>
        <v>8.4574889354763566E-2</v>
      </c>
      <c r="H20" s="6">
        <f t="shared" si="4"/>
        <v>6.8931982296762173E-2</v>
      </c>
      <c r="I20" s="6">
        <f t="shared" si="5"/>
        <v>3.6249999999999998E-2</v>
      </c>
      <c r="J20" s="6">
        <f t="shared" si="6"/>
        <v>8.0181982296762155E-2</v>
      </c>
      <c r="K20" t="str">
        <f t="shared" si="7"/>
        <v>Northwest Nat. Gas</v>
      </c>
      <c r="L20" s="79">
        <f t="shared" si="8"/>
        <v>42.93</v>
      </c>
      <c r="M20" s="79">
        <f t="shared" si="9"/>
        <v>1.84</v>
      </c>
      <c r="N20" s="6">
        <f t="shared" si="10"/>
        <v>4.2860470533426509E-2</v>
      </c>
      <c r="O20" s="84">
        <f>+'Growth &amp; Beta'!B16</f>
        <v>4.4999999999999998E-2</v>
      </c>
      <c r="P20" s="84">
        <f>+Dividends!L28</f>
        <v>2.5000000000000001E-2</v>
      </c>
      <c r="Q20" s="6">
        <f t="shared" si="0"/>
        <v>8.9789191707430688E-2</v>
      </c>
      <c r="R20" s="6">
        <f t="shared" si="1"/>
        <v>6.8931982296762173E-2</v>
      </c>
      <c r="S20" s="6">
        <f t="shared" si="11"/>
        <v>0.04</v>
      </c>
      <c r="T20" s="6">
        <f t="shared" si="12"/>
        <v>8.3931982296762159E-2</v>
      </c>
      <c r="AB20" s="60"/>
      <c r="AC20" s="60"/>
    </row>
    <row r="21" spans="1:29">
      <c r="A21" t="str">
        <f>Comps!B17</f>
        <v>Piedmont Natural Gas</v>
      </c>
      <c r="B21" s="79">
        <v>33</v>
      </c>
      <c r="C21" s="79">
        <f>+Dividends!C29</f>
        <v>1.24</v>
      </c>
      <c r="D21" s="6">
        <f t="shared" si="2"/>
        <v>3.7575757575757575E-2</v>
      </c>
      <c r="E21" s="84">
        <f>+'Growth &amp; Beta'!H17</f>
        <v>5.000000000000001E-2</v>
      </c>
      <c r="F21" s="84">
        <f>+Dividends!L29</f>
        <v>0.03</v>
      </c>
      <c r="G21" s="6">
        <f t="shared" si="3"/>
        <v>8.9454545454545467E-2</v>
      </c>
      <c r="H21" s="6">
        <f t="shared" si="4"/>
        <v>6.8703030303030294E-2</v>
      </c>
      <c r="I21" s="6">
        <f t="shared" si="5"/>
        <v>4.5000000000000005E-2</v>
      </c>
      <c r="J21" s="6">
        <f t="shared" si="6"/>
        <v>8.3703030303030307E-2</v>
      </c>
      <c r="K21" t="str">
        <f t="shared" si="7"/>
        <v>Piedmont Natural Gas</v>
      </c>
      <c r="L21" s="79">
        <f t="shared" si="8"/>
        <v>33</v>
      </c>
      <c r="M21" s="79">
        <f t="shared" si="9"/>
        <v>1.24</v>
      </c>
      <c r="N21" s="6">
        <f t="shared" si="10"/>
        <v>3.7575757575757575E-2</v>
      </c>
      <c r="O21" s="84">
        <f>+'Growth &amp; Beta'!B17</f>
        <v>4.4999999999999998E-2</v>
      </c>
      <c r="P21" s="84">
        <f>+Dividends!L29</f>
        <v>0.03</v>
      </c>
      <c r="Q21" s="6">
        <f t="shared" si="0"/>
        <v>8.4266666666666656E-2</v>
      </c>
      <c r="R21" s="6">
        <f t="shared" si="1"/>
        <v>6.8703030303030294E-2</v>
      </c>
      <c r="S21" s="6">
        <f t="shared" si="11"/>
        <v>4.1250000000000002E-2</v>
      </c>
      <c r="T21" s="6">
        <f t="shared" si="12"/>
        <v>7.9953030303030304E-2</v>
      </c>
      <c r="AB21" s="60"/>
      <c r="AC21" s="60"/>
    </row>
    <row r="22" spans="1:29">
      <c r="A22" t="str">
        <f>Comps!B18</f>
        <v>South Jersey Inds.</v>
      </c>
      <c r="B22" s="79">
        <v>54.93</v>
      </c>
      <c r="C22" s="79">
        <f>+Dividends!C30</f>
        <v>1.8120000000000001</v>
      </c>
      <c r="D22" s="6">
        <f t="shared" si="2"/>
        <v>3.2987438558164939E-2</v>
      </c>
      <c r="E22" s="84">
        <f>+'Growth &amp; Beta'!H18</f>
        <v>0.06</v>
      </c>
      <c r="F22" s="84">
        <f>+Dividends!L30</f>
        <v>8.5000000000000006E-2</v>
      </c>
      <c r="G22" s="6">
        <f t="shared" si="3"/>
        <v>9.4966684871654827E-2</v>
      </c>
      <c r="H22" s="6">
        <f t="shared" si="4"/>
        <v>0.12079137083560897</v>
      </c>
      <c r="I22" s="6">
        <f t="shared" si="5"/>
        <v>6.6250000000000003E-2</v>
      </c>
      <c r="J22" s="6">
        <f t="shared" si="6"/>
        <v>0.10204137083560896</v>
      </c>
      <c r="K22" t="str">
        <f t="shared" si="7"/>
        <v>South Jersey Inds.</v>
      </c>
      <c r="L22" s="79">
        <f t="shared" si="8"/>
        <v>54.93</v>
      </c>
      <c r="M22" s="79">
        <f t="shared" si="9"/>
        <v>1.8120000000000001</v>
      </c>
      <c r="N22" s="6">
        <f t="shared" si="10"/>
        <v>3.2987438558164939E-2</v>
      </c>
      <c r="O22" s="84">
        <f>+'Growth &amp; Beta'!B18</f>
        <v>7.4999999999999997E-2</v>
      </c>
      <c r="P22" s="84">
        <f>+Dividends!L30</f>
        <v>8.5000000000000006E-2</v>
      </c>
      <c r="Q22" s="6">
        <f t="shared" si="0"/>
        <v>0.11046149645002731</v>
      </c>
      <c r="R22" s="6">
        <f t="shared" si="1"/>
        <v>0.12079137083560897</v>
      </c>
      <c r="S22" s="6">
        <f t="shared" si="11"/>
        <v>7.7499999999999999E-2</v>
      </c>
      <c r="T22" s="6">
        <f t="shared" si="12"/>
        <v>0.11329137083560896</v>
      </c>
      <c r="AB22" s="60"/>
      <c r="AC22" s="60"/>
    </row>
    <row r="23" spans="1:29">
      <c r="A23" t="str">
        <f>Comps!B19</f>
        <v>Southwest Gas</v>
      </c>
      <c r="B23" s="79">
        <v>55.51</v>
      </c>
      <c r="C23" s="79">
        <f>+Dividends!C31</f>
        <v>1.27</v>
      </c>
      <c r="D23" s="6">
        <f t="shared" si="2"/>
        <v>2.2878760583678617E-2</v>
      </c>
      <c r="E23" s="84">
        <f>+'Growth &amp; Beta'!H19</f>
        <v>3.5299999999999998E-2</v>
      </c>
      <c r="F23" s="84">
        <f>+Dividends!L31</f>
        <v>7.0000000000000007E-2</v>
      </c>
      <c r="G23" s="6">
        <f t="shared" si="3"/>
        <v>5.898638083228247E-2</v>
      </c>
      <c r="H23" s="6">
        <f t="shared" si="4"/>
        <v>9.4480273824536123E-2</v>
      </c>
      <c r="I23" s="6">
        <f t="shared" si="5"/>
        <v>4.3975E-2</v>
      </c>
      <c r="J23" s="6">
        <f t="shared" si="6"/>
        <v>6.8455273824536117E-2</v>
      </c>
      <c r="K23" t="str">
        <f t="shared" si="7"/>
        <v>Southwest Gas</v>
      </c>
      <c r="L23" s="79">
        <f t="shared" si="8"/>
        <v>55.51</v>
      </c>
      <c r="M23" s="79">
        <f t="shared" si="9"/>
        <v>1.27</v>
      </c>
      <c r="N23" s="6">
        <f t="shared" si="10"/>
        <v>2.2878760583678617E-2</v>
      </c>
      <c r="O23" s="84">
        <f>+'Growth &amp; Beta'!B19</f>
        <v>0.08</v>
      </c>
      <c r="P23" s="84">
        <f>+Dividends!L31</f>
        <v>7.0000000000000007E-2</v>
      </c>
      <c r="Q23" s="6">
        <f t="shared" si="0"/>
        <v>0.10470906143037291</v>
      </c>
      <c r="R23" s="6">
        <f t="shared" si="1"/>
        <v>9.4480273824536123E-2</v>
      </c>
      <c r="S23" s="6">
        <f t="shared" si="11"/>
        <v>7.7499999999999999E-2</v>
      </c>
      <c r="T23" s="6">
        <f t="shared" si="12"/>
        <v>0.10198027382453612</v>
      </c>
    </row>
    <row r="24" spans="1:29">
      <c r="A24" t="str">
        <f>Comps!B20</f>
        <v>WGL Holdings</v>
      </c>
      <c r="B24" s="79">
        <v>39.21</v>
      </c>
      <c r="C24" s="79">
        <f>+Dividends!C32</f>
        <v>1.6322000000000001</v>
      </c>
      <c r="D24" s="6">
        <f t="shared" si="2"/>
        <v>4.1627135934710534E-2</v>
      </c>
      <c r="E24" s="84">
        <f>+'Growth &amp; Beta'!H20</f>
        <v>4.6000000000000006E-2</v>
      </c>
      <c r="F24" s="84">
        <f>+Dividends!L32</f>
        <v>2.5000000000000001E-2</v>
      </c>
      <c r="G24" s="6">
        <f t="shared" ref="G24" si="24">D24*(1+E24)+E24</f>
        <v>8.954198418770723E-2</v>
      </c>
      <c r="H24" s="6">
        <f t="shared" ref="H24" si="25">D24*(1+F24)+F24</f>
        <v>6.7667814333078294E-2</v>
      </c>
      <c r="I24" s="6">
        <f t="shared" ref="I24" si="26">E24*0.75+F24*0.25</f>
        <v>4.0750000000000001E-2</v>
      </c>
      <c r="J24" s="6">
        <f t="shared" ref="J24" si="27">D24*(1+F24)+I24</f>
        <v>8.3417814333078294E-2</v>
      </c>
      <c r="K24" t="str">
        <f t="shared" si="7"/>
        <v>WGL Holdings</v>
      </c>
      <c r="L24" s="79">
        <f t="shared" ref="L24" si="28">+B24</f>
        <v>39.21</v>
      </c>
      <c r="M24" s="79">
        <f t="shared" ref="M24" si="29">+C24</f>
        <v>1.6322000000000001</v>
      </c>
      <c r="N24" s="6">
        <f t="shared" ref="N24" si="30">M24/L24</f>
        <v>4.1627135934710534E-2</v>
      </c>
      <c r="O24" s="84">
        <f>+'Growth &amp; Beta'!B20</f>
        <v>3.5000000000000003E-2</v>
      </c>
      <c r="P24" s="84">
        <f>+Dividends!L32</f>
        <v>2.5000000000000001E-2</v>
      </c>
      <c r="Q24" s="6">
        <f t="shared" ref="Q24" si="31">N24*(1+O24)+O24</f>
        <v>7.8084085692425392E-2</v>
      </c>
      <c r="R24" s="6">
        <f t="shared" ref="R24" si="32">N24*(1+P24)+P24</f>
        <v>6.7667814333078294E-2</v>
      </c>
      <c r="S24" s="6">
        <f t="shared" ref="S24" si="33">O24*0.75+P24*0.25</f>
        <v>3.2500000000000001E-2</v>
      </c>
      <c r="T24" s="6">
        <f t="shared" ref="T24" si="34">N24*(1+P24)+S24</f>
        <v>7.5167814333078287E-2</v>
      </c>
    </row>
    <row r="25" spans="1:29" ht="12.75" customHeight="1">
      <c r="D25" s="3"/>
      <c r="E25" s="11"/>
      <c r="F25" s="11"/>
      <c r="G25" s="11"/>
      <c r="H25" s="11"/>
      <c r="I25" s="11"/>
      <c r="J25" s="11"/>
      <c r="N25" s="3"/>
      <c r="O25" s="11"/>
      <c r="P25" s="11"/>
      <c r="Q25" s="11"/>
      <c r="R25" s="11"/>
      <c r="S25" s="11"/>
      <c r="T25" s="11"/>
    </row>
    <row r="26" spans="1:29" ht="12.75" customHeight="1">
      <c r="A26" s="5" t="s">
        <v>38</v>
      </c>
      <c r="C26" s="6"/>
      <c r="D26" s="6">
        <f t="shared" ref="D26:J26" si="35">AVERAGE(D16:D25)</f>
        <v>3.5640792009518467E-2</v>
      </c>
      <c r="E26" s="6">
        <f t="shared" si="35"/>
        <v>4.6107407407407403E-2</v>
      </c>
      <c r="F26" s="6">
        <f t="shared" si="35"/>
        <v>4.0000000000000008E-2</v>
      </c>
      <c r="G26" s="6">
        <f t="shared" si="35"/>
        <v>8.3392833828617424E-2</v>
      </c>
      <c r="H26" s="6">
        <f t="shared" si="35"/>
        <v>7.7000988519452598E-2</v>
      </c>
      <c r="I26" s="6">
        <f t="shared" si="35"/>
        <v>4.4580555555555554E-2</v>
      </c>
      <c r="J26" s="6">
        <f t="shared" si="35"/>
        <v>8.1581544075008117E-2</v>
      </c>
      <c r="K26" s="5" t="s">
        <v>38</v>
      </c>
      <c r="M26" s="6"/>
      <c r="N26" s="6">
        <f>AVERAGE(N16:N25)</f>
        <v>3.5640792009518467E-2</v>
      </c>
      <c r="O26" s="6">
        <f>AVERAGE(O16:O25)</f>
        <v>6.0000000000000005E-2</v>
      </c>
      <c r="P26" s="6">
        <f>AVERAGE(P16:P23)</f>
        <v>4.1875000000000002E-2</v>
      </c>
      <c r="Q26" s="6">
        <f>AVERAGE(Q16:Q25)</f>
        <v>9.7730425107381086E-2</v>
      </c>
      <c r="R26" s="6">
        <f>AVERAGE(R16:R25)</f>
        <v>7.7000988519452598E-2</v>
      </c>
      <c r="S26" s="6">
        <f>AVERAGE(S16:S25)</f>
        <v>5.5E-2</v>
      </c>
      <c r="T26" s="6">
        <f>AVERAGE(T16:T23)</f>
        <v>9.4105135292749359E-2</v>
      </c>
    </row>
    <row r="27" spans="1:29">
      <c r="A27" s="5" t="s">
        <v>43</v>
      </c>
      <c r="C27" s="6"/>
      <c r="D27" s="6">
        <f t="shared" ref="D27:J27" si="36">STDEV(D16:D25)</f>
        <v>6.1303161170748379E-3</v>
      </c>
      <c r="E27" s="6">
        <f t="shared" si="36"/>
        <v>1.0418210256002302E-2</v>
      </c>
      <c r="F27" s="6">
        <f t="shared" si="36"/>
        <v>2.3048861143232218E-2</v>
      </c>
      <c r="G27" s="6">
        <f t="shared" si="36"/>
        <v>1.2631560800722717E-2</v>
      </c>
      <c r="H27" s="6">
        <f t="shared" si="36"/>
        <v>2.1178230505502653E-2</v>
      </c>
      <c r="I27" s="6">
        <f t="shared" si="36"/>
        <v>1.0024507296011008E-2</v>
      </c>
      <c r="J27" s="6">
        <f t="shared" si="36"/>
        <v>1.0553261525158997E-2</v>
      </c>
      <c r="K27" s="5" t="s">
        <v>43</v>
      </c>
      <c r="M27" s="6"/>
      <c r="N27" s="6">
        <f>STDEV(N16:N23)</f>
        <v>6.0983645673318458E-3</v>
      </c>
      <c r="O27" s="6">
        <f>STDEV(O16:O23)</f>
        <v>1.6677080080157919E-2</v>
      </c>
      <c r="P27" s="6">
        <f>STDEV(P16:P23)</f>
        <v>2.3895232638690568E-2</v>
      </c>
      <c r="Q27" s="6">
        <f>STDEV(Q16:Q25)</f>
        <v>1.6684032829994845E-2</v>
      </c>
      <c r="R27" s="6">
        <f>STDEV(R16:R25)</f>
        <v>2.1178230505502653E-2</v>
      </c>
      <c r="S27" s="6">
        <f>STDEV(S16:S23)</f>
        <v>1.7187905839364408E-2</v>
      </c>
      <c r="T27" s="6">
        <f>STDEV(T16:T23)</f>
        <v>1.6059258564637212E-2</v>
      </c>
    </row>
    <row r="28" spans="1:29">
      <c r="A28" s="5" t="s">
        <v>21</v>
      </c>
      <c r="C28" s="6"/>
      <c r="D28" s="6">
        <f t="shared" ref="D28:J28" si="37">MEDIAN(D16:D25)</f>
        <v>3.7532923617208072E-2</v>
      </c>
      <c r="E28" s="6">
        <f t="shared" si="37"/>
        <v>4.6000000000000006E-2</v>
      </c>
      <c r="F28" s="6">
        <f t="shared" si="37"/>
        <v>0.03</v>
      </c>
      <c r="G28" s="6">
        <f t="shared" si="37"/>
        <v>8.809984652379943E-2</v>
      </c>
      <c r="H28" s="6">
        <f t="shared" si="37"/>
        <v>6.8931982296762173E-2</v>
      </c>
      <c r="I28" s="6">
        <f t="shared" si="37"/>
        <v>4.3975E-2</v>
      </c>
      <c r="J28" s="6">
        <f t="shared" si="37"/>
        <v>8.1758514774494542E-2</v>
      </c>
      <c r="K28" s="5" t="s">
        <v>21</v>
      </c>
      <c r="M28" s="6"/>
      <c r="N28" s="6">
        <f>MEDIAN(N16:N23)</f>
        <v>3.6067876389670413E-2</v>
      </c>
      <c r="O28" s="6">
        <f>MEDIAN(O16:O23)</f>
        <v>5.7499999999999996E-2</v>
      </c>
      <c r="P28" s="6">
        <f>MEDIAN(P16:P23)</f>
        <v>3.2500000000000001E-2</v>
      </c>
      <c r="Q28" s="6">
        <f>MEDIAN(Q16:Q25)</f>
        <v>9.1505984766050055E-2</v>
      </c>
      <c r="R28" s="6">
        <f>MEDIAN(R16:R25)</f>
        <v>6.8931982296762173E-2</v>
      </c>
      <c r="S28" s="6">
        <f>MEDIAN(S16:S23)</f>
        <v>5.1250000000000004E-2</v>
      </c>
      <c r="T28" s="6">
        <f>MEDIAN(T16:T23)</f>
        <v>8.849374499040355E-2</v>
      </c>
    </row>
    <row r="29" spans="1:29">
      <c r="A29" s="5"/>
      <c r="C29" s="6"/>
      <c r="D29" s="6"/>
      <c r="E29" s="6"/>
      <c r="F29" s="6"/>
      <c r="I29" s="6"/>
      <c r="J29" s="6"/>
      <c r="K29" s="5"/>
      <c r="M29" s="6"/>
    </row>
    <row r="30" spans="1:29" ht="15.75">
      <c r="D30" s="9"/>
      <c r="E30" s="8" t="s">
        <v>42</v>
      </c>
      <c r="F30" s="6"/>
      <c r="G30" s="9">
        <f>G26</f>
        <v>8.3392833828617424E-2</v>
      </c>
      <c r="H30" s="9">
        <f>H26</f>
        <v>7.7000988519452598E-2</v>
      </c>
      <c r="J30" s="9">
        <f>J26</f>
        <v>8.1581544075008117E-2</v>
      </c>
      <c r="N30" s="9"/>
      <c r="O30" s="8" t="s">
        <v>42</v>
      </c>
      <c r="Q30" s="9">
        <f>+Q26</f>
        <v>9.7730425107381086E-2</v>
      </c>
      <c r="R30" s="9">
        <f>+R26</f>
        <v>7.7000988519452598E-2</v>
      </c>
      <c r="T30" s="9">
        <f>T26</f>
        <v>9.4105135292749359E-2</v>
      </c>
    </row>
    <row r="31" spans="1:29">
      <c r="D31" s="6"/>
      <c r="E31" s="6"/>
      <c r="F31" s="6"/>
      <c r="G31" s="95"/>
      <c r="H31" s="95"/>
      <c r="I31" s="6"/>
      <c r="J31" s="95"/>
      <c r="T31" s="95"/>
    </row>
    <row r="32" spans="1:29">
      <c r="D32" s="6"/>
      <c r="E32" s="63" t="s">
        <v>251</v>
      </c>
      <c r="F32" s="6"/>
      <c r="G32" s="6">
        <f>+G30-G27</f>
        <v>7.07612730278947E-2</v>
      </c>
      <c r="H32" s="6">
        <f>+H30-H27</f>
        <v>5.5822758013949945E-2</v>
      </c>
      <c r="I32" s="6"/>
      <c r="J32" s="6">
        <f>+J30-J27</f>
        <v>7.1028282549849123E-2</v>
      </c>
      <c r="O32" s="63" t="s">
        <v>251</v>
      </c>
      <c r="Q32" s="6">
        <f>+Q26-Q27</f>
        <v>8.1046392277386248E-2</v>
      </c>
      <c r="R32" s="6">
        <f>+R26-R27</f>
        <v>5.5822758013949945E-2</v>
      </c>
      <c r="T32" s="6">
        <f>+T30-T27</f>
        <v>7.804587672811214E-2</v>
      </c>
    </row>
    <row r="33" spans="1:24">
      <c r="G33" s="95">
        <f>+G30+G27</f>
        <v>9.6024394629340148E-2</v>
      </c>
      <c r="H33" s="95">
        <f>+H30+H27</f>
        <v>9.8179219024955244E-2</v>
      </c>
      <c r="J33" s="95">
        <f>+J30+J27</f>
        <v>9.2134805600167111E-2</v>
      </c>
      <c r="N33"/>
      <c r="O33"/>
      <c r="P33"/>
      <c r="Q33" s="6">
        <f>+Q26+Q27</f>
        <v>0.11441445793737592</v>
      </c>
      <c r="R33" s="6">
        <f>+R26+R27</f>
        <v>9.8179219024955244E-2</v>
      </c>
      <c r="S33"/>
      <c r="T33" s="95">
        <f>+T30+T27</f>
        <v>0.11016439385738658</v>
      </c>
    </row>
    <row r="34" spans="1:24">
      <c r="C34" s="95"/>
      <c r="D34" s="95"/>
      <c r="M34" s="95"/>
      <c r="N34" s="95"/>
      <c r="O34"/>
      <c r="P34"/>
      <c r="S34"/>
      <c r="T34"/>
      <c r="X34" s="60"/>
    </row>
    <row r="35" spans="1:24">
      <c r="N35"/>
      <c r="O35"/>
      <c r="P35"/>
      <c r="S35"/>
      <c r="T35"/>
    </row>
    <row r="36" spans="1:24">
      <c r="C36" s="95"/>
      <c r="M36" s="95"/>
      <c r="N36"/>
      <c r="O36"/>
      <c r="P36"/>
      <c r="S36"/>
      <c r="T36"/>
    </row>
    <row r="37" spans="1:24" ht="15" customHeight="1">
      <c r="C37" s="95"/>
      <c r="J37" s="8" t="s">
        <v>288</v>
      </c>
      <c r="M37" s="95"/>
      <c r="N37"/>
      <c r="O37"/>
      <c r="P37"/>
      <c r="S37"/>
      <c r="T37" s="8" t="s">
        <v>288</v>
      </c>
    </row>
    <row r="38" spans="1:24" ht="15.75">
      <c r="C38" s="95"/>
      <c r="J38" s="8" t="s">
        <v>813</v>
      </c>
      <c r="M38" s="95"/>
      <c r="N38"/>
      <c r="O38"/>
      <c r="P38"/>
      <c r="S38"/>
      <c r="T38" s="8" t="s">
        <v>814</v>
      </c>
    </row>
    <row r="39" spans="1:24">
      <c r="A39" s="79"/>
      <c r="N39"/>
      <c r="O39"/>
      <c r="P39"/>
      <c r="S39"/>
      <c r="T39"/>
    </row>
    <row r="40" spans="1:24" ht="18.75">
      <c r="A40" s="736" t="str">
        <f>+A4</f>
        <v>Questar Gas Company</v>
      </c>
      <c r="B40" s="736"/>
      <c r="C40" s="736"/>
      <c r="D40" s="736"/>
      <c r="E40" s="736"/>
      <c r="F40" s="736"/>
      <c r="G40" s="736"/>
      <c r="H40" s="736"/>
      <c r="I40" s="736"/>
      <c r="J40" s="736"/>
      <c r="K40" s="28" t="str">
        <f>+A40</f>
        <v>Questar Gas Company</v>
      </c>
      <c r="L40" s="29"/>
      <c r="M40" s="29"/>
      <c r="N40" s="29"/>
      <c r="O40" s="29"/>
      <c r="P40" s="29"/>
      <c r="Q40" s="33"/>
      <c r="R40" s="33"/>
      <c r="S40" s="29"/>
      <c r="T40" s="29"/>
    </row>
    <row r="41" spans="1:24" ht="15.75">
      <c r="A41" s="31" t="s">
        <v>72</v>
      </c>
      <c r="B41" s="29"/>
      <c r="C41" s="29"/>
      <c r="D41" s="29"/>
      <c r="E41" s="29"/>
      <c r="F41" s="29"/>
      <c r="G41" s="33"/>
      <c r="H41" s="33"/>
      <c r="I41" s="29"/>
      <c r="J41" s="29"/>
      <c r="K41" s="31" t="s">
        <v>72</v>
      </c>
      <c r="L41" s="29"/>
      <c r="M41" s="29"/>
      <c r="N41" s="29"/>
      <c r="O41" s="29"/>
      <c r="P41" s="29"/>
      <c r="Q41" s="33"/>
      <c r="R41" s="33"/>
      <c r="S41" s="29"/>
      <c r="T41" s="29"/>
    </row>
    <row r="42" spans="1:24" ht="15.75">
      <c r="A42" s="48">
        <f>+A6</f>
        <v>41634</v>
      </c>
      <c r="B42" s="29"/>
      <c r="C42" s="29"/>
      <c r="D42" s="29"/>
      <c r="E42" s="29"/>
      <c r="F42" s="29"/>
      <c r="G42" s="33"/>
      <c r="H42" s="33"/>
      <c r="I42" s="29"/>
      <c r="J42" s="29"/>
      <c r="K42" s="48">
        <f>+A42</f>
        <v>41634</v>
      </c>
      <c r="L42" s="29"/>
      <c r="M42" s="29"/>
      <c r="N42" s="29"/>
      <c r="O42" s="29"/>
      <c r="P42" s="29"/>
      <c r="Q42" s="33"/>
      <c r="R42" s="33"/>
      <c r="S42" s="29"/>
      <c r="T42" s="29"/>
    </row>
    <row r="43" spans="1:24" ht="15.75">
      <c r="A43" s="31"/>
      <c r="B43" s="29"/>
      <c r="C43" s="29"/>
      <c r="D43" s="29"/>
      <c r="E43" s="29"/>
      <c r="F43" s="29"/>
      <c r="G43" s="33"/>
      <c r="H43" s="33"/>
      <c r="I43" s="29"/>
      <c r="J43" s="29"/>
      <c r="K43" s="31"/>
      <c r="L43" s="29"/>
      <c r="M43" s="29"/>
      <c r="N43" s="29"/>
      <c r="O43" s="29"/>
      <c r="P43" s="29"/>
      <c r="Q43" s="33"/>
      <c r="R43" s="33"/>
      <c r="S43" s="29"/>
      <c r="T43" s="29"/>
    </row>
    <row r="44" spans="1:24">
      <c r="A44" s="29"/>
      <c r="B44" s="29"/>
      <c r="C44" s="29"/>
      <c r="D44" s="29"/>
      <c r="E44" s="29"/>
      <c r="F44" s="29"/>
      <c r="G44" s="33"/>
      <c r="H44" s="33"/>
      <c r="I44" s="29"/>
      <c r="J44" s="29"/>
      <c r="K44" s="29"/>
      <c r="L44" s="29"/>
      <c r="M44" s="29"/>
      <c r="N44" s="29"/>
      <c r="O44" s="29"/>
      <c r="P44" s="29"/>
      <c r="Q44" s="33"/>
      <c r="R44" s="33"/>
      <c r="S44" s="29"/>
      <c r="T44" s="29"/>
    </row>
    <row r="45" spans="1:24">
      <c r="A45" s="18"/>
      <c r="G45" s="79"/>
      <c r="I45" s="79"/>
      <c r="J45" s="79"/>
      <c r="K45" s="18"/>
      <c r="N45"/>
      <c r="O45"/>
      <c r="P45"/>
      <c r="Q45" s="79"/>
      <c r="S45" s="79"/>
      <c r="T45" s="79"/>
    </row>
    <row r="46" spans="1:24" ht="15.75">
      <c r="A46" s="10" t="s">
        <v>252</v>
      </c>
      <c r="K46" s="10" t="s">
        <v>219</v>
      </c>
      <c r="N46"/>
      <c r="O46"/>
      <c r="P46"/>
      <c r="S46"/>
      <c r="T46"/>
    </row>
    <row r="47" spans="1:24">
      <c r="N47"/>
      <c r="O47" s="249" t="s">
        <v>140</v>
      </c>
      <c r="P47" s="249" t="s">
        <v>140</v>
      </c>
      <c r="S47"/>
      <c r="T47"/>
    </row>
    <row r="48" spans="1:24">
      <c r="B48" s="132" t="s">
        <v>263</v>
      </c>
      <c r="C48" s="320"/>
      <c r="D48" s="249" t="s">
        <v>40</v>
      </c>
      <c r="E48" s="249" t="s">
        <v>27</v>
      </c>
      <c r="F48" s="249" t="s">
        <v>27</v>
      </c>
      <c r="G48" s="32" t="s">
        <v>45</v>
      </c>
      <c r="H48" s="32" t="s">
        <v>45</v>
      </c>
      <c r="I48" s="249"/>
      <c r="J48" s="249" t="s">
        <v>45</v>
      </c>
      <c r="L48" s="132" t="str">
        <f>+B48</f>
        <v xml:space="preserve">30 Day </v>
      </c>
      <c r="M48" s="320"/>
      <c r="N48" s="249" t="s">
        <v>40</v>
      </c>
      <c r="O48" s="249" t="s">
        <v>27</v>
      </c>
      <c r="P48" s="249" t="s">
        <v>27</v>
      </c>
      <c r="Q48" s="32" t="s">
        <v>45</v>
      </c>
      <c r="R48" s="32" t="s">
        <v>45</v>
      </c>
      <c r="S48" s="249"/>
      <c r="T48" s="249" t="s">
        <v>45</v>
      </c>
    </row>
    <row r="49" spans="1:20">
      <c r="B49" s="484" t="s">
        <v>38</v>
      </c>
      <c r="C49" s="249" t="s">
        <v>22</v>
      </c>
      <c r="D49" s="249" t="s">
        <v>41</v>
      </c>
      <c r="E49" s="249" t="s">
        <v>34</v>
      </c>
      <c r="F49" s="249" t="s">
        <v>34</v>
      </c>
      <c r="G49" s="46" t="s">
        <v>93</v>
      </c>
      <c r="H49" s="46" t="s">
        <v>93</v>
      </c>
      <c r="I49" s="16" t="s">
        <v>39</v>
      </c>
      <c r="J49" s="16" t="s">
        <v>93</v>
      </c>
      <c r="L49" s="484" t="str">
        <f>+B49</f>
        <v>Average</v>
      </c>
      <c r="M49" s="249" t="s">
        <v>22</v>
      </c>
      <c r="N49" s="249" t="s">
        <v>41</v>
      </c>
      <c r="O49" s="249" t="s">
        <v>34</v>
      </c>
      <c r="P49" s="249" t="s">
        <v>34</v>
      </c>
      <c r="Q49" s="46" t="s">
        <v>93</v>
      </c>
      <c r="R49" s="46" t="s">
        <v>93</v>
      </c>
      <c r="S49" s="16" t="s">
        <v>39</v>
      </c>
      <c r="T49" s="16" t="s">
        <v>93</v>
      </c>
    </row>
    <row r="50" spans="1:20">
      <c r="A50" s="2" t="s">
        <v>3</v>
      </c>
      <c r="B50" s="132" t="s">
        <v>4</v>
      </c>
      <c r="C50" s="249" t="s">
        <v>23</v>
      </c>
      <c r="D50" s="249" t="s">
        <v>37</v>
      </c>
      <c r="E50" s="249" t="s">
        <v>60</v>
      </c>
      <c r="F50" s="249" t="s">
        <v>62</v>
      </c>
      <c r="G50" s="32" t="s">
        <v>60</v>
      </c>
      <c r="H50" s="32" t="s">
        <v>61</v>
      </c>
      <c r="I50" s="249" t="s">
        <v>26</v>
      </c>
      <c r="J50" s="249" t="s">
        <v>94</v>
      </c>
      <c r="K50" s="2" t="s">
        <v>3</v>
      </c>
      <c r="L50" s="249" t="s">
        <v>4</v>
      </c>
      <c r="M50" s="249" t="s">
        <v>23</v>
      </c>
      <c r="N50" s="249" t="s">
        <v>37</v>
      </c>
      <c r="O50" s="249" t="s">
        <v>60</v>
      </c>
      <c r="P50" s="249" t="s">
        <v>62</v>
      </c>
      <c r="Q50" s="32" t="s">
        <v>60</v>
      </c>
      <c r="R50" s="32" t="s">
        <v>61</v>
      </c>
      <c r="S50" s="249" t="s">
        <v>26</v>
      </c>
      <c r="T50" s="249" t="s">
        <v>94</v>
      </c>
    </row>
    <row r="51" spans="1:20">
      <c r="A51" s="3"/>
      <c r="B51" s="81"/>
      <c r="C51" s="3"/>
      <c r="D51" s="3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11"/>
      <c r="P51" s="11"/>
      <c r="Q51" s="11"/>
      <c r="R51" s="11"/>
      <c r="S51" s="11"/>
      <c r="T51" s="11"/>
    </row>
    <row r="52" spans="1:20">
      <c r="A52" t="str">
        <f t="shared" ref="A52:A54" si="38">+A16</f>
        <v>AGL Resources</v>
      </c>
      <c r="B52" s="79">
        <v>46.103000000000002</v>
      </c>
      <c r="C52" s="79">
        <f t="shared" ref="C52:C55" si="39">+C16</f>
        <v>1.861</v>
      </c>
      <c r="D52" s="6">
        <f t="shared" ref="D52:D58" si="40">C52/B52</f>
        <v>4.036613669392447E-2</v>
      </c>
      <c r="E52" s="84">
        <f t="shared" ref="E52:F55" si="41">+E16</f>
        <v>4.6766666666666672E-2</v>
      </c>
      <c r="F52" s="84">
        <f t="shared" si="41"/>
        <v>4.4999999999999998E-2</v>
      </c>
      <c r="G52" s="6">
        <f t="shared" ref="G52:G58" si="42">D52*(1+E52)+E52</f>
        <v>8.9020593019977001E-2</v>
      </c>
      <c r="H52" s="6">
        <f t="shared" ref="H52:H58" si="43">D52*(1+F52)+F52</f>
        <v>8.7182612845151067E-2</v>
      </c>
      <c r="I52" s="6">
        <f>E52*0.75+F52*0.25</f>
        <v>4.6325000000000005E-2</v>
      </c>
      <c r="J52" s="6">
        <f>D52*(1+F52)+I52</f>
        <v>8.8507612845151074E-2</v>
      </c>
      <c r="K52" t="str">
        <f>+A52</f>
        <v>AGL Resources</v>
      </c>
      <c r="L52" s="79">
        <f>+B52</f>
        <v>46.103000000000002</v>
      </c>
      <c r="M52" s="79">
        <f>+C52</f>
        <v>1.861</v>
      </c>
      <c r="N52" s="6">
        <f t="shared" ref="N52:N58" si="44">M52/L52</f>
        <v>4.036613669392447E-2</v>
      </c>
      <c r="O52" s="84">
        <f t="shared" ref="O52:P55" si="45">+O16</f>
        <v>0.09</v>
      </c>
      <c r="P52" s="84">
        <f t="shared" si="45"/>
        <v>4.4999999999999998E-2</v>
      </c>
      <c r="Q52" s="6">
        <f t="shared" ref="Q52:Q58" si="46">N52*(1+O52)+O52</f>
        <v>0.13399908899637766</v>
      </c>
      <c r="R52" s="6">
        <f t="shared" ref="R52:R58" si="47">N52*(1+P52)+P52</f>
        <v>8.7182612845151067E-2</v>
      </c>
      <c r="S52" s="6">
        <f>O52*0.75+P52*0.25</f>
        <v>7.8750000000000001E-2</v>
      </c>
      <c r="T52" s="6">
        <f>N52*(1+P52)+S52</f>
        <v>0.12093261284515107</v>
      </c>
    </row>
    <row r="53" spans="1:20">
      <c r="A53" t="str">
        <f t="shared" si="38"/>
        <v>Atmos Energy</v>
      </c>
      <c r="B53" s="79">
        <v>44.470999999999997</v>
      </c>
      <c r="C53" s="79">
        <f t="shared" si="39"/>
        <v>1.4049999999999998</v>
      </c>
      <c r="D53" s="6">
        <f t="shared" si="40"/>
        <v>3.15936228103708E-2</v>
      </c>
      <c r="E53" s="84">
        <f t="shared" si="41"/>
        <v>6.1766666666666664E-2</v>
      </c>
      <c r="F53" s="84">
        <f t="shared" si="41"/>
        <v>1.4999999999999999E-2</v>
      </c>
      <c r="G53" s="6">
        <f t="shared" si="42"/>
        <v>9.5311722245958033E-2</v>
      </c>
      <c r="H53" s="6">
        <f t="shared" si="43"/>
        <v>4.7067527152526357E-2</v>
      </c>
      <c r="I53" s="6">
        <f t="shared" ref="I53:I58" si="48">E53*0.75+F53*0.25</f>
        <v>5.0074999999999995E-2</v>
      </c>
      <c r="J53" s="6">
        <f t="shared" ref="J53:J58" si="49">D53*(1+F53)+I53</f>
        <v>8.2142527152526346E-2</v>
      </c>
      <c r="K53" t="str">
        <f t="shared" ref="K53:M58" si="50">+A53</f>
        <v>Atmos Energy</v>
      </c>
      <c r="L53" s="79">
        <f t="shared" si="50"/>
        <v>44.470999999999997</v>
      </c>
      <c r="M53" s="79">
        <f t="shared" si="50"/>
        <v>1.4049999999999998</v>
      </c>
      <c r="N53" s="6">
        <f t="shared" si="44"/>
        <v>3.15936228103708E-2</v>
      </c>
      <c r="O53" s="84">
        <f t="shared" si="45"/>
        <v>5.5E-2</v>
      </c>
      <c r="P53" s="84">
        <f t="shared" si="45"/>
        <v>1.4999999999999999E-2</v>
      </c>
      <c r="Q53" s="6">
        <f t="shared" si="46"/>
        <v>8.8331272064941194E-2</v>
      </c>
      <c r="R53" s="6">
        <f t="shared" si="47"/>
        <v>4.7067527152526357E-2</v>
      </c>
      <c r="S53" s="6">
        <f t="shared" ref="S53:S58" si="51">O53*0.75+P53*0.25</f>
        <v>4.4999999999999998E-2</v>
      </c>
      <c r="T53" s="6">
        <f t="shared" ref="T53:T58" si="52">N53*(1+P53)+S53</f>
        <v>7.7067527152526349E-2</v>
      </c>
    </row>
    <row r="54" spans="1:20">
      <c r="A54" t="str">
        <f t="shared" si="38"/>
        <v>Laclede Group</v>
      </c>
      <c r="B54" s="79">
        <v>45.148000000000003</v>
      </c>
      <c r="C54" s="79">
        <f t="shared" si="39"/>
        <v>1.71</v>
      </c>
      <c r="D54" s="6">
        <f t="shared" si="40"/>
        <v>3.7875431912820057E-2</v>
      </c>
      <c r="E54" s="84">
        <f t="shared" si="41"/>
        <v>4.5133333333333338E-2</v>
      </c>
      <c r="F54" s="84">
        <f t="shared" si="41"/>
        <v>3.5000000000000003E-2</v>
      </c>
      <c r="G54" s="6">
        <f t="shared" si="42"/>
        <v>8.4718209739818667E-2</v>
      </c>
      <c r="H54" s="6">
        <f t="shared" si="43"/>
        <v>7.420107202976875E-2</v>
      </c>
      <c r="I54" s="6">
        <f t="shared" si="48"/>
        <v>4.2600000000000006E-2</v>
      </c>
      <c r="J54" s="6">
        <f t="shared" si="49"/>
        <v>8.1801072029768759E-2</v>
      </c>
      <c r="K54" t="str">
        <f t="shared" si="50"/>
        <v>Laclede Group</v>
      </c>
      <c r="L54" s="79">
        <f>+B54</f>
        <v>45.148000000000003</v>
      </c>
      <c r="M54" s="79">
        <f t="shared" si="50"/>
        <v>1.71</v>
      </c>
      <c r="N54" s="6">
        <f t="shared" si="44"/>
        <v>3.7875431912820057E-2</v>
      </c>
      <c r="O54" s="84">
        <f t="shared" si="45"/>
        <v>0.06</v>
      </c>
      <c r="P54" s="84">
        <f t="shared" si="45"/>
        <v>3.5000000000000003E-2</v>
      </c>
      <c r="Q54" s="6">
        <f t="shared" si="46"/>
        <v>0.10014795782758926</v>
      </c>
      <c r="R54" s="6">
        <f t="shared" si="47"/>
        <v>7.420107202976875E-2</v>
      </c>
      <c r="S54" s="6">
        <f t="shared" si="51"/>
        <v>5.3749999999999999E-2</v>
      </c>
      <c r="T54" s="6">
        <f t="shared" si="52"/>
        <v>9.2951072029768753E-2</v>
      </c>
    </row>
    <row r="55" spans="1:20">
      <c r="A55" t="s">
        <v>12</v>
      </c>
      <c r="B55" s="79">
        <v>44.633499999999998</v>
      </c>
      <c r="C55" s="79">
        <f t="shared" si="39"/>
        <v>1.59</v>
      </c>
      <c r="D55" s="6">
        <f t="shared" ref="D55" si="53">C55/B55</f>
        <v>3.5623466678615844E-2</v>
      </c>
      <c r="E55" s="84">
        <f t="shared" si="41"/>
        <v>0.03</v>
      </c>
      <c r="F55" s="84">
        <f t="shared" si="41"/>
        <v>0.03</v>
      </c>
      <c r="G55" s="6">
        <f t="shared" ref="G55" si="54">D55*(1+E55)+E55</f>
        <v>6.6692170678974316E-2</v>
      </c>
      <c r="H55" s="6">
        <f t="shared" ref="H55" si="55">D55*(1+F55)+F55</f>
        <v>6.6692170678974316E-2</v>
      </c>
      <c r="I55" s="6">
        <f t="shared" ref="I55" si="56">E55*0.75+F55*0.25</f>
        <v>0.03</v>
      </c>
      <c r="J55" s="6">
        <f t="shared" ref="J55" si="57">D55*(1+F55)+I55</f>
        <v>6.6692170678974316E-2</v>
      </c>
      <c r="K55" t="str">
        <f t="shared" ref="K55" si="58">+A55</f>
        <v>New Jersey Resources</v>
      </c>
      <c r="L55" s="79">
        <f>+B55</f>
        <v>44.633499999999998</v>
      </c>
      <c r="M55" s="79">
        <f t="shared" ref="M55" si="59">+C55</f>
        <v>1.59</v>
      </c>
      <c r="N55" s="6">
        <f t="shared" ref="N55" si="60">M55/L55</f>
        <v>3.5623466678615844E-2</v>
      </c>
      <c r="O55" s="84">
        <f t="shared" si="45"/>
        <v>5.5E-2</v>
      </c>
      <c r="P55" s="84">
        <f t="shared" si="45"/>
        <v>0.03</v>
      </c>
      <c r="Q55" s="6">
        <f t="shared" ref="Q55" si="61">N55*(1+O55)+O55</f>
        <v>9.2582757345939709E-2</v>
      </c>
      <c r="R55" s="6">
        <f t="shared" ref="R55" si="62">N55*(1+P55)+P55</f>
        <v>6.6692170678974316E-2</v>
      </c>
      <c r="S55" s="6">
        <f t="shared" ref="S55" si="63">O55*0.75+P55*0.25</f>
        <v>4.8750000000000002E-2</v>
      </c>
      <c r="T55" s="6">
        <f t="shared" ref="T55" si="64">N55*(1+P55)+S55</f>
        <v>8.5442170678974319E-2</v>
      </c>
    </row>
    <row r="56" spans="1:20">
      <c r="A56" t="str">
        <f>+A20</f>
        <v>Northwest Nat. Gas</v>
      </c>
      <c r="B56" s="79">
        <v>42.276000000000003</v>
      </c>
      <c r="C56" s="79">
        <f>+C20</f>
        <v>1.84</v>
      </c>
      <c r="D56" s="6">
        <f t="shared" si="40"/>
        <v>4.3523512158198503E-2</v>
      </c>
      <c r="E56" s="84">
        <f t="shared" ref="E56:F59" si="65">+E20</f>
        <v>0.04</v>
      </c>
      <c r="F56" s="84">
        <f t="shared" si="65"/>
        <v>2.5000000000000001E-2</v>
      </c>
      <c r="G56" s="6">
        <f t="shared" si="42"/>
        <v>8.5264452644526451E-2</v>
      </c>
      <c r="H56" s="6">
        <f t="shared" si="43"/>
        <v>6.9611599962153464E-2</v>
      </c>
      <c r="I56" s="6">
        <f t="shared" si="48"/>
        <v>3.6249999999999998E-2</v>
      </c>
      <c r="J56" s="6">
        <f t="shared" si="49"/>
        <v>8.086159996215346E-2</v>
      </c>
      <c r="K56" t="str">
        <f t="shared" si="50"/>
        <v>Northwest Nat. Gas</v>
      </c>
      <c r="L56" s="79">
        <f t="shared" si="50"/>
        <v>42.276000000000003</v>
      </c>
      <c r="M56" s="79">
        <f t="shared" si="50"/>
        <v>1.84</v>
      </c>
      <c r="N56" s="6">
        <f t="shared" si="44"/>
        <v>4.3523512158198503E-2</v>
      </c>
      <c r="O56" s="84">
        <f t="shared" ref="O56:P59" si="66">+O20</f>
        <v>4.4999999999999998E-2</v>
      </c>
      <c r="P56" s="84">
        <f t="shared" si="66"/>
        <v>2.5000000000000001E-2</v>
      </c>
      <c r="Q56" s="6">
        <f t="shared" si="46"/>
        <v>9.0482070205317428E-2</v>
      </c>
      <c r="R56" s="6">
        <f t="shared" si="47"/>
        <v>6.9611599962153464E-2</v>
      </c>
      <c r="S56" s="6">
        <f t="shared" si="51"/>
        <v>0.04</v>
      </c>
      <c r="T56" s="6">
        <f t="shared" si="52"/>
        <v>8.4611599962153464E-2</v>
      </c>
    </row>
    <row r="57" spans="1:20">
      <c r="A57" t="str">
        <f>+A21</f>
        <v>Piedmont Natural Gas</v>
      </c>
      <c r="B57" s="79">
        <v>32.444000000000003</v>
      </c>
      <c r="C57" s="79">
        <f>+C21</f>
        <v>1.24</v>
      </c>
      <c r="D57" s="6">
        <f t="shared" si="40"/>
        <v>3.8219701639748485E-2</v>
      </c>
      <c r="E57" s="84">
        <f t="shared" si="65"/>
        <v>5.000000000000001E-2</v>
      </c>
      <c r="F57" s="84">
        <f t="shared" si="65"/>
        <v>0.03</v>
      </c>
      <c r="G57" s="6">
        <f t="shared" si="42"/>
        <v>9.0130686721735923E-2</v>
      </c>
      <c r="H57" s="6">
        <f t="shared" si="43"/>
        <v>6.9366292688940942E-2</v>
      </c>
      <c r="I57" s="6">
        <f t="shared" si="48"/>
        <v>4.5000000000000005E-2</v>
      </c>
      <c r="J57" s="6">
        <f t="shared" si="49"/>
        <v>8.4366292688940941E-2</v>
      </c>
      <c r="K57" t="str">
        <f t="shared" si="50"/>
        <v>Piedmont Natural Gas</v>
      </c>
      <c r="L57" s="79">
        <f t="shared" si="50"/>
        <v>32.444000000000003</v>
      </c>
      <c r="M57" s="79">
        <f t="shared" si="50"/>
        <v>1.24</v>
      </c>
      <c r="N57" s="6">
        <f t="shared" si="44"/>
        <v>3.8219701639748485E-2</v>
      </c>
      <c r="O57" s="84">
        <f t="shared" si="66"/>
        <v>4.4999999999999998E-2</v>
      </c>
      <c r="P57" s="84">
        <f t="shared" si="66"/>
        <v>0.03</v>
      </c>
      <c r="Q57" s="6">
        <f t="shared" si="46"/>
        <v>8.493958821353717E-2</v>
      </c>
      <c r="R57" s="6">
        <f t="shared" si="47"/>
        <v>6.9366292688940942E-2</v>
      </c>
      <c r="S57" s="6">
        <f t="shared" si="51"/>
        <v>4.1250000000000002E-2</v>
      </c>
      <c r="T57" s="6">
        <f t="shared" si="52"/>
        <v>8.0616292688940938E-2</v>
      </c>
    </row>
    <row r="58" spans="1:20">
      <c r="A58" t="str">
        <f>+A22</f>
        <v>South Jersey Inds.</v>
      </c>
      <c r="B58" s="79">
        <v>55.3035</v>
      </c>
      <c r="C58" s="79">
        <f>+C22</f>
        <v>1.8120000000000001</v>
      </c>
      <c r="D58" s="6">
        <f t="shared" si="40"/>
        <v>3.2764653231712279E-2</v>
      </c>
      <c r="E58" s="84">
        <f t="shared" si="65"/>
        <v>0.06</v>
      </c>
      <c r="F58" s="84">
        <f t="shared" si="65"/>
        <v>8.5000000000000006E-2</v>
      </c>
      <c r="G58" s="6">
        <f t="shared" si="42"/>
        <v>9.4730532425615022E-2</v>
      </c>
      <c r="H58" s="6">
        <f t="shared" si="43"/>
        <v>0.12054964875640783</v>
      </c>
      <c r="I58" s="6">
        <f t="shared" si="48"/>
        <v>6.6250000000000003E-2</v>
      </c>
      <c r="J58" s="6">
        <f t="shared" si="49"/>
        <v>0.10179964875640782</v>
      </c>
      <c r="K58" t="str">
        <f t="shared" si="50"/>
        <v>South Jersey Inds.</v>
      </c>
      <c r="L58" s="79">
        <f t="shared" si="50"/>
        <v>55.3035</v>
      </c>
      <c r="M58" s="79">
        <f t="shared" si="50"/>
        <v>1.8120000000000001</v>
      </c>
      <c r="N58" s="6">
        <f t="shared" si="44"/>
        <v>3.2764653231712279E-2</v>
      </c>
      <c r="O58" s="84">
        <f t="shared" si="66"/>
        <v>7.4999999999999997E-2</v>
      </c>
      <c r="P58" s="84">
        <f t="shared" si="66"/>
        <v>8.5000000000000006E-2</v>
      </c>
      <c r="Q58" s="6">
        <f t="shared" si="46"/>
        <v>0.1102220022240907</v>
      </c>
      <c r="R58" s="6">
        <f t="shared" si="47"/>
        <v>0.12054964875640783</v>
      </c>
      <c r="S58" s="6">
        <f t="shared" si="51"/>
        <v>7.7499999999999999E-2</v>
      </c>
      <c r="T58" s="6">
        <f t="shared" si="52"/>
        <v>0.11304964875640783</v>
      </c>
    </row>
    <row r="59" spans="1:20">
      <c r="A59" t="str">
        <f>+A23</f>
        <v>Southwest Gas</v>
      </c>
      <c r="B59" s="79">
        <v>53.247</v>
      </c>
      <c r="C59" s="79">
        <f>+C23</f>
        <v>1.27</v>
      </c>
      <c r="D59" s="6">
        <f>C59/B59</f>
        <v>2.3851108982665691E-2</v>
      </c>
      <c r="E59" s="84">
        <f t="shared" si="65"/>
        <v>3.5299999999999998E-2</v>
      </c>
      <c r="F59" s="84">
        <f t="shared" si="65"/>
        <v>7.0000000000000007E-2</v>
      </c>
      <c r="G59" s="6">
        <f>D59*(1+E59)+E59</f>
        <v>5.9993053129753782E-2</v>
      </c>
      <c r="H59" s="6">
        <f>D59*(1+F59)+F59</f>
        <v>9.5520686611452299E-2</v>
      </c>
      <c r="I59" s="6">
        <f>E59*0.75+F59*0.25</f>
        <v>4.3975E-2</v>
      </c>
      <c r="J59" s="6">
        <f>D59*(1+F59)+I59</f>
        <v>6.9495686611452293E-2</v>
      </c>
      <c r="K59" t="str">
        <f>+A59</f>
        <v>Southwest Gas</v>
      </c>
      <c r="L59" s="79">
        <f>+B59</f>
        <v>53.247</v>
      </c>
      <c r="M59" s="79">
        <f>+C59</f>
        <v>1.27</v>
      </c>
      <c r="N59" s="6">
        <f>M59/L59</f>
        <v>2.3851108982665691E-2</v>
      </c>
      <c r="O59" s="84">
        <f t="shared" si="66"/>
        <v>0.08</v>
      </c>
      <c r="P59" s="84">
        <f t="shared" si="66"/>
        <v>7.0000000000000007E-2</v>
      </c>
      <c r="Q59" s="6">
        <f>N59*(1+O59)+O59</f>
        <v>0.10575919770127895</v>
      </c>
      <c r="R59" s="6">
        <f>N59*(1+P59)+P59</f>
        <v>9.5520686611452299E-2</v>
      </c>
      <c r="S59" s="6">
        <f>O59*0.75+P59*0.25</f>
        <v>7.7499999999999999E-2</v>
      </c>
      <c r="T59" s="6">
        <f>N59*(1+P59)+S59</f>
        <v>0.10302068661145229</v>
      </c>
    </row>
    <row r="60" spans="1:20">
      <c r="A60" t="s">
        <v>840</v>
      </c>
      <c r="B60" s="79">
        <v>39.097999999999999</v>
      </c>
      <c r="C60" s="79">
        <f t="shared" ref="C60" si="67">+C24</f>
        <v>1.6322000000000001</v>
      </c>
      <c r="D60" s="6">
        <f t="shared" ref="D60" si="68">C60/B60</f>
        <v>4.1746380889048036E-2</v>
      </c>
      <c r="E60" s="84">
        <f t="shared" ref="E60:F60" si="69">+E24</f>
        <v>4.6000000000000006E-2</v>
      </c>
      <c r="F60" s="84">
        <f t="shared" si="69"/>
        <v>2.5000000000000001E-2</v>
      </c>
      <c r="G60" s="6">
        <f t="shared" ref="G60" si="70">D60*(1+E60)+E60</f>
        <v>8.9666714409944254E-2</v>
      </c>
      <c r="H60" s="6">
        <f t="shared" ref="H60" si="71">D60*(1+F60)+F60</f>
        <v>6.7790040411274233E-2</v>
      </c>
      <c r="I60" s="6">
        <f t="shared" ref="I60" si="72">E60*0.75+F60*0.25</f>
        <v>4.0750000000000001E-2</v>
      </c>
      <c r="J60" s="6">
        <f t="shared" ref="J60" si="73">D60*(1+F60)+I60</f>
        <v>8.3540040411274233E-2</v>
      </c>
      <c r="K60" t="str">
        <f t="shared" ref="K60" si="74">+A60</f>
        <v>WGL Holdings, Inc.</v>
      </c>
      <c r="L60" s="79">
        <f>+B60</f>
        <v>39.097999999999999</v>
      </c>
      <c r="M60" s="79">
        <f t="shared" ref="M60" si="75">+C60</f>
        <v>1.6322000000000001</v>
      </c>
      <c r="N60" s="6">
        <f t="shared" ref="N60" si="76">M60/L60</f>
        <v>4.1746380889048036E-2</v>
      </c>
      <c r="O60" s="84">
        <f t="shared" ref="O60:P60" si="77">+O24</f>
        <v>3.5000000000000003E-2</v>
      </c>
      <c r="P60" s="84">
        <f t="shared" si="77"/>
        <v>2.5000000000000001E-2</v>
      </c>
      <c r="Q60" s="6">
        <f t="shared" ref="Q60" si="78">N60*(1+O60)+O60</f>
        <v>7.8207504220164717E-2</v>
      </c>
      <c r="R60" s="6">
        <f t="shared" ref="R60" si="79">N60*(1+P60)+P60</f>
        <v>6.7790040411274233E-2</v>
      </c>
      <c r="S60" s="6">
        <f t="shared" ref="S60" si="80">O60*0.75+P60*0.25</f>
        <v>3.2500000000000001E-2</v>
      </c>
      <c r="T60" s="6">
        <f t="shared" ref="T60" si="81">N60*(1+P60)+S60</f>
        <v>7.5290040411274239E-2</v>
      </c>
    </row>
    <row r="61" spans="1:20">
      <c r="D61" s="3"/>
      <c r="E61" s="11"/>
      <c r="F61" s="11"/>
      <c r="G61" s="11"/>
      <c r="H61" s="11"/>
      <c r="I61" s="11"/>
      <c r="J61" s="11"/>
      <c r="N61" s="3"/>
      <c r="O61" s="11"/>
      <c r="P61" s="11"/>
      <c r="Q61" s="11"/>
      <c r="R61" s="11"/>
      <c r="S61" s="11"/>
      <c r="T61" s="11"/>
    </row>
    <row r="62" spans="1:20">
      <c r="A62" s="5" t="s">
        <v>38</v>
      </c>
      <c r="C62" s="6"/>
      <c r="D62" s="6">
        <f t="shared" ref="D62:J62" si="82">AVERAGE(D52:D61)</f>
        <v>3.6173779444122679E-2</v>
      </c>
      <c r="E62" s="6">
        <f t="shared" si="82"/>
        <v>4.6107407407407403E-2</v>
      </c>
      <c r="F62" s="6">
        <f t="shared" si="82"/>
        <v>4.0000000000000008E-2</v>
      </c>
      <c r="G62" s="6">
        <f t="shared" si="82"/>
        <v>8.3947570557367054E-2</v>
      </c>
      <c r="H62" s="6">
        <f t="shared" si="82"/>
        <v>7.7553516792961019E-2</v>
      </c>
      <c r="I62" s="6">
        <f t="shared" si="82"/>
        <v>4.4580555555555554E-2</v>
      </c>
      <c r="J62" s="6">
        <f t="shared" si="82"/>
        <v>8.2134072348516593E-2</v>
      </c>
      <c r="K62" s="5" t="s">
        <v>38</v>
      </c>
      <c r="M62" s="6"/>
      <c r="N62" s="6">
        <f t="shared" ref="N62:T62" si="83">AVERAGE(N52:N61)</f>
        <v>3.6173779444122679E-2</v>
      </c>
      <c r="O62" s="6">
        <f t="shared" si="83"/>
        <v>6.0000000000000005E-2</v>
      </c>
      <c r="P62" s="6">
        <f t="shared" si="83"/>
        <v>4.0000000000000008E-2</v>
      </c>
      <c r="Q62" s="6">
        <f t="shared" si="83"/>
        <v>9.8296826533248532E-2</v>
      </c>
      <c r="R62" s="6">
        <f t="shared" si="83"/>
        <v>7.7553516792961019E-2</v>
      </c>
      <c r="S62" s="6">
        <f t="shared" si="83"/>
        <v>5.5E-2</v>
      </c>
      <c r="T62" s="6">
        <f t="shared" si="83"/>
        <v>9.2553516792961033E-2</v>
      </c>
    </row>
    <row r="63" spans="1:20">
      <c r="A63" s="5" t="s">
        <v>43</v>
      </c>
      <c r="C63" s="6"/>
      <c r="D63" s="6">
        <f t="shared" ref="D63:J63" si="84">STDEV(D52:D61)</f>
        <v>6.0671323916294557E-3</v>
      </c>
      <c r="E63" s="6">
        <f t="shared" si="84"/>
        <v>1.0418210256002302E-2</v>
      </c>
      <c r="F63" s="6">
        <f t="shared" si="84"/>
        <v>2.3048861143232218E-2</v>
      </c>
      <c r="G63" s="6">
        <f t="shared" si="84"/>
        <v>1.2328762571737263E-2</v>
      </c>
      <c r="H63" s="6">
        <f t="shared" si="84"/>
        <v>2.1060150427033894E-2</v>
      </c>
      <c r="I63" s="6">
        <f t="shared" si="84"/>
        <v>1.0024507296011008E-2</v>
      </c>
      <c r="J63" s="6">
        <f t="shared" si="84"/>
        <v>1.0211682865958131E-2</v>
      </c>
      <c r="K63" s="5" t="s">
        <v>43</v>
      </c>
      <c r="M63" s="6"/>
      <c r="N63" s="6">
        <f t="shared" ref="N63:T63" si="85">STDEV(N52:N61)</f>
        <v>6.0671323916294557E-3</v>
      </c>
      <c r="O63" s="6">
        <f t="shared" si="85"/>
        <v>1.8200274723201272E-2</v>
      </c>
      <c r="P63" s="6">
        <f t="shared" si="85"/>
        <v>2.3048861143232218E-2</v>
      </c>
      <c r="Q63" s="6">
        <f t="shared" si="85"/>
        <v>1.6774254813156343E-2</v>
      </c>
      <c r="R63" s="6">
        <f t="shared" si="85"/>
        <v>2.1060150427033894E-2</v>
      </c>
      <c r="S63" s="6">
        <f t="shared" si="85"/>
        <v>1.8157298807917454E-2</v>
      </c>
      <c r="T63" s="6">
        <f t="shared" si="85"/>
        <v>1.6313990583670002E-2</v>
      </c>
    </row>
    <row r="64" spans="1:20">
      <c r="A64" s="5" t="s">
        <v>21</v>
      </c>
      <c r="C64" s="6"/>
      <c r="D64" s="6">
        <f t="shared" ref="D64:J64" si="86">MEDIAN(D52:D61)</f>
        <v>3.7875431912820057E-2</v>
      </c>
      <c r="E64" s="6">
        <f t="shared" si="86"/>
        <v>4.6000000000000006E-2</v>
      </c>
      <c r="F64" s="6">
        <f t="shared" si="86"/>
        <v>0.03</v>
      </c>
      <c r="G64" s="6">
        <f t="shared" si="86"/>
        <v>8.9020593019977001E-2</v>
      </c>
      <c r="H64" s="6">
        <f t="shared" si="86"/>
        <v>6.9611599962153464E-2</v>
      </c>
      <c r="I64" s="6">
        <f t="shared" si="86"/>
        <v>4.3975E-2</v>
      </c>
      <c r="J64" s="6">
        <f t="shared" si="86"/>
        <v>8.2142527152526346E-2</v>
      </c>
      <c r="K64" s="5" t="s">
        <v>21</v>
      </c>
      <c r="M64" s="6"/>
      <c r="N64" s="6">
        <f>MEDIAN(N52:N59)</f>
        <v>3.6749449295717954E-2</v>
      </c>
      <c r="O64" s="6">
        <f>MEDIAN(O52:O59)</f>
        <v>5.7499999999999996E-2</v>
      </c>
      <c r="P64" s="6">
        <f>MEDIAN(P52:P59)</f>
        <v>3.2500000000000001E-2</v>
      </c>
      <c r="Q64" s="6">
        <f>MEDIAN(Q52:Q61)</f>
        <v>9.2582757345939709E-2</v>
      </c>
      <c r="R64" s="6">
        <f>MEDIAN(R52:R61)</f>
        <v>6.9611599962153464E-2</v>
      </c>
      <c r="S64" s="6">
        <f>MEDIAN(S52:S59)</f>
        <v>5.1250000000000004E-2</v>
      </c>
      <c r="T64" s="6">
        <f>MEDIAN(T52:T59)</f>
        <v>8.9196621354371536E-2</v>
      </c>
    </row>
    <row r="65" spans="1:20">
      <c r="A65" s="5"/>
      <c r="C65" s="6"/>
      <c r="D65" s="6"/>
      <c r="E65" s="6"/>
      <c r="F65" s="6"/>
      <c r="I65" s="6"/>
      <c r="J65" s="6"/>
      <c r="K65" s="5"/>
      <c r="M65" s="6"/>
    </row>
    <row r="66" spans="1:20" ht="15.75">
      <c r="D66" s="9"/>
      <c r="E66" s="8" t="s">
        <v>42</v>
      </c>
      <c r="F66" s="6"/>
      <c r="G66" s="9">
        <f>G62</f>
        <v>8.3947570557367054E-2</v>
      </c>
      <c r="H66" s="9">
        <f>H62</f>
        <v>7.7553516792961019E-2</v>
      </c>
      <c r="J66" s="9">
        <f>J62</f>
        <v>8.2134072348516593E-2</v>
      </c>
      <c r="N66" s="9"/>
      <c r="O66" s="8" t="s">
        <v>42</v>
      </c>
      <c r="Q66" s="9">
        <f>Q62</f>
        <v>9.8296826533248532E-2</v>
      </c>
      <c r="R66" s="9">
        <f>R62</f>
        <v>7.7553516792961019E-2</v>
      </c>
      <c r="T66" s="9">
        <f>T62</f>
        <v>9.2553516792961033E-2</v>
      </c>
    </row>
    <row r="67" spans="1:20">
      <c r="D67" s="6"/>
      <c r="E67" s="6"/>
      <c r="F67" s="6"/>
      <c r="G67" s="95"/>
      <c r="H67" s="95"/>
      <c r="I67" s="6"/>
      <c r="J67" s="95"/>
      <c r="Q67" s="95"/>
      <c r="R67" s="95"/>
      <c r="T67" s="95"/>
    </row>
    <row r="68" spans="1:20">
      <c r="D68" s="6"/>
      <c r="E68" s="63" t="s">
        <v>251</v>
      </c>
      <c r="F68" s="6"/>
      <c r="G68" s="6">
        <f>+G66-G63</f>
        <v>7.1618807985629793E-2</v>
      </c>
      <c r="H68" s="6">
        <f>+H66-H63</f>
        <v>5.6493366365927125E-2</v>
      </c>
      <c r="I68" s="6"/>
      <c r="J68" s="6">
        <f>+J66-J63</f>
        <v>7.1922389482558469E-2</v>
      </c>
      <c r="O68" s="63" t="s">
        <v>251</v>
      </c>
      <c r="Q68" s="6">
        <f>+Q66-Q63</f>
        <v>8.1522571720092196E-2</v>
      </c>
      <c r="R68" s="6">
        <f>+R66-R63</f>
        <v>5.6493366365927125E-2</v>
      </c>
      <c r="T68" s="6">
        <f>+T66-T63</f>
        <v>7.6239526209291031E-2</v>
      </c>
    </row>
    <row r="69" spans="1:20">
      <c r="G69" s="95">
        <f>+G66+G63</f>
        <v>9.6276333129104316E-2</v>
      </c>
      <c r="H69" s="95">
        <f>+H66+H63</f>
        <v>9.8613667219994913E-2</v>
      </c>
      <c r="J69" s="95">
        <f>+J66+J63</f>
        <v>9.2345755214474717E-2</v>
      </c>
      <c r="N69"/>
      <c r="O69"/>
      <c r="P69"/>
      <c r="Q69" s="95">
        <f>+Q66+Q63</f>
        <v>0.11507108134640487</v>
      </c>
      <c r="R69" s="95">
        <f>+R66+R63</f>
        <v>9.8613667219994913E-2</v>
      </c>
      <c r="S69"/>
      <c r="T69" s="95">
        <f>+T66+T63</f>
        <v>0.10886750737663103</v>
      </c>
    </row>
    <row r="70" spans="1:20">
      <c r="C70" s="95"/>
      <c r="D70" s="95"/>
      <c r="M70" s="95"/>
      <c r="N70" s="95"/>
      <c r="O70"/>
      <c r="P70"/>
      <c r="S70"/>
      <c r="T70"/>
    </row>
    <row r="71" spans="1:20">
      <c r="C71" s="95"/>
      <c r="M71" s="95"/>
      <c r="N71"/>
      <c r="O71"/>
      <c r="P71"/>
      <c r="S71"/>
      <c r="T71"/>
    </row>
    <row r="73" spans="1:20" hidden="1"/>
    <row r="74" spans="1:20" hidden="1">
      <c r="A74" s="2" t="s">
        <v>136</v>
      </c>
      <c r="B74" s="6"/>
      <c r="C74" s="60"/>
      <c r="D74" s="6"/>
      <c r="E74" s="6"/>
      <c r="F74" s="6"/>
      <c r="I74" s="6"/>
      <c r="J74" s="6"/>
      <c r="T74" s="6">
        <f>AVERAGE(T52:T56,T58:T59)</f>
        <v>9.6725045433776274E-2</v>
      </c>
    </row>
    <row r="75" spans="1:20" hidden="1">
      <c r="B75" s="261"/>
      <c r="C75" s="261"/>
      <c r="D75" s="261"/>
      <c r="E75" s="261"/>
      <c r="F75" s="261"/>
      <c r="H75" s="60"/>
      <c r="I75" s="60" t="s">
        <v>77</v>
      </c>
      <c r="J75" s="60" t="s">
        <v>21</v>
      </c>
      <c r="T75" s="6">
        <f>STDEV(T52:T56,T58:T59)</f>
        <v>1.615979483994134E-2</v>
      </c>
    </row>
    <row r="76" spans="1:20" hidden="1">
      <c r="B76" s="60" t="s">
        <v>52</v>
      </c>
      <c r="C76" s="6"/>
      <c r="D76" s="62"/>
      <c r="E76" s="60"/>
      <c r="F76" s="60" t="s">
        <v>31</v>
      </c>
      <c r="H76" s="60"/>
      <c r="I76" s="60" t="s">
        <v>236</v>
      </c>
      <c r="J76" s="60" t="s">
        <v>236</v>
      </c>
    </row>
    <row r="77" spans="1:20" hidden="1">
      <c r="A77" t="str">
        <f>A98</f>
        <v>Company Name</v>
      </c>
      <c r="B77" s="60" t="s">
        <v>29</v>
      </c>
      <c r="C77" s="260" t="s">
        <v>55</v>
      </c>
      <c r="D77" s="60" t="s">
        <v>33</v>
      </c>
      <c r="E77" s="60" t="s">
        <v>30</v>
      </c>
      <c r="F77" s="60" t="s">
        <v>32</v>
      </c>
      <c r="I77" s="60" t="s">
        <v>140</v>
      </c>
      <c r="J77" s="60" t="s">
        <v>140</v>
      </c>
      <c r="T77" s="6">
        <f>+T66-T75</f>
        <v>7.6393721953019689E-2</v>
      </c>
    </row>
    <row r="78" spans="1:20" hidden="1">
      <c r="A78" s="3"/>
      <c r="B78" s="11"/>
      <c r="C78" s="6"/>
      <c r="D78" s="11"/>
      <c r="E78" s="11"/>
      <c r="F78" s="11"/>
      <c r="I78" s="11"/>
      <c r="J78" s="11"/>
      <c r="T78" s="6">
        <f>+T66+T75</f>
        <v>0.10871331163290238</v>
      </c>
    </row>
    <row r="79" spans="1:20" hidden="1">
      <c r="A79" s="36" t="str">
        <f t="shared" ref="A79:A86" si="87">A100</f>
        <v>AGL Resources</v>
      </c>
      <c r="B79" s="115">
        <f>+'Beta Report'!B12</f>
        <v>0.75</v>
      </c>
      <c r="C79" s="115">
        <f>+'Beta Report'!D12</f>
        <v>0</v>
      </c>
      <c r="D79" s="115">
        <f>+'Beta Report'!E12</f>
        <v>0.51</v>
      </c>
      <c r="E79" s="115">
        <f>+'Beta Report'!F12</f>
        <v>0.42</v>
      </c>
      <c r="F79" s="115">
        <f>+'Beta Report'!G12</f>
        <v>0.36</v>
      </c>
      <c r="I79" s="12">
        <f t="shared" ref="I79:I86" si="88">AVERAGE(C79:F79)</f>
        <v>0.32250000000000001</v>
      </c>
      <c r="J79" s="12">
        <f t="shared" ref="J79:J86" si="89">MEDIAN(C79:F79)</f>
        <v>0.39</v>
      </c>
    </row>
    <row r="80" spans="1:20" hidden="1">
      <c r="A80" s="36" t="str">
        <f t="shared" si="87"/>
        <v>Atmos Energy</v>
      </c>
      <c r="B80" s="115">
        <f>+'Beta Report'!B13</f>
        <v>0.7</v>
      </c>
      <c r="C80" s="115">
        <f>+'Beta Report'!D13</f>
        <v>0</v>
      </c>
      <c r="D80" s="115">
        <f>+'Beta Report'!E13</f>
        <v>0.53</v>
      </c>
      <c r="E80" s="115">
        <f>+'Beta Report'!F13</f>
        <v>0.51</v>
      </c>
      <c r="F80" s="115">
        <f>+'Beta Report'!G13</f>
        <v>0.54</v>
      </c>
      <c r="I80" s="12">
        <f t="shared" si="88"/>
        <v>0.39500000000000002</v>
      </c>
      <c r="J80" s="12">
        <f t="shared" si="89"/>
        <v>0.52</v>
      </c>
    </row>
    <row r="81" spans="1:29" hidden="1">
      <c r="A81" s="36" t="str">
        <f t="shared" si="87"/>
        <v>Laclede Group</v>
      </c>
      <c r="B81" s="115">
        <f>+'Beta Report'!B14</f>
        <v>0.6</v>
      </c>
      <c r="C81" s="115">
        <f>+'Beta Report'!D14</f>
        <v>0</v>
      </c>
      <c r="D81" s="115">
        <f>+'Beta Report'!E14</f>
        <v>0.28000000000000003</v>
      </c>
      <c r="E81" s="115">
        <f>+'Beta Report'!F14</f>
        <v>0.15</v>
      </c>
      <c r="F81" s="115">
        <f>+'Beta Report'!G14</f>
        <v>0.35</v>
      </c>
      <c r="I81" s="12">
        <f t="shared" si="88"/>
        <v>0.19500000000000001</v>
      </c>
      <c r="J81" s="12">
        <f t="shared" si="89"/>
        <v>0.21500000000000002</v>
      </c>
    </row>
    <row r="82" spans="1:29" hidden="1">
      <c r="A82" s="36" t="str">
        <f t="shared" si="87"/>
        <v>Northwest Nat. Gas</v>
      </c>
      <c r="B82" s="115">
        <f>+'Beta Report'!B16</f>
        <v>0.6</v>
      </c>
      <c r="C82" s="115">
        <f>+'Beta Report'!D16</f>
        <v>0</v>
      </c>
      <c r="D82" s="115">
        <f>+'Beta Report'!E16</f>
        <v>0.36</v>
      </c>
      <c r="E82" s="115">
        <f>+'Beta Report'!F16</f>
        <v>0.32</v>
      </c>
      <c r="F82" s="115">
        <f>+'Beta Report'!G16</f>
        <v>0.27</v>
      </c>
      <c r="I82" s="12">
        <f t="shared" si="88"/>
        <v>0.23749999999999999</v>
      </c>
      <c r="J82" s="12">
        <f t="shared" si="89"/>
        <v>0.29500000000000004</v>
      </c>
    </row>
    <row r="83" spans="1:29" hidden="1">
      <c r="A83" s="36" t="str">
        <f t="shared" si="87"/>
        <v>Piedmont Natural Gas</v>
      </c>
      <c r="B83" s="115">
        <f>+'Beta Report'!B17</f>
        <v>0.7</v>
      </c>
      <c r="C83" s="115">
        <f>+'Beta Report'!D17</f>
        <v>0</v>
      </c>
      <c r="D83" s="115">
        <f>+'Beta Report'!E17</f>
        <v>0.51</v>
      </c>
      <c r="E83" s="115">
        <f>+'Beta Report'!F17</f>
        <v>0.39</v>
      </c>
      <c r="F83" s="115">
        <f>+'Beta Report'!G17</f>
        <v>0.48</v>
      </c>
      <c r="I83" s="12">
        <f t="shared" si="88"/>
        <v>0.34499999999999997</v>
      </c>
      <c r="J83" s="12">
        <f t="shared" si="89"/>
        <v>0.435</v>
      </c>
    </row>
    <row r="84" spans="1:29" hidden="1">
      <c r="A84" s="36" t="str">
        <f t="shared" si="87"/>
        <v>South Jersey Inds.</v>
      </c>
      <c r="B84" s="115">
        <f>+'Beta Report'!B18</f>
        <v>0.65</v>
      </c>
      <c r="C84" s="115">
        <f>+'Beta Report'!D18</f>
        <v>0</v>
      </c>
      <c r="D84" s="115">
        <f>+'Beta Report'!E18</f>
        <v>0.35</v>
      </c>
      <c r="E84" s="115">
        <f>+'Beta Report'!F18</f>
        <v>0.35</v>
      </c>
      <c r="F84" s="115">
        <f>+'Beta Report'!G18</f>
        <v>0.7</v>
      </c>
      <c r="I84" s="12">
        <f t="shared" si="88"/>
        <v>0.35</v>
      </c>
      <c r="J84" s="12">
        <f t="shared" si="89"/>
        <v>0.35</v>
      </c>
    </row>
    <row r="85" spans="1:29" hidden="1">
      <c r="A85" s="36" t="str">
        <f t="shared" si="87"/>
        <v>Southwest Gas</v>
      </c>
      <c r="B85" s="115">
        <f>+'Beta Report'!B19</f>
        <v>0.75</v>
      </c>
      <c r="C85" s="115">
        <f>+'Beta Report'!D19</f>
        <v>0</v>
      </c>
      <c r="D85" s="115">
        <f>+'Beta Report'!E19</f>
        <v>0.72</v>
      </c>
      <c r="E85" s="115">
        <f>+'Beta Report'!F19</f>
        <v>0.72</v>
      </c>
      <c r="F85" s="115">
        <f>+'Beta Report'!G19</f>
        <v>0.64</v>
      </c>
      <c r="I85" s="12">
        <f t="shared" si="88"/>
        <v>0.52</v>
      </c>
      <c r="J85" s="12">
        <f t="shared" si="89"/>
        <v>0.67999999999999994</v>
      </c>
      <c r="X85" s="12"/>
    </row>
    <row r="86" spans="1:29" hidden="1">
      <c r="A86" s="36" t="e">
        <f t="shared" si="87"/>
        <v>#REF!</v>
      </c>
      <c r="B86" s="115" t="e">
        <f>+'Beta Report'!#REF!</f>
        <v>#REF!</v>
      </c>
      <c r="C86" s="115" t="e">
        <f>+'Beta Report'!#REF!</f>
        <v>#REF!</v>
      </c>
      <c r="D86" s="115" t="e">
        <f>+'Beta Report'!#REF!</f>
        <v>#REF!</v>
      </c>
      <c r="E86" s="115" t="e">
        <f>+'Beta Report'!#REF!</f>
        <v>#REF!</v>
      </c>
      <c r="F86" s="115" t="e">
        <f>+'Beta Report'!#REF!</f>
        <v>#REF!</v>
      </c>
      <c r="I86" s="12" t="e">
        <f t="shared" si="88"/>
        <v>#REF!</v>
      </c>
      <c r="J86" s="12" t="e">
        <f t="shared" si="89"/>
        <v>#REF!</v>
      </c>
      <c r="X86" s="12"/>
    </row>
    <row r="87" spans="1:29" hidden="1">
      <c r="A87" s="36"/>
      <c r="B87" s="12"/>
      <c r="C87" s="6"/>
      <c r="D87" s="12"/>
      <c r="E87" s="12"/>
      <c r="F87" s="12"/>
      <c r="I87" s="12"/>
      <c r="J87" s="12"/>
    </row>
    <row r="88" spans="1:29" hidden="1">
      <c r="A88" s="5" t="s">
        <v>77</v>
      </c>
      <c r="B88" s="12" t="e">
        <f t="shared" ref="B88:I88" si="90">AVERAGE(B78:B87)</f>
        <v>#REF!</v>
      </c>
      <c r="C88" s="12" t="e">
        <f t="shared" si="90"/>
        <v>#REF!</v>
      </c>
      <c r="D88" s="12" t="e">
        <f t="shared" si="90"/>
        <v>#REF!</v>
      </c>
      <c r="E88" s="12" t="e">
        <f t="shared" si="90"/>
        <v>#REF!</v>
      </c>
      <c r="F88" s="12" t="e">
        <f t="shared" si="90"/>
        <v>#REF!</v>
      </c>
      <c r="I88" s="12" t="e">
        <f t="shared" si="90"/>
        <v>#REF!</v>
      </c>
      <c r="J88" s="12" t="e">
        <f>AVERAGE(J78:J87)</f>
        <v>#REF!</v>
      </c>
    </row>
    <row r="89" spans="1:29" hidden="1">
      <c r="A89" s="5" t="s">
        <v>21</v>
      </c>
      <c r="B89" s="12" t="e">
        <f t="shared" ref="B89:I89" si="91">MEDIAN(B78:B87)</f>
        <v>#REF!</v>
      </c>
      <c r="C89" s="12" t="e">
        <f t="shared" si="91"/>
        <v>#REF!</v>
      </c>
      <c r="D89" s="12" t="e">
        <f t="shared" si="91"/>
        <v>#REF!</v>
      </c>
      <c r="E89" s="12" t="e">
        <f t="shared" si="91"/>
        <v>#REF!</v>
      </c>
      <c r="F89" s="12" t="e">
        <f t="shared" si="91"/>
        <v>#REF!</v>
      </c>
      <c r="I89" s="12" t="e">
        <f t="shared" si="91"/>
        <v>#REF!</v>
      </c>
      <c r="J89" s="12" t="e">
        <f>MEDIAN(J78:J87)</f>
        <v>#REF!</v>
      </c>
      <c r="M89" s="36"/>
    </row>
    <row r="90" spans="1:29" hidden="1">
      <c r="M90" s="36"/>
    </row>
    <row r="91" spans="1:29" hidden="1">
      <c r="J91" s="6"/>
      <c r="X91" s="6"/>
      <c r="Z91" s="6"/>
      <c r="AB91" s="60" t="s">
        <v>79</v>
      </c>
      <c r="AC91" s="60" t="s">
        <v>79</v>
      </c>
    </row>
    <row r="92" spans="1:29" hidden="1"/>
    <row r="93" spans="1:29" hidden="1"/>
    <row r="94" spans="1:29" hidden="1">
      <c r="B94" s="68"/>
      <c r="D94" s="262"/>
      <c r="E94" s="262"/>
      <c r="F94" s="262"/>
    </row>
    <row r="95" spans="1:29" hidden="1">
      <c r="A95" s="2" t="s">
        <v>28</v>
      </c>
      <c r="B95" s="6"/>
      <c r="C95" s="60"/>
      <c r="D95" s="6"/>
      <c r="E95" s="6"/>
      <c r="F95" s="6"/>
      <c r="I95" s="6"/>
      <c r="J95" s="6"/>
      <c r="K95" s="6"/>
    </row>
    <row r="96" spans="1:29" hidden="1">
      <c r="B96" s="60"/>
      <c r="C96" s="60"/>
      <c r="D96" s="60"/>
      <c r="E96" s="60"/>
      <c r="F96" s="60"/>
      <c r="G96" s="60"/>
      <c r="H96" s="60"/>
      <c r="I96" s="60" t="s">
        <v>77</v>
      </c>
      <c r="J96" s="60" t="s">
        <v>237</v>
      </c>
      <c r="K96" s="6"/>
    </row>
    <row r="97" spans="1:13" hidden="1">
      <c r="B97" s="60" t="s">
        <v>52</v>
      </c>
      <c r="C97" s="62"/>
      <c r="D97" s="60"/>
      <c r="E97" s="60"/>
      <c r="F97" s="60" t="s">
        <v>31</v>
      </c>
      <c r="H97" s="60"/>
      <c r="I97" s="60" t="s">
        <v>236</v>
      </c>
      <c r="J97" s="60" t="s">
        <v>236</v>
      </c>
      <c r="K97" s="6"/>
    </row>
    <row r="98" spans="1:13" hidden="1">
      <c r="A98" t="str">
        <f>A14</f>
        <v>Company Name</v>
      </c>
      <c r="B98" s="60" t="s">
        <v>29</v>
      </c>
      <c r="C98" s="61"/>
      <c r="D98" s="60" t="s">
        <v>33</v>
      </c>
      <c r="E98" s="60" t="s">
        <v>30</v>
      </c>
      <c r="F98" s="60" t="s">
        <v>32</v>
      </c>
      <c r="G98" s="60"/>
      <c r="H98" s="21"/>
      <c r="I98" s="60" t="s">
        <v>140</v>
      </c>
      <c r="J98" s="60" t="s">
        <v>140</v>
      </c>
      <c r="K98" s="66"/>
      <c r="L98" s="66"/>
      <c r="M98" s="36"/>
    </row>
    <row r="99" spans="1:13" hidden="1">
      <c r="A99" s="3"/>
      <c r="B99" s="11"/>
      <c r="C99" s="82"/>
      <c r="D99" s="11"/>
      <c r="E99" s="11"/>
      <c r="F99" s="11"/>
      <c r="G99" s="11"/>
      <c r="H99" s="21"/>
      <c r="I99" s="11"/>
      <c r="J99" s="11"/>
      <c r="K99" s="21"/>
      <c r="L99" s="36"/>
      <c r="M99" s="36"/>
    </row>
    <row r="100" spans="1:13" hidden="1">
      <c r="A100" s="36" t="str">
        <f>A16</f>
        <v>AGL Resources</v>
      </c>
      <c r="B100" s="117">
        <f>+'Growth &amp; Beta'!B12</f>
        <v>0.09</v>
      </c>
      <c r="C100" s="84"/>
      <c r="D100" s="117">
        <v>5.1700000000000003E-2</v>
      </c>
      <c r="E100" s="117">
        <v>4.4999999999999998E-2</v>
      </c>
      <c r="F100" s="117">
        <v>0.04</v>
      </c>
      <c r="I100" s="6">
        <f t="shared" ref="I100:I107" si="92">AVERAGE(D100:F100)</f>
        <v>4.5566666666666672E-2</v>
      </c>
      <c r="J100" s="6">
        <f t="shared" ref="J100:J107" si="93">MEDIAN(D100:F100)</f>
        <v>4.4999999999999998E-2</v>
      </c>
      <c r="K100" s="6"/>
      <c r="L100" s="6"/>
    </row>
    <row r="101" spans="1:13" hidden="1">
      <c r="A101" s="36" t="str">
        <f>A17</f>
        <v>Atmos Energy</v>
      </c>
      <c r="B101" s="117">
        <f>+'Growth &amp; Beta'!B13</f>
        <v>5.5E-2</v>
      </c>
      <c r="C101" s="84"/>
      <c r="D101" s="84">
        <v>4.8000000000000001E-2</v>
      </c>
      <c r="E101" s="84">
        <v>0.05</v>
      </c>
      <c r="F101" s="84">
        <v>0.05</v>
      </c>
      <c r="I101" s="6">
        <f t="shared" si="92"/>
        <v>4.933333333333334E-2</v>
      </c>
      <c r="J101" s="6">
        <f t="shared" si="93"/>
        <v>0.05</v>
      </c>
      <c r="K101" s="6"/>
      <c r="L101" s="6"/>
    </row>
    <row r="102" spans="1:13" hidden="1">
      <c r="A102" s="36" t="str">
        <f>A18</f>
        <v>Laclede Group</v>
      </c>
      <c r="B102" s="117">
        <f>+'Growth &amp; Beta'!B14</f>
        <v>0.06</v>
      </c>
      <c r="C102" s="84"/>
      <c r="D102" s="118">
        <v>2.35E-2</v>
      </c>
      <c r="E102" s="118">
        <v>0.03</v>
      </c>
      <c r="F102" s="84">
        <v>3.5000000000000003E-2</v>
      </c>
      <c r="I102" s="6">
        <f t="shared" si="92"/>
        <v>2.9499999999999998E-2</v>
      </c>
      <c r="J102" s="6">
        <f t="shared" si="93"/>
        <v>0.03</v>
      </c>
      <c r="K102" s="6"/>
      <c r="L102" s="6"/>
    </row>
    <row r="103" spans="1:13" hidden="1">
      <c r="A103" s="36" t="str">
        <f t="shared" ref="A103:A106" si="94">A20</f>
        <v>Northwest Nat. Gas</v>
      </c>
      <c r="B103" s="117">
        <f>+'Growth &amp; Beta'!B16</f>
        <v>4.4999999999999998E-2</v>
      </c>
      <c r="C103" s="84"/>
      <c r="D103" s="84">
        <v>4.7500000000000001E-2</v>
      </c>
      <c r="E103" s="84">
        <v>5.67E-2</v>
      </c>
      <c r="F103" s="84">
        <v>0.06</v>
      </c>
      <c r="I103" s="6">
        <f t="shared" si="92"/>
        <v>5.4733333333333335E-2</v>
      </c>
      <c r="J103" s="6">
        <f t="shared" si="93"/>
        <v>5.67E-2</v>
      </c>
      <c r="K103" s="6"/>
      <c r="L103" s="6"/>
    </row>
    <row r="104" spans="1:13" hidden="1">
      <c r="A104" s="36" t="str">
        <f t="shared" si="94"/>
        <v>Piedmont Natural Gas</v>
      </c>
      <c r="B104" s="117">
        <f>+'Growth &amp; Beta'!B17</f>
        <v>4.4999999999999998E-2</v>
      </c>
      <c r="C104" s="84"/>
      <c r="D104" s="84">
        <v>7.0000000000000007E-2</v>
      </c>
      <c r="E104" s="118">
        <v>7.0000000000000007E-2</v>
      </c>
      <c r="F104" s="118">
        <v>6.6000000000000003E-2</v>
      </c>
      <c r="I104" s="6">
        <f t="shared" si="92"/>
        <v>6.8666666666666668E-2</v>
      </c>
      <c r="J104" s="6">
        <f t="shared" si="93"/>
        <v>7.0000000000000007E-2</v>
      </c>
      <c r="K104" s="6"/>
      <c r="L104" s="6"/>
    </row>
    <row r="105" spans="1:13" hidden="1">
      <c r="A105" s="36" t="str">
        <f t="shared" si="94"/>
        <v>South Jersey Inds.</v>
      </c>
      <c r="B105" s="117">
        <f>+'Growth &amp; Beta'!B18</f>
        <v>7.4999999999999997E-2</v>
      </c>
      <c r="C105" s="84"/>
      <c r="D105" s="84">
        <v>0.13250000000000001</v>
      </c>
      <c r="E105" s="84">
        <v>0.12379999999999999</v>
      </c>
      <c r="F105" s="84">
        <v>0.115</v>
      </c>
      <c r="I105" s="6">
        <f t="shared" si="92"/>
        <v>0.12376666666666665</v>
      </c>
      <c r="J105" s="6">
        <f t="shared" si="93"/>
        <v>0.12379999999999999</v>
      </c>
      <c r="K105" s="6"/>
      <c r="L105" s="6"/>
    </row>
    <row r="106" spans="1:13" hidden="1">
      <c r="A106" s="36" t="str">
        <f t="shared" si="94"/>
        <v>Southwest Gas</v>
      </c>
      <c r="B106" s="117">
        <f>+'Growth &amp; Beta'!B19</f>
        <v>0.08</v>
      </c>
      <c r="C106" s="84"/>
      <c r="D106" s="84">
        <v>5.67E-2</v>
      </c>
      <c r="E106" s="118">
        <v>7.0000000000000007E-2</v>
      </c>
      <c r="F106" s="84">
        <v>0.06</v>
      </c>
      <c r="I106" s="6">
        <f t="shared" si="92"/>
        <v>6.2233333333333335E-2</v>
      </c>
      <c r="J106" s="6">
        <f t="shared" si="93"/>
        <v>0.06</v>
      </c>
      <c r="K106" s="6"/>
      <c r="L106" s="6"/>
    </row>
    <row r="107" spans="1:13" hidden="1">
      <c r="A107" s="36" t="e">
        <f>#REF!</f>
        <v>#REF!</v>
      </c>
      <c r="B107" s="117" t="e">
        <f>+'Growth &amp; Beta'!#REF!</f>
        <v>#REF!</v>
      </c>
      <c r="C107" s="84"/>
      <c r="D107" s="84">
        <v>0.04</v>
      </c>
      <c r="E107" s="84">
        <v>0.04</v>
      </c>
      <c r="F107" s="84">
        <v>0.05</v>
      </c>
      <c r="I107" s="6">
        <f t="shared" si="92"/>
        <v>4.3333333333333335E-2</v>
      </c>
      <c r="J107" s="6">
        <f t="shared" si="93"/>
        <v>0.04</v>
      </c>
      <c r="K107" s="6"/>
      <c r="L107" s="6"/>
    </row>
    <row r="108" spans="1:13" hidden="1">
      <c r="B108" s="6"/>
      <c r="C108" s="6"/>
      <c r="D108" s="6"/>
      <c r="E108" s="6"/>
      <c r="F108" s="6"/>
      <c r="I108" s="6"/>
      <c r="J108" s="6"/>
      <c r="K108" s="6"/>
    </row>
    <row r="109" spans="1:13" hidden="1">
      <c r="B109" s="6"/>
      <c r="C109" s="6"/>
      <c r="D109" s="6"/>
      <c r="E109" s="6"/>
      <c r="F109" s="6"/>
      <c r="I109" s="6"/>
      <c r="J109" s="6"/>
      <c r="K109" s="6"/>
    </row>
    <row r="110" spans="1:13" hidden="1">
      <c r="A110" s="5" t="s">
        <v>77</v>
      </c>
      <c r="B110" s="6" t="e">
        <f>AVERAGE(B100:B107)</f>
        <v>#REF!</v>
      </c>
      <c r="C110" s="6"/>
      <c r="D110" s="6">
        <f>AVERAGE(D100:D107)</f>
        <v>5.8737500000000005E-2</v>
      </c>
      <c r="E110" s="6">
        <f>AVERAGE(E100:E107)</f>
        <v>6.0687500000000005E-2</v>
      </c>
      <c r="F110" s="6">
        <f>AVERAGE(F100:F107)</f>
        <v>5.9499999999999997E-2</v>
      </c>
      <c r="I110" s="6">
        <f>AVERAGE(I100:I107)</f>
        <v>5.9641666666666662E-2</v>
      </c>
      <c r="J110" s="6">
        <f>AVERAGE(J100:J107)</f>
        <v>5.9437500000000004E-2</v>
      </c>
      <c r="K110" s="6"/>
      <c r="L110" s="6"/>
    </row>
    <row r="111" spans="1:13" hidden="1">
      <c r="A111" s="5" t="s">
        <v>21</v>
      </c>
      <c r="B111" s="6" t="e">
        <f>MEDIAN(B100:B107)</f>
        <v>#REF!</v>
      </c>
      <c r="C111" s="6"/>
      <c r="D111" s="6">
        <f>MEDIAN(D100:D107)</f>
        <v>4.9850000000000005E-2</v>
      </c>
      <c r="E111" s="6">
        <f>MEDIAN(E100:E107)</f>
        <v>5.3350000000000002E-2</v>
      </c>
      <c r="F111" s="6">
        <f>MEDIAN(F100:F107)</f>
        <v>5.5E-2</v>
      </c>
      <c r="I111" s="6">
        <f>MEDIAN(I100:I107)</f>
        <v>5.2033333333333334E-2</v>
      </c>
      <c r="J111" s="6">
        <f>MEDIAN(J100:J107)</f>
        <v>5.3350000000000002E-2</v>
      </c>
      <c r="K111" s="6"/>
      <c r="L111" s="6"/>
    </row>
    <row r="112" spans="1:13" hidden="1">
      <c r="A112" s="5"/>
      <c r="B112" s="6"/>
      <c r="C112" s="6"/>
      <c r="D112" s="6"/>
      <c r="E112" s="6"/>
      <c r="F112" s="6"/>
      <c r="I112" s="6"/>
      <c r="J112" s="6"/>
      <c r="K112" s="6"/>
      <c r="L112" s="6"/>
    </row>
    <row r="113" spans="1:12" hidden="1">
      <c r="A113" s="5"/>
      <c r="B113" s="6"/>
      <c r="C113" s="6"/>
      <c r="D113" s="6"/>
      <c r="E113" s="6"/>
      <c r="F113" s="6"/>
      <c r="I113" s="6"/>
      <c r="J113" s="6"/>
      <c r="K113" s="6"/>
      <c r="L113" s="6"/>
    </row>
    <row r="114" spans="1:12" hidden="1">
      <c r="K114" s="6"/>
    </row>
    <row r="133" spans="1:1">
      <c r="A133" s="120"/>
    </row>
    <row r="134" spans="1:1">
      <c r="A134" s="120"/>
    </row>
    <row r="135" spans="1:1">
      <c r="A135" s="120"/>
    </row>
    <row r="136" spans="1:1">
      <c r="A136" s="120"/>
    </row>
    <row r="137" spans="1:1">
      <c r="A137" s="120"/>
    </row>
    <row r="138" spans="1:1">
      <c r="A138" s="120"/>
    </row>
    <row r="139" spans="1:1">
      <c r="A139" s="120"/>
    </row>
    <row r="140" spans="1:1">
      <c r="A140" s="120"/>
    </row>
    <row r="141" spans="1:1">
      <c r="A141" s="120"/>
    </row>
    <row r="142" spans="1:1">
      <c r="A142" s="120"/>
    </row>
    <row r="143" spans="1:1">
      <c r="A143" s="120"/>
    </row>
    <row r="144" spans="1:1">
      <c r="A144" s="120"/>
    </row>
    <row r="145" spans="1:1">
      <c r="A145" s="120"/>
    </row>
    <row r="146" spans="1:1">
      <c r="A146" s="120"/>
    </row>
    <row r="147" spans="1:1">
      <c r="A147" s="120"/>
    </row>
    <row r="148" spans="1:1">
      <c r="A148" s="120"/>
    </row>
    <row r="149" spans="1:1">
      <c r="A149" s="120"/>
    </row>
    <row r="150" spans="1:1">
      <c r="A150" s="120"/>
    </row>
    <row r="151" spans="1:1">
      <c r="A151" s="120"/>
    </row>
    <row r="152" spans="1:1">
      <c r="A152" s="120"/>
    </row>
    <row r="153" spans="1:1">
      <c r="A153" s="120"/>
    </row>
  </sheetData>
  <mergeCells count="1">
    <mergeCell ref="A40:J40"/>
  </mergeCells>
  <phoneticPr fontId="3" type="noConversion"/>
  <printOptions horizontalCentered="1"/>
  <pageMargins left="0.75" right="0.75" top="1" bottom="1" header="0.5" footer="0.5"/>
  <pageSetup scale="74" fitToHeight="3" orientation="landscape" r:id="rId1"/>
  <headerFooter alignWithMargins="0"/>
  <rowBreaks count="2" manualBreakCount="2">
    <brk id="36" max="21" man="1"/>
    <brk id="71" max="16383" man="1"/>
  </rowBreaks>
  <colBreaks count="1" manualBreakCount="1">
    <brk id="10" min="36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="110" zoomScaleNormal="100" zoomScaleSheetLayoutView="110" workbookViewId="0">
      <selection activeCell="I12" sqref="I12"/>
    </sheetView>
  </sheetViews>
  <sheetFormatPr defaultRowHeight="12.75"/>
  <cols>
    <col min="1" max="1" width="23.5" customWidth="1"/>
    <col min="2" max="2" width="13.6640625" customWidth="1"/>
    <col min="3" max="4" width="13.6640625" hidden="1" customWidth="1"/>
    <col min="5" max="5" width="11.5" customWidth="1"/>
    <col min="6" max="7" width="12" customWidth="1"/>
    <col min="8" max="9" width="12.83203125" customWidth="1"/>
    <col min="10" max="13" width="10.83203125" customWidth="1"/>
    <col min="14" max="15" width="10.83203125" style="12" customWidth="1"/>
    <col min="16" max="16" width="10.83203125" customWidth="1"/>
    <col min="18" max="18" width="9.83203125" bestFit="1" customWidth="1"/>
  </cols>
  <sheetData>
    <row r="1" spans="1:25" ht="15.75">
      <c r="E1" s="79"/>
      <c r="F1" s="79"/>
      <c r="G1" s="79"/>
      <c r="H1" s="79"/>
      <c r="O1" s="51"/>
      <c r="P1" s="8" t="s">
        <v>288</v>
      </c>
    </row>
    <row r="2" spans="1:25" ht="15.75">
      <c r="O2" s="5"/>
      <c r="P2" s="8" t="s">
        <v>821</v>
      </c>
      <c r="Q2" s="26"/>
      <c r="R2" s="26"/>
      <c r="S2" s="26"/>
    </row>
    <row r="3" spans="1:25">
      <c r="O3" s="94"/>
      <c r="Q3" s="26"/>
      <c r="R3" s="26"/>
      <c r="S3" s="26"/>
    </row>
    <row r="4" spans="1:25" ht="18.75">
      <c r="A4" s="28" t="str">
        <f>Comps!B3</f>
        <v>Questar Gas Company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29"/>
      <c r="Q4" s="26"/>
      <c r="R4" s="26"/>
      <c r="S4" s="26"/>
    </row>
    <row r="5" spans="1:25" ht="15.75">
      <c r="A5" s="31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29"/>
      <c r="Q5" s="26"/>
      <c r="R5" s="26"/>
      <c r="S5" s="26"/>
    </row>
    <row r="6" spans="1:25" ht="15.75">
      <c r="A6" s="48">
        <f>+Comps!B5</f>
        <v>41634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0"/>
      <c r="P6" s="29"/>
      <c r="Q6" s="246"/>
      <c r="R6" s="26"/>
      <c r="S6" s="26"/>
    </row>
    <row r="7" spans="1:25">
      <c r="L7" s="12"/>
      <c r="M7" s="12"/>
      <c r="N7"/>
      <c r="O7"/>
      <c r="Q7" s="26"/>
      <c r="R7" s="26"/>
      <c r="S7" s="26"/>
    </row>
    <row r="8" spans="1:25">
      <c r="L8" s="12"/>
      <c r="M8" s="12"/>
      <c r="N8"/>
      <c r="O8"/>
      <c r="Q8" s="26"/>
      <c r="R8" s="26"/>
      <c r="S8" s="26"/>
      <c r="T8" s="26"/>
      <c r="U8" s="26"/>
      <c r="V8" s="26"/>
      <c r="W8" s="26"/>
      <c r="X8" s="26"/>
      <c r="Y8" s="26"/>
    </row>
    <row r="9" spans="1:25" ht="15.75">
      <c r="A9" s="65" t="s">
        <v>339</v>
      </c>
      <c r="N9" s="2"/>
      <c r="O9" s="2"/>
      <c r="P9" s="13"/>
      <c r="R9" s="95"/>
    </row>
    <row r="10" spans="1:25" ht="15.75">
      <c r="A10" s="65"/>
      <c r="N10" s="2"/>
      <c r="O10" s="2"/>
      <c r="P10" s="13"/>
      <c r="R10" s="95"/>
    </row>
    <row r="11" spans="1:25" ht="12.75" customHeight="1">
      <c r="A11" s="10"/>
      <c r="N11" s="2"/>
      <c r="O11" s="2"/>
      <c r="P11" s="13"/>
    </row>
    <row r="12" spans="1:25">
      <c r="B12" s="516" t="str">
        <f>+'DCF 2S B'!C69</f>
        <v xml:space="preserve">30 Day </v>
      </c>
      <c r="C12" s="17"/>
      <c r="D12" s="17"/>
      <c r="E12" s="15" t="s">
        <v>45</v>
      </c>
      <c r="F12" s="17"/>
      <c r="G12" s="15" t="s">
        <v>40</v>
      </c>
      <c r="H12" s="712" t="s">
        <v>27</v>
      </c>
      <c r="I12" s="249" t="s">
        <v>234</v>
      </c>
      <c r="J12" s="25"/>
      <c r="K12" s="17"/>
      <c r="L12" s="15"/>
      <c r="M12" s="17"/>
      <c r="N12" s="17"/>
      <c r="O12" s="17"/>
      <c r="P12" s="17"/>
    </row>
    <row r="13" spans="1:25">
      <c r="B13" s="516" t="str">
        <f>+'DCF 2S B'!C70</f>
        <v>Average</v>
      </c>
      <c r="C13" s="24" t="s">
        <v>44</v>
      </c>
      <c r="D13" s="24"/>
      <c r="E13" s="15" t="s">
        <v>63</v>
      </c>
      <c r="F13" s="15" t="s">
        <v>22</v>
      </c>
      <c r="G13" s="15" t="s">
        <v>41</v>
      </c>
      <c r="H13" s="15" t="s">
        <v>64</v>
      </c>
      <c r="I13" s="15" t="s">
        <v>65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5" t="s">
        <v>51</v>
      </c>
      <c r="P13" s="15" t="s">
        <v>51</v>
      </c>
    </row>
    <row r="14" spans="1:25">
      <c r="A14" s="2" t="s">
        <v>3</v>
      </c>
      <c r="B14" s="515" t="str">
        <f>+'DCF 2S B'!C71</f>
        <v>Stock Price</v>
      </c>
      <c r="C14" s="24" t="s">
        <v>37</v>
      </c>
      <c r="D14" s="24" t="s">
        <v>53</v>
      </c>
      <c r="E14" s="15" t="s">
        <v>24</v>
      </c>
      <c r="F14" s="15" t="s">
        <v>23</v>
      </c>
      <c r="G14" s="15" t="s">
        <v>37</v>
      </c>
      <c r="H14" s="15" t="s">
        <v>26</v>
      </c>
      <c r="I14" s="15" t="s">
        <v>26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23</v>
      </c>
      <c r="P14" s="15" t="s">
        <v>52</v>
      </c>
    </row>
    <row r="15" spans="1:25" ht="7.5" customHeight="1">
      <c r="A15" s="3"/>
      <c r="B15" s="5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4"/>
      <c r="O15" s="14"/>
      <c r="P15" s="3"/>
    </row>
    <row r="16" spans="1:25">
      <c r="A16" s="26" t="str">
        <f>+'DCF 2S B'!B130</f>
        <v>AGL Resources</v>
      </c>
      <c r="B16" s="511">
        <f>+'DCF 2S B'!C130</f>
        <v>46.103000000000002</v>
      </c>
      <c r="C16" s="488">
        <f>(J16/(1+$E16)^0.5+K16/(1+$E16)^1.5+L16/(1+$E16)^2.5+M16/(1+$E16)^3.5+N16/(1+$E16)^4.5+O16/(1+E16)^5.5+P16/(1+$E16)^5.5)</f>
        <v>46.102968132616176</v>
      </c>
      <c r="D16" s="488">
        <f>B16-C16</f>
        <v>3.186738382510157E-5</v>
      </c>
      <c r="E16" s="476">
        <f>+'DCF 2S B'!F130</f>
        <v>8.7956719091423191E-2</v>
      </c>
      <c r="F16" s="511">
        <f>+'DCF 2S B'!G130</f>
        <v>1.861</v>
      </c>
      <c r="G16" s="476">
        <f>+'DCF 2S B'!H130</f>
        <v>4.036613669392447E-2</v>
      </c>
      <c r="H16" s="476">
        <f>+'DCF 2S B'!I130</f>
        <v>4.6766666666666672E-2</v>
      </c>
      <c r="I16" s="476">
        <f>+'DCF 2S B'!J130</f>
        <v>4.4999999999999998E-2</v>
      </c>
      <c r="J16" s="511">
        <f>+'DCF 2S B'!K130</f>
        <v>1.9028725</v>
      </c>
      <c r="K16" s="511">
        <f>+'DCF 2S B'!L130</f>
        <v>1.9885017624999999</v>
      </c>
      <c r="L16" s="511">
        <f>+'DCF 2S B'!M130</f>
        <v>2.0779843418124999</v>
      </c>
      <c r="M16" s="511">
        <f>+'DCF 2S B'!N130</f>
        <v>2.1714936371940623</v>
      </c>
      <c r="N16" s="511">
        <f>+'DCF 2S B'!O130</f>
        <v>2.2692108508677951</v>
      </c>
      <c r="O16" s="511">
        <f>+'DCF 2S B'!P130</f>
        <v>2.3713253391568458</v>
      </c>
      <c r="P16" s="511">
        <f>+'DCF 2S B'!Q130</f>
        <v>57.525340399266028</v>
      </c>
      <c r="R16" s="95"/>
    </row>
    <row r="17" spans="1:16">
      <c r="A17" s="26" t="str">
        <f>+'DCF 2S B'!B131</f>
        <v>Atmos Energy</v>
      </c>
      <c r="B17" s="608">
        <f>+'DCF 2S B'!C131</f>
        <v>44.470999999999997</v>
      </c>
      <c r="C17" s="488">
        <f t="shared" ref="C17:C23" si="0">(J17/(1+$E17)^0.5+K17/(1+$E17)^1.5+L17/(1+$E17)^2.5+M17/(1+$E17)^3.5+N17/(1+$E17)^4.5+O17/(1+E17)^5.5+P17/(1+$E17)^5.5)</f>
        <v>44.470954613874298</v>
      </c>
      <c r="D17" s="488">
        <f t="shared" ref="D17:D23" si="1">B17-C17</f>
        <v>4.5386125698598789E-5</v>
      </c>
      <c r="E17" s="476">
        <f>+'DCF 2S B'!F131</f>
        <v>8.7368202331570527E-2</v>
      </c>
      <c r="F17" s="608">
        <f>+'DCF 2S B'!G131</f>
        <v>1.4049999999999998</v>
      </c>
      <c r="G17" s="476">
        <f>+'DCF 2S B'!H131</f>
        <v>3.15936228103708E-2</v>
      </c>
      <c r="H17" s="476">
        <f>+'DCF 2S B'!I131</f>
        <v>6.1766666666666664E-2</v>
      </c>
      <c r="I17" s="476">
        <f>+'DCF 2S B'!J131</f>
        <v>1.4999999999999999E-2</v>
      </c>
      <c r="J17" s="608">
        <f>+'DCF 2S B'!K131</f>
        <v>1.4155374999999999</v>
      </c>
      <c r="K17" s="608">
        <f>+'DCF 2S B'!L131</f>
        <v>1.4367705624999998</v>
      </c>
      <c r="L17" s="608">
        <f>+'DCF 2S B'!M131</f>
        <v>1.4583221209374997</v>
      </c>
      <c r="M17" s="608">
        <f>+'DCF 2S B'!N131</f>
        <v>1.4801969527515619</v>
      </c>
      <c r="N17" s="608">
        <f>+'DCF 2S B'!O131</f>
        <v>1.5023999070428353</v>
      </c>
      <c r="O17" s="608">
        <f>+'DCF 2S B'!P131</f>
        <v>1.5249359056484777</v>
      </c>
      <c r="P17" s="608">
        <f>+'DCF 2S B'!Q131</f>
        <v>59.549235739926814</v>
      </c>
    </row>
    <row r="18" spans="1:16">
      <c r="A18" s="26" t="str">
        <f>+'DCF 2S B'!B132</f>
        <v>Laclede Group</v>
      </c>
      <c r="B18" s="608">
        <f>+'DCF 2S B'!C132</f>
        <v>45.148000000000003</v>
      </c>
      <c r="C18" s="488">
        <f t="shared" si="0"/>
        <v>45.147972944151064</v>
      </c>
      <c r="D18" s="488">
        <f t="shared" si="1"/>
        <v>2.7055848939028238E-5</v>
      </c>
      <c r="E18" s="476">
        <f>+'DCF 2S B'!F132</f>
        <v>8.2146023873130261E-2</v>
      </c>
      <c r="F18" s="608">
        <f>+'DCF 2S B'!G132</f>
        <v>1.71</v>
      </c>
      <c r="G18" s="476">
        <f>+'DCF 2S B'!H132</f>
        <v>3.7875431912820057E-2</v>
      </c>
      <c r="H18" s="476">
        <f>+'DCF 2S B'!I132</f>
        <v>4.5133333333333338E-2</v>
      </c>
      <c r="I18" s="476">
        <f>+'DCF 2S B'!J132</f>
        <v>3.5000000000000003E-2</v>
      </c>
      <c r="J18" s="608">
        <f>+'DCF 2S B'!K132</f>
        <v>1.7399250000000002</v>
      </c>
      <c r="K18" s="608">
        <f>+'DCF 2S B'!L132</f>
        <v>1.8008223750000001</v>
      </c>
      <c r="L18" s="608">
        <f>+'DCF 2S B'!M132</f>
        <v>1.8638511581249999</v>
      </c>
      <c r="M18" s="608">
        <f>+'DCF 2S B'!N132</f>
        <v>1.9290859486593748</v>
      </c>
      <c r="N18" s="608">
        <f>+'DCF 2S B'!O132</f>
        <v>1.9966039568624527</v>
      </c>
      <c r="O18" s="608">
        <f>+'DCF 2S B'!P132</f>
        <v>2.0664850953526384</v>
      </c>
      <c r="P18" s="608">
        <f>+'DCF 2S B'!Q132</f>
        <v>55.796798910449503</v>
      </c>
    </row>
    <row r="19" spans="1:16">
      <c r="A19" s="26" t="str">
        <f>+'DCF 2S B'!B133</f>
        <v>New Jersey Resources</v>
      </c>
      <c r="B19" s="697">
        <f>+'DCF 2S B'!C133</f>
        <v>44.633499999999998</v>
      </c>
      <c r="C19" s="488">
        <f t="shared" ref="C19" si="2">(J19/(1+$E19)^0.5+K19/(1+$E19)^1.5+L19/(1+$E19)^2.5+M19/(1+$E19)^3.5+N19/(1+$E19)^4.5+O19/(1+E19)^5.5+P19/(1+$E19)^5.5)</f>
        <v>44.634108450855237</v>
      </c>
      <c r="D19" s="488">
        <f t="shared" ref="D19" si="3">B19-C19</f>
        <v>-6.0845085523908438E-4</v>
      </c>
      <c r="E19" s="476">
        <f>+'DCF 2S B'!F133</f>
        <v>6.643916348954515E-2</v>
      </c>
      <c r="F19" s="697">
        <f>+'DCF 2S B'!G133</f>
        <v>1.59</v>
      </c>
      <c r="G19" s="476">
        <f>+'DCF 2S B'!H133</f>
        <v>3.5623466678615844E-2</v>
      </c>
      <c r="H19" s="476">
        <f>+'DCF 2S B'!I133</f>
        <v>0.03</v>
      </c>
      <c r="I19" s="476">
        <f>+'DCF 2S B'!J133</f>
        <v>0.03</v>
      </c>
      <c r="J19" s="697">
        <f>+'DCF 2S B'!K133</f>
        <v>1.61385</v>
      </c>
      <c r="K19" s="697">
        <f>+'DCF 2S B'!L133</f>
        <v>1.6622655</v>
      </c>
      <c r="L19" s="697">
        <f>+'DCF 2S B'!M133</f>
        <v>1.712133465</v>
      </c>
      <c r="M19" s="697">
        <f>+'DCF 2S B'!N133</f>
        <v>1.76349746895</v>
      </c>
      <c r="N19" s="697">
        <f>+'DCF 2S B'!O133</f>
        <v>1.8164023930185</v>
      </c>
      <c r="O19" s="697">
        <f>+'DCF 2S B'!P133</f>
        <v>1.8708944648090551</v>
      </c>
      <c r="P19" s="697">
        <f>+'DCF 2S B'!Q133</f>
        <v>51.312958664400675</v>
      </c>
    </row>
    <row r="20" spans="1:16">
      <c r="A20" s="26" t="str">
        <f>+'DCF 2S B'!B134</f>
        <v>Northwest Nat. Gas</v>
      </c>
      <c r="B20" s="608">
        <f>+'DCF 2S B'!C134</f>
        <v>42.276000000000003</v>
      </c>
      <c r="C20" s="488">
        <f t="shared" si="0"/>
        <v>42.275831936284177</v>
      </c>
      <c r="D20" s="488">
        <f t="shared" si="1"/>
        <v>1.6806371582589463E-4</v>
      </c>
      <c r="E20" s="476">
        <f>+'DCF 2S B'!F134</f>
        <v>8.1658643919739662E-2</v>
      </c>
      <c r="F20" s="608">
        <f>+'DCF 2S B'!G134</f>
        <v>1.84</v>
      </c>
      <c r="G20" s="476">
        <f>+'DCF 2S B'!H134</f>
        <v>4.3523512158198503E-2</v>
      </c>
      <c r="H20" s="476">
        <f>+'DCF 2S B'!I134</f>
        <v>0.04</v>
      </c>
      <c r="I20" s="476">
        <f>+'DCF 2S B'!J134</f>
        <v>2.5000000000000001E-2</v>
      </c>
      <c r="J20" s="608">
        <f>+'DCF 2S B'!K134</f>
        <v>1.863</v>
      </c>
      <c r="K20" s="608">
        <f>+'DCF 2S B'!L134</f>
        <v>1.9095749999999998</v>
      </c>
      <c r="L20" s="608">
        <f>+'DCF 2S B'!M134</f>
        <v>1.9573143749999997</v>
      </c>
      <c r="M20" s="608">
        <f>+'DCF 2S B'!N134</f>
        <v>2.0062472343749995</v>
      </c>
      <c r="N20" s="608">
        <f>+'DCF 2S B'!O134</f>
        <v>2.0564034152343744</v>
      </c>
      <c r="O20" s="608">
        <f>+'DCF 2S B'!P134</f>
        <v>2.1078135006152334</v>
      </c>
      <c r="P20" s="608">
        <f>+'DCF 2S B'!Q134</f>
        <v>50.572266312273321</v>
      </c>
    </row>
    <row r="21" spans="1:16">
      <c r="A21" s="26" t="str">
        <f>+'DCF 2S B'!B135</f>
        <v>Piedmont Natural Gas</v>
      </c>
      <c r="B21" s="608">
        <f>+'DCF 2S B'!C135</f>
        <v>32.444000000000003</v>
      </c>
      <c r="C21" s="488">
        <f t="shared" si="0"/>
        <v>32.444045186200121</v>
      </c>
      <c r="D21" s="488">
        <f t="shared" si="1"/>
        <v>-4.5186200118507713E-5</v>
      </c>
      <c r="E21" s="476">
        <f>+'DCF 2S B'!F135</f>
        <v>8.5606292018810634E-2</v>
      </c>
      <c r="F21" s="608">
        <f>+'DCF 2S B'!G135</f>
        <v>1.24</v>
      </c>
      <c r="G21" s="476">
        <f>+'DCF 2S B'!H135</f>
        <v>3.8219701639748485E-2</v>
      </c>
      <c r="H21" s="476">
        <f>+'DCF 2S B'!I135</f>
        <v>5.000000000000001E-2</v>
      </c>
      <c r="I21" s="476">
        <f>+'DCF 2S B'!J135</f>
        <v>0.03</v>
      </c>
      <c r="J21" s="608">
        <f>+'DCF 2S B'!K135</f>
        <v>1.2585999999999999</v>
      </c>
      <c r="K21" s="608">
        <f>+'DCF 2S B'!L135</f>
        <v>1.2963579999999999</v>
      </c>
      <c r="L21" s="608">
        <f>+'DCF 2S B'!M135</f>
        <v>1.3352487399999999</v>
      </c>
      <c r="M21" s="608">
        <f>+'DCF 2S B'!N135</f>
        <v>1.3753062022</v>
      </c>
      <c r="N21" s="608">
        <f>+'DCF 2S B'!O135</f>
        <v>1.4165653882660001</v>
      </c>
      <c r="O21" s="608">
        <f>+'DCF 2S B'!P135</f>
        <v>1.4590623499139801</v>
      </c>
      <c r="P21" s="608">
        <f>+'DCF 2S B'!Q135</f>
        <v>40.947654992639073</v>
      </c>
    </row>
    <row r="22" spans="1:16">
      <c r="A22" s="26" t="str">
        <f>+'DCF 2S B'!B136</f>
        <v>South Jersey Inds.</v>
      </c>
      <c r="B22" s="608">
        <f>+'DCF 2S B'!C136</f>
        <v>55.3035</v>
      </c>
      <c r="C22" s="488">
        <f t="shared" si="0"/>
        <v>55.303952882388849</v>
      </c>
      <c r="D22" s="488">
        <f t="shared" si="1"/>
        <v>-4.5288238884921839E-4</v>
      </c>
      <c r="E22" s="476">
        <f>+'DCF 2S B'!F136</f>
        <v>9.7891328277321429E-2</v>
      </c>
      <c r="F22" s="608">
        <f>+'DCF 2S B'!G136</f>
        <v>1.8120000000000001</v>
      </c>
      <c r="G22" s="476">
        <f>+'DCF 2S B'!H136</f>
        <v>3.2764653231712279E-2</v>
      </c>
      <c r="H22" s="476">
        <f>+'DCF 2S B'!I136</f>
        <v>0.06</v>
      </c>
      <c r="I22" s="476">
        <f>+'DCF 2S B'!J136</f>
        <v>8.5000000000000006E-2</v>
      </c>
      <c r="J22" s="608">
        <f>+'DCF 2S B'!K136</f>
        <v>1.8890100000000001</v>
      </c>
      <c r="K22" s="608">
        <f>+'DCF 2S B'!L136</f>
        <v>2.0495758500000001</v>
      </c>
      <c r="L22" s="608">
        <f>+'DCF 2S B'!M136</f>
        <v>2.2237897972499998</v>
      </c>
      <c r="M22" s="608">
        <f>+'DCF 2S B'!N136</f>
        <v>2.4128119300162498</v>
      </c>
      <c r="N22" s="608">
        <f>+'DCF 2S B'!O136</f>
        <v>2.6179009440676309</v>
      </c>
      <c r="O22" s="608">
        <f>+'DCF 2S B'!P136</f>
        <v>2.8404225243133796</v>
      </c>
      <c r="P22" s="608">
        <f>+'DCF 2S B'!Q136</f>
        <v>74.877337121694893</v>
      </c>
    </row>
    <row r="23" spans="1:16">
      <c r="A23" s="26" t="str">
        <f>+'DCF 2S B'!B137</f>
        <v>Southwest Gas</v>
      </c>
      <c r="B23" s="608">
        <f>+'DCF 2S B'!C137</f>
        <v>53.247</v>
      </c>
      <c r="C23" s="488">
        <f t="shared" si="0"/>
        <v>53.246541337305608</v>
      </c>
      <c r="D23" s="488">
        <f t="shared" si="1"/>
        <v>4.586626943918759E-4</v>
      </c>
      <c r="E23" s="476">
        <f>+'DCF 2S B'!F137</f>
        <v>6.4067811291672869E-2</v>
      </c>
      <c r="F23" s="608">
        <f>+'DCF 2S B'!G137</f>
        <v>1.27</v>
      </c>
      <c r="G23" s="476">
        <f>+'DCF 2S B'!H137</f>
        <v>2.3851108982665691E-2</v>
      </c>
      <c r="H23" s="476">
        <f>+'DCF 2S B'!I137</f>
        <v>3.5299999999999998E-2</v>
      </c>
      <c r="I23" s="476">
        <f>+'DCF 2S B'!J137</f>
        <v>7.0000000000000007E-2</v>
      </c>
      <c r="J23" s="608">
        <f>+'DCF 2S B'!K137</f>
        <v>1.3144499999999999</v>
      </c>
      <c r="K23" s="608">
        <f>+'DCF 2S B'!L137</f>
        <v>1.4064615</v>
      </c>
      <c r="L23" s="608">
        <f>+'DCF 2S B'!M137</f>
        <v>1.5049138050000002</v>
      </c>
      <c r="M23" s="608">
        <f>+'DCF 2S B'!N137</f>
        <v>1.6102577713500004</v>
      </c>
      <c r="N23" s="608">
        <f>+'DCF 2S B'!O137</f>
        <v>1.7229758153445005</v>
      </c>
      <c r="O23" s="608">
        <f>+'DCF 2S B'!P137</f>
        <v>1.8435841224186156</v>
      </c>
      <c r="P23" s="608">
        <f>+'DCF 2S B'!Q137</f>
        <v>64.014963006979244</v>
      </c>
    </row>
    <row r="24" spans="1:16">
      <c r="A24" s="26" t="str">
        <f>+'DCF 2S B'!B138</f>
        <v>WGL Holdings</v>
      </c>
      <c r="B24" s="697">
        <f>+'DCF 2S B'!C138</f>
        <v>39.097999999999999</v>
      </c>
      <c r="C24" s="488">
        <f t="shared" ref="C24" si="4">(J24/(1+$E24)^0.5+K24/(1+$E24)^1.5+L24/(1+$E24)^2.5+M24/(1+$E24)^3.5+N24/(1+$E24)^4.5+O24/(1+E24)^5.5+P24/(1+$E24)^5.5)</f>
        <v>39.098017857687147</v>
      </c>
      <c r="D24" s="488">
        <f t="shared" ref="D24" si="5">B24-C24</f>
        <v>-1.78576871476821E-5</v>
      </c>
      <c r="E24" s="476">
        <f>+'DCF 2S B'!F138</f>
        <v>8.4785010136856395E-2</v>
      </c>
      <c r="F24" s="697">
        <f>+'DCF 2S B'!G138</f>
        <v>1.6322000000000001</v>
      </c>
      <c r="G24" s="476">
        <f>+'DCF 2S B'!H138</f>
        <v>4.1746380889048036E-2</v>
      </c>
      <c r="H24" s="476">
        <f>+'DCF 2S B'!I138</f>
        <v>4.6000000000000006E-2</v>
      </c>
      <c r="I24" s="476">
        <f>+'DCF 2S B'!J138</f>
        <v>2.5000000000000001E-2</v>
      </c>
      <c r="J24" s="697">
        <f>+'DCF 2S B'!K138</f>
        <v>1.6526025</v>
      </c>
      <c r="K24" s="697">
        <f>+'DCF 2S B'!L138</f>
        <v>1.6939175624999998</v>
      </c>
      <c r="L24" s="697">
        <f>+'DCF 2S B'!M138</f>
        <v>1.7362655015624997</v>
      </c>
      <c r="M24" s="697">
        <f>+'DCF 2S B'!N138</f>
        <v>1.779672139101562</v>
      </c>
      <c r="N24" s="697">
        <f>+'DCF 2S B'!O138</f>
        <v>1.8241639425791008</v>
      </c>
      <c r="O24" s="697">
        <f>+'DCF 2S B'!P138</f>
        <v>1.8697680411435782</v>
      </c>
      <c r="P24" s="697">
        <f>+'DCF 2S B'!Q138</f>
        <v>48.183522688170868</v>
      </c>
    </row>
    <row r="25" spans="1:16" ht="12.75" customHeight="1">
      <c r="C25" s="12"/>
      <c r="D25" s="12"/>
      <c r="E25" s="6"/>
      <c r="G25" s="3"/>
      <c r="H25" s="11"/>
      <c r="I25" s="3"/>
      <c r="N25"/>
      <c r="O25"/>
    </row>
    <row r="26" spans="1:16">
      <c r="A26" s="5" t="s">
        <v>77</v>
      </c>
      <c r="C26" s="12"/>
      <c r="D26" s="12"/>
      <c r="E26" s="60">
        <f>AVERAGE(E16:E25)</f>
        <v>8.199102160334111E-2</v>
      </c>
      <c r="G26" s="60">
        <f>AVERAGE(G16:G25)</f>
        <v>3.6173779444122679E-2</v>
      </c>
      <c r="H26" s="60">
        <f>AVERAGE(H16:H25)</f>
        <v>4.6107407407407403E-2</v>
      </c>
      <c r="I26" s="60">
        <f>AVERAGE(I16:I25)</f>
        <v>4.0000000000000008E-2</v>
      </c>
      <c r="N26"/>
      <c r="O26"/>
    </row>
    <row r="27" spans="1:16">
      <c r="A27" s="5" t="s">
        <v>43</v>
      </c>
      <c r="E27" s="60">
        <f>STDEV(E16:E25)</f>
        <v>1.0615061132822715E-2</v>
      </c>
      <c r="G27" s="6"/>
      <c r="H27" s="6"/>
      <c r="I27" s="6"/>
      <c r="N27"/>
      <c r="O27"/>
    </row>
    <row r="28" spans="1:16">
      <c r="A28" s="5" t="s">
        <v>21</v>
      </c>
      <c r="E28" s="60">
        <f>+MEDIAN(E16:E25)</f>
        <v>8.4785010136856395E-2</v>
      </c>
      <c r="G28" s="6"/>
      <c r="H28" s="6"/>
      <c r="I28" s="6"/>
      <c r="N28"/>
      <c r="O28"/>
    </row>
    <row r="29" spans="1:16" ht="7.5" customHeight="1">
      <c r="A29" s="5"/>
      <c r="E29" s="511"/>
      <c r="G29" s="6"/>
      <c r="J29" s="6"/>
      <c r="N29"/>
      <c r="O29"/>
    </row>
    <row r="30" spans="1:16" ht="15.75">
      <c r="A30" s="8" t="s">
        <v>42</v>
      </c>
      <c r="C30" s="9"/>
      <c r="D30" s="9"/>
      <c r="E30" s="517">
        <f>+E26</f>
        <v>8.199102160334111E-2</v>
      </c>
      <c r="F30" s="4" t="s">
        <v>327</v>
      </c>
      <c r="G30" s="320"/>
      <c r="J30" s="517"/>
      <c r="K30" s="750"/>
      <c r="L30" s="750"/>
      <c r="M30" s="4"/>
      <c r="N30" s="9"/>
      <c r="O30"/>
    </row>
    <row r="31" spans="1:16">
      <c r="E31" s="511"/>
      <c r="H31" s="6"/>
      <c r="J31" s="25"/>
      <c r="M31" s="12"/>
      <c r="N31"/>
      <c r="O31"/>
    </row>
    <row r="32" spans="1:16">
      <c r="A32" s="6" t="s">
        <v>251</v>
      </c>
      <c r="E32" s="60">
        <f>+E30-E27</f>
        <v>7.137596047051839E-2</v>
      </c>
      <c r="J32" s="476"/>
      <c r="M32" s="12"/>
      <c r="N32"/>
      <c r="O32"/>
    </row>
    <row r="33" spans="1:19">
      <c r="E33" s="60">
        <f>+E30+E27</f>
        <v>9.2606082736163831E-2</v>
      </c>
      <c r="J33" s="476"/>
      <c r="M33" s="12"/>
      <c r="N33"/>
      <c r="O33"/>
    </row>
    <row r="34" spans="1:19">
      <c r="L34" s="12"/>
      <c r="M34" s="12"/>
      <c r="N34"/>
      <c r="O34"/>
    </row>
    <row r="35" spans="1:19">
      <c r="B35" s="37" t="s">
        <v>108</v>
      </c>
    </row>
    <row r="36" spans="1:19">
      <c r="E36" t="s">
        <v>109</v>
      </c>
    </row>
    <row r="37" spans="1:19">
      <c r="E37" t="s">
        <v>100</v>
      </c>
    </row>
    <row r="38" spans="1:19" ht="15.75">
      <c r="O38" s="93"/>
      <c r="P38" s="8" t="s">
        <v>288</v>
      </c>
    </row>
    <row r="39" spans="1:19" ht="15.75">
      <c r="O39" s="5"/>
      <c r="P39" s="8" t="s">
        <v>822</v>
      </c>
    </row>
    <row r="40" spans="1:19">
      <c r="O40" s="93"/>
    </row>
    <row r="41" spans="1:19" ht="18.75">
      <c r="A41" s="28" t="str">
        <f>+A4</f>
        <v>Questar Gas Company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29"/>
      <c r="Q41" s="26"/>
      <c r="R41" s="26"/>
      <c r="S41" s="26"/>
    </row>
    <row r="42" spans="1:19" ht="15.75">
      <c r="A42" s="31" t="s">
        <v>71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0"/>
      <c r="P42" s="29"/>
      <c r="Q42" s="26"/>
      <c r="R42" s="26"/>
      <c r="S42" s="26"/>
    </row>
    <row r="43" spans="1:19" ht="15.75">
      <c r="A43" s="48">
        <f>+A6</f>
        <v>41634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0"/>
      <c r="P43" s="29"/>
      <c r="Q43" s="246"/>
      <c r="R43" s="26"/>
      <c r="S43" s="26"/>
    </row>
    <row r="44" spans="1:19">
      <c r="O44" s="93"/>
    </row>
    <row r="45" spans="1:19">
      <c r="O45" s="93"/>
    </row>
    <row r="46" spans="1:19" ht="15.75">
      <c r="A46" s="65" t="s">
        <v>341</v>
      </c>
      <c r="N46" s="2"/>
    </row>
    <row r="47" spans="1:19" ht="15.75">
      <c r="A47" s="65"/>
      <c r="N47" s="2"/>
      <c r="O47" s="5"/>
    </row>
    <row r="48" spans="1:19" ht="15.75">
      <c r="A48" s="10"/>
      <c r="N48" s="2"/>
      <c r="O48" s="2"/>
      <c r="P48" s="13"/>
    </row>
    <row r="49" spans="1:16">
      <c r="B49" s="516" t="str">
        <f>+B12</f>
        <v xml:space="preserve">30 Day </v>
      </c>
      <c r="C49" s="17"/>
      <c r="D49" s="17"/>
      <c r="E49" s="15" t="s">
        <v>45</v>
      </c>
      <c r="F49" s="17"/>
      <c r="G49" s="15" t="s">
        <v>40</v>
      </c>
      <c r="H49" s="15" t="str">
        <f>+H12</f>
        <v>Projected</v>
      </c>
      <c r="I49" s="15" t="str">
        <f>+I12</f>
        <v>VL Projected</v>
      </c>
      <c r="J49" s="25"/>
      <c r="K49" s="17"/>
      <c r="L49" s="15"/>
      <c r="M49" s="17"/>
      <c r="N49" s="17"/>
      <c r="O49" s="17"/>
      <c r="P49" s="17"/>
    </row>
    <row r="50" spans="1:16">
      <c r="B50" s="49" t="str">
        <f>B13</f>
        <v>Average</v>
      </c>
      <c r="C50" s="24" t="s">
        <v>44</v>
      </c>
      <c r="D50" s="24"/>
      <c r="E50" s="15" t="s">
        <v>63</v>
      </c>
      <c r="F50" s="15" t="s">
        <v>22</v>
      </c>
      <c r="G50" s="15" t="s">
        <v>41</v>
      </c>
      <c r="H50" s="15" t="s">
        <v>64</v>
      </c>
      <c r="I50" s="15" t="s">
        <v>65</v>
      </c>
      <c r="J50" s="15" t="s">
        <v>23</v>
      </c>
      <c r="K50" s="15" t="s">
        <v>23</v>
      </c>
      <c r="L50" s="15" t="s">
        <v>23</v>
      </c>
      <c r="M50" s="15" t="s">
        <v>23</v>
      </c>
      <c r="N50" s="15" t="s">
        <v>23</v>
      </c>
      <c r="O50" s="15" t="s">
        <v>51</v>
      </c>
      <c r="P50" s="15" t="s">
        <v>51</v>
      </c>
    </row>
    <row r="51" spans="1:16">
      <c r="A51" s="2" t="s">
        <v>3</v>
      </c>
      <c r="B51" s="15" t="s">
        <v>4</v>
      </c>
      <c r="C51" s="24" t="s">
        <v>37</v>
      </c>
      <c r="D51" s="24" t="s">
        <v>53</v>
      </c>
      <c r="E51" s="15" t="s">
        <v>24</v>
      </c>
      <c r="F51" s="15" t="s">
        <v>23</v>
      </c>
      <c r="G51" s="15" t="s">
        <v>37</v>
      </c>
      <c r="H51" s="15" t="s">
        <v>26</v>
      </c>
      <c r="I51" s="15" t="s">
        <v>26</v>
      </c>
      <c r="J51" s="15" t="s">
        <v>46</v>
      </c>
      <c r="K51" s="15" t="s">
        <v>47</v>
      </c>
      <c r="L51" s="15" t="s">
        <v>48</v>
      </c>
      <c r="M51" s="15" t="s">
        <v>49</v>
      </c>
      <c r="N51" s="15" t="s">
        <v>50</v>
      </c>
      <c r="O51" s="15" t="s">
        <v>23</v>
      </c>
      <c r="P51" s="15" t="s">
        <v>52</v>
      </c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4"/>
      <c r="O52" s="14"/>
      <c r="P52" s="3"/>
    </row>
    <row r="53" spans="1:16">
      <c r="A53" t="str">
        <f>A16</f>
        <v>AGL Resources</v>
      </c>
      <c r="B53" s="504">
        <f>+'DCF 2S B'!C40</f>
        <v>46.103000000000002</v>
      </c>
      <c r="C53" s="504">
        <f>(J53/(1+$E53)^0.5+K53/(1+$E53)^1.5+L53/(1+$E53)^2.5+M53/(1+$E53)^3.5+N53/(1+$E53)^4.5+O53/(1+E53)^5.5+P53/(1+$E53)^5.5)</f>
        <v>46.10288894235633</v>
      </c>
      <c r="D53" s="551">
        <f>B53-C53</f>
        <v>1.1105764367158599E-4</v>
      </c>
      <c r="E53" s="550">
        <f>+'DCF 2S B'!F40</f>
        <v>0.12369888694070889</v>
      </c>
      <c r="F53" s="504">
        <f>+'DCF 2S B'!G40</f>
        <v>1.861</v>
      </c>
      <c r="G53" s="550">
        <f>+'DCF 2S B'!H40</f>
        <v>3.9486526628474433E-2</v>
      </c>
      <c r="H53" s="550">
        <f>+'DCF 2S B'!I40</f>
        <v>0.09</v>
      </c>
      <c r="I53" s="550">
        <f>+'DCF 2S B'!J40</f>
        <v>4.4999999999999998E-2</v>
      </c>
      <c r="J53" s="504">
        <f>+'DCF 2S B'!K40</f>
        <v>1.9028725</v>
      </c>
      <c r="K53" s="504">
        <f>+'DCF 2S B'!L40</f>
        <v>1.9885017624999999</v>
      </c>
      <c r="L53" s="504">
        <f>+'DCF 2S B'!M40</f>
        <v>2.0779843418124999</v>
      </c>
      <c r="M53" s="504">
        <f>+'DCF 2S B'!N40</f>
        <v>2.1714936371940623</v>
      </c>
      <c r="N53" s="504">
        <f>+'DCF 2S B'!O40</f>
        <v>2.2692108508677951</v>
      </c>
      <c r="O53" s="504">
        <f>+'DCF 2S B'!P40</f>
        <v>2.3713253391568458</v>
      </c>
      <c r="P53" s="504">
        <f>+'DCF 2S B'!Q40</f>
        <v>70.368061216058734</v>
      </c>
    </row>
    <row r="54" spans="1:16">
      <c r="A54" t="str">
        <f>A17</f>
        <v>Atmos Energy</v>
      </c>
      <c r="B54" s="504">
        <f>+'DCF 2S B'!C41</f>
        <v>44.470999999999997</v>
      </c>
      <c r="C54" s="504">
        <f t="shared" ref="C54:C60" si="6">(J54/(1+$E54)^0.5+K54/(1+$E54)^1.5+L54/(1+$E54)^2.5+M54/(1+$E54)^3.5+N54/(1+$E54)^4.5+O54/(1+E54)^5.5+P54/(1+$E54)^5.5)</f>
        <v>44.470945984121606</v>
      </c>
      <c r="D54" s="551">
        <f t="shared" ref="D54:D60" si="7">B54-C54</f>
        <v>5.4015878390600847E-5</v>
      </c>
      <c r="E54" s="550">
        <f>+'DCF 2S B'!F41</f>
        <v>8.1461678957354358E-2</v>
      </c>
      <c r="F54" s="504">
        <f>+'DCF 2S B'!G41</f>
        <v>1.4049999999999998</v>
      </c>
      <c r="G54" s="550">
        <f>+'DCF 2S B'!H41</f>
        <v>3.121528549211286E-2</v>
      </c>
      <c r="H54" s="550">
        <f>+'DCF 2S B'!I41</f>
        <v>5.5E-2</v>
      </c>
      <c r="I54" s="550">
        <f>+'DCF 2S B'!J41</f>
        <v>1.4999999999999999E-2</v>
      </c>
      <c r="J54" s="504">
        <f>+'DCF 2S B'!K41</f>
        <v>1.4155374999999999</v>
      </c>
      <c r="K54" s="504">
        <f>+'DCF 2S B'!L41</f>
        <v>1.4367705624999998</v>
      </c>
      <c r="L54" s="504">
        <f>+'DCF 2S B'!M41</f>
        <v>1.4583221209374997</v>
      </c>
      <c r="M54" s="504">
        <f>+'DCF 2S B'!N41</f>
        <v>1.4801969527515619</v>
      </c>
      <c r="N54" s="504">
        <f>+'DCF 2S B'!O41</f>
        <v>1.5023999070428353</v>
      </c>
      <c r="O54" s="504">
        <f>+'DCF 2S B'!P41</f>
        <v>1.5249359056484777</v>
      </c>
      <c r="P54" s="504">
        <f>+'DCF 2S B'!Q41</f>
        <v>57.628085810657154</v>
      </c>
    </row>
    <row r="55" spans="1:16">
      <c r="A55" t="str">
        <f>A18</f>
        <v>Laclede Group</v>
      </c>
      <c r="B55" s="504">
        <f>+'DCF 2S B'!C42</f>
        <v>45.148000000000003</v>
      </c>
      <c r="C55" s="504">
        <f t="shared" si="6"/>
        <v>45.147737131416527</v>
      </c>
      <c r="D55" s="551">
        <f t="shared" si="7"/>
        <v>2.6286858347646103E-4</v>
      </c>
      <c r="E55" s="550">
        <f>+'DCF 2S B'!F42</f>
        <v>9.4517115829888962E-2</v>
      </c>
      <c r="F55" s="504">
        <f>+'DCF 2S B'!G42</f>
        <v>1.71</v>
      </c>
      <c r="G55" s="550">
        <f>+'DCF 2S B'!H42</f>
        <v>3.7532923617208072E-2</v>
      </c>
      <c r="H55" s="550">
        <f>+'DCF 2S B'!I42</f>
        <v>0.06</v>
      </c>
      <c r="I55" s="550">
        <f>+'DCF 2S B'!J42</f>
        <v>3.5000000000000003E-2</v>
      </c>
      <c r="J55" s="504">
        <f>+'DCF 2S B'!K42</f>
        <v>1.7399250000000002</v>
      </c>
      <c r="K55" s="504">
        <f>+'DCF 2S B'!L42</f>
        <v>1.8008223750000001</v>
      </c>
      <c r="L55" s="504">
        <f>+'DCF 2S B'!M42</f>
        <v>1.8638511581249999</v>
      </c>
      <c r="M55" s="504">
        <f>+'DCF 2S B'!N42</f>
        <v>1.9290859486593748</v>
      </c>
      <c r="N55" s="504">
        <f>+'DCF 2S B'!O42</f>
        <v>1.9966039568624527</v>
      </c>
      <c r="O55" s="504">
        <f>+'DCF 2S B'!P42</f>
        <v>2.0664850953526384</v>
      </c>
      <c r="P55" s="504">
        <f>+'DCF 2S B'!Q42</f>
        <v>59.868417324811169</v>
      </c>
    </row>
    <row r="56" spans="1:16">
      <c r="A56" t="str">
        <f>A19</f>
        <v>New Jersey Resources</v>
      </c>
      <c r="B56" s="504">
        <f>+'DCF 2S B'!C43</f>
        <v>44.633499999999998</v>
      </c>
      <c r="C56" s="504">
        <f t="shared" ref="C56" si="8">(J56/(1+$E56)^0.5+K56/(1+$E56)^1.5+L56/(1+$E56)^2.5+M56/(1+$E56)^3.5+N56/(1+$E56)^4.5+O56/(1+E56)^5.5+P56/(1+$E56)^5.5)</f>
        <v>44.633622227996383</v>
      </c>
      <c r="D56" s="551">
        <f t="shared" ref="D56" si="9">B56-C56</f>
        <v>-1.2222799638550441E-4</v>
      </c>
      <c r="E56" s="550">
        <f>+'DCF 2S B'!F43</f>
        <v>8.7348646073006117E-2</v>
      </c>
      <c r="F56" s="504">
        <f>+'DCF 2S B'!G43</f>
        <v>1.59</v>
      </c>
      <c r="G56" s="550">
        <f>+'DCF 2S B'!H43</f>
        <v>3.4602829162132753E-2</v>
      </c>
      <c r="H56" s="550">
        <f>+'DCF 2S B'!I43</f>
        <v>5.5E-2</v>
      </c>
      <c r="I56" s="550">
        <f>+'DCF 2S B'!J43</f>
        <v>0.03</v>
      </c>
      <c r="J56" s="504">
        <f>+'DCF 2S B'!K43</f>
        <v>1.61385</v>
      </c>
      <c r="K56" s="504">
        <f>+'DCF 2S B'!L43</f>
        <v>1.6622655</v>
      </c>
      <c r="L56" s="504">
        <f>+'DCF 2S B'!M43</f>
        <v>1.712133465</v>
      </c>
      <c r="M56" s="504">
        <f>+'DCF 2S B'!N43</f>
        <v>1.76349746895</v>
      </c>
      <c r="N56" s="504">
        <f>+'DCF 2S B'!O43</f>
        <v>1.8164023930185</v>
      </c>
      <c r="O56" s="504">
        <f>+'DCF 2S B'!P43</f>
        <v>1.8708944648090551</v>
      </c>
      <c r="P56" s="504">
        <f>+'DCF 2S B'!Q43</f>
        <v>57.835325181360687</v>
      </c>
    </row>
    <row r="57" spans="1:16">
      <c r="A57" t="str">
        <f t="shared" ref="A57:A60" si="10">A20</f>
        <v>Northwest Nat. Gas</v>
      </c>
      <c r="B57" s="504">
        <f>+'DCF 2S B'!C44</f>
        <v>42.276000000000003</v>
      </c>
      <c r="C57" s="504">
        <f t="shared" si="6"/>
        <v>42.275869406639437</v>
      </c>
      <c r="D57" s="551">
        <f t="shared" si="7"/>
        <v>1.3059336056642223E-4</v>
      </c>
      <c r="E57" s="550">
        <f>+'DCF 2S B'!F44</f>
        <v>8.5707994409506397E-2</v>
      </c>
      <c r="F57" s="504">
        <f>+'DCF 2S B'!G44</f>
        <v>1.84</v>
      </c>
      <c r="G57" s="550">
        <f>+'DCF 2S B'!H44</f>
        <v>4.2860470533426509E-2</v>
      </c>
      <c r="H57" s="550">
        <f>+'DCF 2S B'!I44</f>
        <v>4.4999999999999998E-2</v>
      </c>
      <c r="I57" s="550">
        <f>+'DCF 2S B'!J44</f>
        <v>2.5000000000000001E-2</v>
      </c>
      <c r="J57" s="504">
        <f>+'DCF 2S B'!K44</f>
        <v>1.863</v>
      </c>
      <c r="K57" s="504">
        <f>+'DCF 2S B'!L44</f>
        <v>1.9095749999999998</v>
      </c>
      <c r="L57" s="504">
        <f>+'DCF 2S B'!M44</f>
        <v>1.9573143749999997</v>
      </c>
      <c r="M57" s="504">
        <f>+'DCF 2S B'!N44</f>
        <v>2.0062472343749995</v>
      </c>
      <c r="N57" s="504">
        <f>+'DCF 2S B'!O44</f>
        <v>2.0564034152343744</v>
      </c>
      <c r="O57" s="504">
        <f>+'DCF 2S B'!P44</f>
        <v>2.1078135006152334</v>
      </c>
      <c r="P57" s="504">
        <f>+'DCF 2S B'!Q44</f>
        <v>51.778858948722934</v>
      </c>
    </row>
    <row r="58" spans="1:16">
      <c r="A58" t="str">
        <f t="shared" si="10"/>
        <v>Piedmont Natural Gas</v>
      </c>
      <c r="B58" s="504">
        <f>+'DCF 2S B'!C45</f>
        <v>32.444000000000003</v>
      </c>
      <c r="C58" s="504">
        <f t="shared" si="6"/>
        <v>32.444038033383272</v>
      </c>
      <c r="D58" s="551">
        <f t="shared" si="7"/>
        <v>-3.8033383269464593E-5</v>
      </c>
      <c r="E58" s="550">
        <f>+'DCF 2S B'!F45</f>
        <v>8.1483409473214655E-2</v>
      </c>
      <c r="F58" s="504">
        <f>+'DCF 2S B'!G45</f>
        <v>1.24</v>
      </c>
      <c r="G58" s="550">
        <f>+'DCF 2S B'!H45</f>
        <v>3.7575757575757575E-2</v>
      </c>
      <c r="H58" s="550">
        <f>+'DCF 2S B'!I45</f>
        <v>4.4999999999999998E-2</v>
      </c>
      <c r="I58" s="550">
        <f>+'DCF 2S B'!J45</f>
        <v>0.03</v>
      </c>
      <c r="J58" s="504">
        <f>+'DCF 2S B'!K45</f>
        <v>1.2585999999999999</v>
      </c>
      <c r="K58" s="504">
        <f>+'DCF 2S B'!L45</f>
        <v>1.2963579999999999</v>
      </c>
      <c r="L58" s="504">
        <f>+'DCF 2S B'!M45</f>
        <v>1.3352487399999999</v>
      </c>
      <c r="M58" s="504">
        <f>+'DCF 2S B'!N45</f>
        <v>1.3753062022</v>
      </c>
      <c r="N58" s="504">
        <f>+'DCF 2S B'!O45</f>
        <v>1.4165653882660001</v>
      </c>
      <c r="O58" s="504">
        <f>+'DCF 2S B'!P45</f>
        <v>1.4590623499139801</v>
      </c>
      <c r="P58" s="504">
        <f>+'DCF 2S B'!Q45</f>
        <v>39.99248894172549</v>
      </c>
    </row>
    <row r="59" spans="1:16">
      <c r="A59" t="str">
        <f t="shared" si="10"/>
        <v>South Jersey Inds.</v>
      </c>
      <c r="B59" s="504">
        <f>+'DCF 2S B'!C46</f>
        <v>55.3035</v>
      </c>
      <c r="C59" s="504">
        <f t="shared" si="6"/>
        <v>55.30369096300916</v>
      </c>
      <c r="D59" s="551">
        <f t="shared" si="7"/>
        <v>-1.909630091603276E-4</v>
      </c>
      <c r="E59" s="550">
        <f>+'DCF 2S B'!F46</f>
        <v>0.11037535539134481</v>
      </c>
      <c r="F59" s="504">
        <f>+'DCF 2S B'!G46</f>
        <v>1.8120000000000001</v>
      </c>
      <c r="G59" s="550">
        <f>+'DCF 2S B'!H46</f>
        <v>3.2987438558164939E-2</v>
      </c>
      <c r="H59" s="550">
        <f>+'DCF 2S B'!I46</f>
        <v>7.4999999999999997E-2</v>
      </c>
      <c r="I59" s="550">
        <f>+'DCF 2S B'!J46</f>
        <v>8.5000000000000006E-2</v>
      </c>
      <c r="J59" s="504">
        <f>+'DCF 2S B'!K46</f>
        <v>1.8890100000000001</v>
      </c>
      <c r="K59" s="504">
        <f>+'DCF 2S B'!L46</f>
        <v>2.0495758500000001</v>
      </c>
      <c r="L59" s="504">
        <f>+'DCF 2S B'!M46</f>
        <v>2.2237897972499998</v>
      </c>
      <c r="M59" s="504">
        <f>+'DCF 2S B'!N46</f>
        <v>2.4128119300162498</v>
      </c>
      <c r="N59" s="504">
        <f>+'DCF 2S B'!O46</f>
        <v>2.6179009440676309</v>
      </c>
      <c r="O59" s="504">
        <f>+'DCF 2S B'!P46</f>
        <v>2.8404225243133796</v>
      </c>
      <c r="P59" s="504">
        <f>+'DCF 2S B'!Q46</f>
        <v>80.293822998830919</v>
      </c>
    </row>
    <row r="60" spans="1:16">
      <c r="A60" t="str">
        <f t="shared" si="10"/>
        <v>Southwest Gas</v>
      </c>
      <c r="B60" s="504">
        <f>+'DCF 2S B'!C47</f>
        <v>53.247</v>
      </c>
      <c r="C60" s="504">
        <f t="shared" si="6"/>
        <v>53.246784978189829</v>
      </c>
      <c r="D60" s="551">
        <f t="shared" si="7"/>
        <v>2.1502181017041266E-4</v>
      </c>
      <c r="E60" s="550">
        <f>+'DCF 2S B'!F47</f>
        <v>0.10320835108984887</v>
      </c>
      <c r="F60" s="504">
        <f>+'DCF 2S B'!G47</f>
        <v>1.27</v>
      </c>
      <c r="G60" s="550">
        <f>+'DCF 2S B'!H47</f>
        <v>2.2878760583678617E-2</v>
      </c>
      <c r="H60" s="550">
        <f>+'DCF 2S B'!I47</f>
        <v>0.08</v>
      </c>
      <c r="I60" s="550">
        <f>+'DCF 2S B'!J47</f>
        <v>7.0000000000000007E-2</v>
      </c>
      <c r="J60" s="504">
        <f>+'DCF 2S B'!K47</f>
        <v>1.3144499999999999</v>
      </c>
      <c r="K60" s="504">
        <f>+'DCF 2S B'!L47</f>
        <v>1.4064615</v>
      </c>
      <c r="L60" s="504">
        <f>+'DCF 2S B'!M47</f>
        <v>1.5049138050000002</v>
      </c>
      <c r="M60" s="504">
        <f>+'DCF 2S B'!N47</f>
        <v>1.6102577713500004</v>
      </c>
      <c r="N60" s="504">
        <f>+'DCF 2S B'!O47</f>
        <v>1.7229758153445005</v>
      </c>
      <c r="O60" s="504">
        <f>+'DCF 2S B'!P47</f>
        <v>1.8435841224186156</v>
      </c>
      <c r="P60" s="504">
        <f>+'DCF 2S B'!Q47</f>
        <v>79.436238933190879</v>
      </c>
    </row>
    <row r="61" spans="1:16">
      <c r="A61" t="str">
        <f>A24</f>
        <v>WGL Holdings</v>
      </c>
      <c r="B61" s="504">
        <f>+'DCF 2S B'!C48</f>
        <v>39.097999999999999</v>
      </c>
      <c r="C61" s="504">
        <f t="shared" ref="C61" si="11">(J61/(1+$E61)^0.5+K61/(1+$E61)^1.5+L61/(1+$E61)^2.5+M61/(1+$E61)^3.5+N61/(1+$E61)^4.5+O61/(1+E61)^5.5+P61/(1+$E61)^5.5)</f>
        <v>39.09799843490083</v>
      </c>
      <c r="D61" s="551">
        <f t="shared" ref="D61" si="12">B61-C61</f>
        <v>1.5650991684879045E-6</v>
      </c>
      <c r="E61" s="550">
        <f>+'DCF 2S B'!F48</f>
        <v>7.586907463783446E-2</v>
      </c>
      <c r="F61" s="504">
        <f>+'DCF 2S B'!G48</f>
        <v>1.6322000000000001</v>
      </c>
      <c r="G61" s="550">
        <f>+'DCF 2S B'!H48</f>
        <v>4.1627135934710534E-2</v>
      </c>
      <c r="H61" s="550">
        <f>+'DCF 2S B'!I48</f>
        <v>3.5000000000000003E-2</v>
      </c>
      <c r="I61" s="550">
        <f>+'DCF 2S B'!J48</f>
        <v>2.5000000000000001E-2</v>
      </c>
      <c r="J61" s="504">
        <f>+'DCF 2S B'!K48</f>
        <v>1.6526025</v>
      </c>
      <c r="K61" s="504">
        <f>+'DCF 2S B'!L48</f>
        <v>1.6939175624999998</v>
      </c>
      <c r="L61" s="504">
        <f>+'DCF 2S B'!M48</f>
        <v>1.7362655015624997</v>
      </c>
      <c r="M61" s="504">
        <f>+'DCF 2S B'!N48</f>
        <v>1.779672139101562</v>
      </c>
      <c r="N61" s="504">
        <f>+'DCF 2S B'!O48</f>
        <v>1.8241639425791008</v>
      </c>
      <c r="O61" s="504">
        <f>+'DCF 2S B'!P48</f>
        <v>1.8697680411435782</v>
      </c>
      <c r="P61" s="504">
        <f>+'DCF 2S B'!Q48</f>
        <v>45.750192724271876</v>
      </c>
    </row>
    <row r="62" spans="1:16">
      <c r="C62" s="12"/>
      <c r="D62" s="12"/>
      <c r="E62" s="6"/>
      <c r="G62" s="3"/>
      <c r="H62" s="11"/>
      <c r="I62" s="3"/>
      <c r="N62"/>
      <c r="O62"/>
    </row>
    <row r="63" spans="1:16">
      <c r="A63" s="5" t="s">
        <v>77</v>
      </c>
      <c r="C63" s="12"/>
      <c r="D63" s="12"/>
      <c r="E63" s="60">
        <f>AVERAGE(E53:E62)</f>
        <v>9.3741168089189711E-2</v>
      </c>
      <c r="G63" s="60">
        <f>AVERAGE(G53:G62)</f>
        <v>3.5640792009518467E-2</v>
      </c>
      <c r="H63" s="60">
        <f>AVERAGE(H53:H62)</f>
        <v>6.0000000000000005E-2</v>
      </c>
      <c r="I63" s="60">
        <f>AVERAGE(I53:I62)</f>
        <v>4.0000000000000008E-2</v>
      </c>
      <c r="N63"/>
      <c r="O63"/>
    </row>
    <row r="64" spans="1:16">
      <c r="A64" s="5" t="s">
        <v>43</v>
      </c>
      <c r="E64" s="60">
        <f>STDEV(E53:E62)</f>
        <v>1.5772750219563099E-2</v>
      </c>
      <c r="G64" s="6"/>
      <c r="H64" s="6"/>
      <c r="I64" s="6"/>
      <c r="N64"/>
      <c r="O64"/>
    </row>
    <row r="65" spans="1:15">
      <c r="A65" s="5" t="s">
        <v>21</v>
      </c>
      <c r="E65" s="60">
        <f>+MEDIAN(E53:E62)</f>
        <v>8.7348646073006117E-2</v>
      </c>
      <c r="G65" s="6"/>
      <c r="H65" s="6"/>
      <c r="I65" s="6"/>
      <c r="N65"/>
      <c r="O65"/>
    </row>
    <row r="66" spans="1:15">
      <c r="A66" s="5"/>
      <c r="E66" s="511"/>
      <c r="G66" s="6"/>
      <c r="J66" s="6"/>
      <c r="N66"/>
      <c r="O66"/>
    </row>
    <row r="67" spans="1:15" ht="15.75">
      <c r="A67" s="8" t="s">
        <v>42</v>
      </c>
      <c r="C67" s="9"/>
      <c r="D67" s="9"/>
      <c r="E67" s="517">
        <f>E63</f>
        <v>9.3741168089189711E-2</v>
      </c>
      <c r="F67" s="4" t="str">
        <f>+F30</f>
        <v xml:space="preserve">       30 Day Avg Stock Price</v>
      </c>
      <c r="G67" s="9"/>
      <c r="J67" s="318"/>
      <c r="K67" s="750"/>
      <c r="L67" s="750"/>
      <c r="M67" s="4"/>
      <c r="N67"/>
      <c r="O67"/>
    </row>
    <row r="68" spans="1:15">
      <c r="E68" s="511"/>
      <c r="F68" t="s">
        <v>328</v>
      </c>
      <c r="J68" s="95"/>
      <c r="N68"/>
      <c r="O68"/>
    </row>
    <row r="69" spans="1:15">
      <c r="A69" s="6" t="s">
        <v>251</v>
      </c>
      <c r="E69" s="476">
        <f>+E67-E64</f>
        <v>7.7968417869626605E-2</v>
      </c>
      <c r="J69" s="95"/>
      <c r="N69"/>
      <c r="O69"/>
    </row>
    <row r="70" spans="1:15">
      <c r="E70" s="476">
        <f>+E67+E64</f>
        <v>0.10951391830875282</v>
      </c>
      <c r="J70" s="95"/>
      <c r="N70"/>
      <c r="O70"/>
    </row>
    <row r="71" spans="1:15">
      <c r="L71" s="12"/>
      <c r="M71" s="12"/>
      <c r="N71"/>
      <c r="O71"/>
    </row>
    <row r="72" spans="1:15">
      <c r="B72" s="37" t="str">
        <f>+B35</f>
        <v>Note: dividend growth rates used for dividend forecasts, first year assumed 1/2 year rate;</v>
      </c>
    </row>
    <row r="73" spans="1:15">
      <c r="E73" t="str">
        <f>+E36</f>
        <v xml:space="preserve"> terminal value based upon  75% EPS and 25% Divd. weighted growth rate.</v>
      </c>
    </row>
    <row r="74" spans="1:15">
      <c r="E74" t="str">
        <f>+E37</f>
        <v xml:space="preserve">           Discounted using mid-year convention.</v>
      </c>
    </row>
  </sheetData>
  <mergeCells count="2">
    <mergeCell ref="K30:L30"/>
    <mergeCell ref="K67:L67"/>
  </mergeCells>
  <phoneticPr fontId="3" type="noConversion"/>
  <printOptions horizontalCentered="1"/>
  <pageMargins left="0.75" right="0.75" top="1" bottom="1" header="0.5" footer="0.5"/>
  <pageSetup scale="75" fitToHeight="3" orientation="landscape" r:id="rId1"/>
  <headerFooter alignWithMargins="0"/>
  <rowBreaks count="1" manualBreakCount="1">
    <brk id="3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3"/>
  <sheetViews>
    <sheetView view="pageBreakPreview" topLeftCell="N1" zoomScale="110" zoomScaleNormal="120" zoomScaleSheetLayoutView="110" workbookViewId="0">
      <selection activeCell="W40" sqref="W40"/>
    </sheetView>
  </sheetViews>
  <sheetFormatPr defaultRowHeight="12.75"/>
  <cols>
    <col min="2" max="2" width="23.5" customWidth="1"/>
    <col min="3" max="3" width="11.6640625" customWidth="1"/>
    <col min="4" max="4" width="14.6640625" customWidth="1"/>
    <col min="5" max="8" width="11.33203125" customWidth="1"/>
    <col min="9" max="10" width="9.33203125" customWidth="1"/>
    <col min="11" max="11" width="11.33203125" customWidth="1"/>
    <col min="12" max="12" width="5" customWidth="1"/>
    <col min="13" max="13" width="9.33203125" customWidth="1"/>
    <col min="14" max="14" width="23.5" customWidth="1"/>
    <col min="15" max="15" width="11.6640625" customWidth="1"/>
    <col min="16" max="16" width="14.6640625" customWidth="1"/>
    <col min="17" max="20" width="11.33203125" customWidth="1"/>
    <col min="21" max="22" width="9.33203125" customWidth="1"/>
    <col min="23" max="23" width="11.33203125" customWidth="1"/>
    <col min="24" max="26" width="5" customWidth="1"/>
    <col min="27" max="29" width="9.33203125" customWidth="1"/>
    <col min="30" max="30" width="10" customWidth="1"/>
    <col min="31" max="35" width="9.33203125" customWidth="1"/>
  </cols>
  <sheetData>
    <row r="1" spans="2:30" ht="15.75">
      <c r="L1" s="8" t="s">
        <v>288</v>
      </c>
      <c r="X1" s="8" t="s">
        <v>288</v>
      </c>
    </row>
    <row r="2" spans="2:30" ht="15.75">
      <c r="B2" s="79"/>
      <c r="H2" s="86"/>
      <c r="I2" s="86"/>
      <c r="J2" s="86"/>
      <c r="L2" s="8" t="s">
        <v>815</v>
      </c>
      <c r="N2" s="79"/>
      <c r="T2" s="86"/>
      <c r="U2" s="86"/>
      <c r="V2" s="86"/>
      <c r="X2" s="8" t="s">
        <v>817</v>
      </c>
    </row>
    <row r="3" spans="2:30" s="27" customFormat="1" ht="15.95" customHeight="1">
      <c r="B3" s="736" t="str">
        <f>Comps!B3</f>
        <v>Questar Gas Company</v>
      </c>
      <c r="C3" s="736"/>
      <c r="D3" s="736"/>
      <c r="E3" s="736"/>
      <c r="F3" s="736"/>
      <c r="G3" s="736"/>
      <c r="H3" s="736"/>
      <c r="I3" s="736"/>
      <c r="J3" s="736"/>
      <c r="K3" s="736"/>
      <c r="N3" s="736" t="str">
        <f>+B3</f>
        <v>Questar Gas Company</v>
      </c>
      <c r="O3" s="736"/>
      <c r="P3" s="736"/>
      <c r="Q3" s="736"/>
      <c r="R3" s="736"/>
      <c r="S3" s="736"/>
      <c r="T3" s="736"/>
      <c r="U3" s="736"/>
      <c r="V3" s="736"/>
      <c r="W3" s="736"/>
    </row>
    <row r="4" spans="2:30" s="27" customFormat="1" ht="15.95" customHeight="1">
      <c r="B4" s="737" t="s">
        <v>66</v>
      </c>
      <c r="C4" s="737"/>
      <c r="D4" s="737"/>
      <c r="E4" s="737"/>
      <c r="F4" s="737"/>
      <c r="G4" s="737"/>
      <c r="H4" s="737"/>
      <c r="I4" s="737"/>
      <c r="J4" s="737"/>
      <c r="K4" s="737"/>
      <c r="N4" s="737" t="s">
        <v>66</v>
      </c>
      <c r="O4" s="737"/>
      <c r="P4" s="737"/>
      <c r="Q4" s="737"/>
      <c r="R4" s="737"/>
      <c r="S4" s="737"/>
      <c r="T4" s="737"/>
      <c r="U4" s="737"/>
      <c r="V4" s="737"/>
      <c r="W4" s="737"/>
    </row>
    <row r="5" spans="2:30" s="27" customFormat="1" ht="15.95" customHeight="1">
      <c r="B5" s="754" t="s">
        <v>96</v>
      </c>
      <c r="C5" s="754"/>
      <c r="D5" s="754"/>
      <c r="E5" s="754"/>
      <c r="F5" s="754"/>
      <c r="G5" s="754"/>
      <c r="H5" s="754"/>
      <c r="I5" s="754"/>
      <c r="J5" s="754"/>
      <c r="K5" s="754"/>
      <c r="N5" s="754" t="s">
        <v>96</v>
      </c>
      <c r="O5" s="754"/>
      <c r="P5" s="754"/>
      <c r="Q5" s="754"/>
      <c r="R5" s="754"/>
      <c r="S5" s="754"/>
      <c r="T5" s="754"/>
      <c r="U5" s="754"/>
      <c r="V5" s="754"/>
      <c r="W5" s="754"/>
    </row>
    <row r="6" spans="2:30" s="27" customFormat="1" ht="15.95" customHeight="1">
      <c r="B6" s="755">
        <f>Comps!B5</f>
        <v>41634</v>
      </c>
      <c r="C6" s="755"/>
      <c r="D6" s="755"/>
      <c r="E6" s="755"/>
      <c r="F6" s="755"/>
      <c r="G6" s="755"/>
      <c r="H6" s="755"/>
      <c r="I6" s="755"/>
      <c r="J6" s="755"/>
      <c r="K6" s="755"/>
      <c r="N6" s="755">
        <f>+B6</f>
        <v>41634</v>
      </c>
      <c r="O6" s="755"/>
      <c r="P6" s="755"/>
      <c r="Q6" s="755"/>
      <c r="R6" s="755"/>
      <c r="S6" s="755"/>
      <c r="T6" s="755"/>
      <c r="U6" s="755"/>
      <c r="V6" s="755"/>
      <c r="W6" s="755"/>
    </row>
    <row r="7" spans="2:30" ht="12.75" customHeight="1">
      <c r="B7" s="1"/>
      <c r="C7" s="483"/>
      <c r="D7" s="483"/>
      <c r="E7" s="490"/>
      <c r="N7" s="1"/>
      <c r="O7" s="592"/>
      <c r="P7" s="592"/>
      <c r="Q7" s="490"/>
    </row>
    <row r="8" spans="2:30" ht="15.75">
      <c r="B8" s="4" t="s">
        <v>346</v>
      </c>
      <c r="G8" s="304" t="s">
        <v>225</v>
      </c>
      <c r="H8" s="304" t="s">
        <v>255</v>
      </c>
      <c r="I8" s="304"/>
      <c r="J8" s="304"/>
      <c r="N8" s="4" t="s">
        <v>346</v>
      </c>
      <c r="S8" s="595" t="s">
        <v>225</v>
      </c>
      <c r="T8" s="595" t="s">
        <v>255</v>
      </c>
      <c r="U8" s="595"/>
      <c r="V8" s="595"/>
    </row>
    <row r="9" spans="2:30">
      <c r="F9" s="485" t="s">
        <v>149</v>
      </c>
      <c r="G9" s="304" t="s">
        <v>255</v>
      </c>
      <c r="H9" s="304" t="s">
        <v>97</v>
      </c>
      <c r="I9" s="304"/>
      <c r="J9" s="304"/>
      <c r="R9" s="595" t="s">
        <v>149</v>
      </c>
      <c r="S9" s="595" t="s">
        <v>255</v>
      </c>
      <c r="T9" s="595" t="s">
        <v>97</v>
      </c>
      <c r="U9" s="595"/>
      <c r="V9" s="595"/>
    </row>
    <row r="10" spans="2:30">
      <c r="D10" s="498">
        <f>+AC113</f>
        <v>41635</v>
      </c>
      <c r="E10" s="304" t="s">
        <v>254</v>
      </c>
      <c r="F10" s="304" t="s">
        <v>226</v>
      </c>
      <c r="G10" s="304" t="s">
        <v>256</v>
      </c>
      <c r="H10" s="304" t="s">
        <v>226</v>
      </c>
      <c r="I10" s="304" t="s">
        <v>149</v>
      </c>
      <c r="J10" s="304" t="s">
        <v>259</v>
      </c>
      <c r="K10" s="304" t="s">
        <v>260</v>
      </c>
      <c r="L10" s="481"/>
      <c r="O10" s="595" t="s">
        <v>238</v>
      </c>
      <c r="P10" s="498">
        <f>+D10</f>
        <v>41635</v>
      </c>
      <c r="Q10" s="595" t="s">
        <v>254</v>
      </c>
      <c r="R10" s="595" t="s">
        <v>226</v>
      </c>
      <c r="S10" s="595" t="s">
        <v>256</v>
      </c>
      <c r="T10" s="595" t="s">
        <v>226</v>
      </c>
      <c r="U10" s="595" t="s">
        <v>149</v>
      </c>
      <c r="V10" s="595" t="s">
        <v>259</v>
      </c>
      <c r="W10" s="595" t="s">
        <v>260</v>
      </c>
      <c r="X10" s="595"/>
      <c r="Y10" s="595"/>
      <c r="Z10" s="595"/>
    </row>
    <row r="11" spans="2:30">
      <c r="C11" s="290" t="s">
        <v>228</v>
      </c>
      <c r="D11" s="497" t="s">
        <v>317</v>
      </c>
      <c r="E11" s="290" t="s">
        <v>253</v>
      </c>
      <c r="F11" s="290" t="s">
        <v>227</v>
      </c>
      <c r="G11" s="290" t="s">
        <v>224</v>
      </c>
      <c r="H11" s="290" t="s">
        <v>257</v>
      </c>
      <c r="I11" s="290" t="s">
        <v>258</v>
      </c>
      <c r="J11" s="290" t="s">
        <v>253</v>
      </c>
      <c r="K11" s="323" t="s">
        <v>261</v>
      </c>
      <c r="L11" s="504"/>
      <c r="O11" s="290" t="s">
        <v>98</v>
      </c>
      <c r="P11" s="497" t="s">
        <v>317</v>
      </c>
      <c r="Q11" s="290" t="s">
        <v>253</v>
      </c>
      <c r="R11" s="290" t="s">
        <v>227</v>
      </c>
      <c r="S11" s="290" t="s">
        <v>224</v>
      </c>
      <c r="T11" s="290" t="s">
        <v>257</v>
      </c>
      <c r="U11" s="290" t="s">
        <v>258</v>
      </c>
      <c r="V11" s="290" t="s">
        <v>253</v>
      </c>
      <c r="W11" s="482" t="s">
        <v>261</v>
      </c>
      <c r="X11" s="504"/>
      <c r="Y11" s="504"/>
      <c r="Z11" s="504"/>
    </row>
    <row r="12" spans="2:30">
      <c r="C12" s="79"/>
      <c r="D12" s="79"/>
      <c r="E12" s="79"/>
      <c r="F12" s="128"/>
      <c r="G12" s="79"/>
      <c r="H12" s="128"/>
      <c r="I12" s="79"/>
      <c r="J12" s="79"/>
      <c r="K12" s="128"/>
      <c r="O12" s="79"/>
      <c r="P12" s="79"/>
      <c r="Q12" s="79"/>
      <c r="R12" s="128"/>
      <c r="S12" s="79"/>
      <c r="T12" s="128"/>
      <c r="U12" s="79"/>
      <c r="V12" s="79"/>
      <c r="W12" s="128"/>
    </row>
    <row r="13" spans="2:30">
      <c r="B13" t="str">
        <f>+B125</f>
        <v>AGL Resources</v>
      </c>
      <c r="C13">
        <f>+'Beta Report'!B12</f>
        <v>0.75</v>
      </c>
      <c r="D13" s="6">
        <f>+AE117</f>
        <v>3.9399999999999998E-2</v>
      </c>
      <c r="E13" s="6">
        <v>6.7000000000000004E-2</v>
      </c>
      <c r="F13" s="6">
        <f>$D13+$C13*$E13</f>
        <v>8.9650000000000007E-2</v>
      </c>
      <c r="G13" s="95">
        <v>0</v>
      </c>
      <c r="H13" s="6">
        <f>+G13+F13</f>
        <v>8.9650000000000007E-2</v>
      </c>
      <c r="I13" s="102">
        <v>3</v>
      </c>
      <c r="J13" s="60">
        <v>9.1999999999999998E-3</v>
      </c>
      <c r="K13" s="128">
        <f>+H13+J13</f>
        <v>9.8850000000000007E-2</v>
      </c>
      <c r="L13" s="95"/>
      <c r="N13" t="str">
        <f>+B13</f>
        <v>AGL Resources</v>
      </c>
      <c r="O13">
        <f>+'Growth &amp; Beta'!H31</f>
        <v>0.43</v>
      </c>
      <c r="P13" s="6">
        <f>+D13</f>
        <v>3.9399999999999998E-2</v>
      </c>
      <c r="Q13" s="6">
        <v>6.7000000000000004E-2</v>
      </c>
      <c r="R13" s="6">
        <f>$P13+$O13*$Q13</f>
        <v>6.8209999999999993E-2</v>
      </c>
      <c r="S13" s="95">
        <v>0</v>
      </c>
      <c r="T13" s="6">
        <f>+S13+R13</f>
        <v>6.8209999999999993E-2</v>
      </c>
      <c r="U13" s="102">
        <v>3</v>
      </c>
      <c r="V13" s="60">
        <v>9.1999999999999998E-3</v>
      </c>
      <c r="W13" s="128">
        <f>+T13+V13</f>
        <v>7.7409999999999993E-2</v>
      </c>
      <c r="X13" s="95"/>
      <c r="Y13" s="95"/>
      <c r="Z13" s="95"/>
      <c r="AA13" s="6">
        <f>+F13+G13+J13</f>
        <v>9.8850000000000007E-2</v>
      </c>
      <c r="AB13" s="95"/>
      <c r="AC13" s="95"/>
      <c r="AD13" s="95">
        <f>+AC13+J13</f>
        <v>9.1999999999999998E-3</v>
      </c>
    </row>
    <row r="14" spans="2:30">
      <c r="B14" t="str">
        <f>+B126</f>
        <v>Atmos Energy</v>
      </c>
      <c r="C14">
        <f>+'Beta Report'!B13</f>
        <v>0.7</v>
      </c>
      <c r="D14" s="6">
        <f t="shared" ref="D14:D21" si="0">+D13</f>
        <v>3.9399999999999998E-2</v>
      </c>
      <c r="E14" s="6">
        <f t="shared" ref="E14:E21" si="1">+E13</f>
        <v>6.7000000000000004E-2</v>
      </c>
      <c r="F14" s="6">
        <f t="shared" ref="F14:F20" si="2">D14+$C14*E14</f>
        <v>8.6299999999999988E-2</v>
      </c>
      <c r="G14" s="95">
        <f t="shared" ref="G14:G21" si="3">+G13</f>
        <v>0</v>
      </c>
      <c r="H14" s="6">
        <f t="shared" ref="H14:H20" si="4">+G14+F14</f>
        <v>8.6299999999999988E-2</v>
      </c>
      <c r="I14" s="102">
        <v>4</v>
      </c>
      <c r="J14" s="60">
        <v>1.14E-2</v>
      </c>
      <c r="K14" s="128">
        <f t="shared" ref="K14:K21" si="5">+H14+J14</f>
        <v>9.7699999999999981E-2</v>
      </c>
      <c r="L14" s="95"/>
      <c r="N14" t="str">
        <f t="shared" ref="N14:N21" si="6">+B14</f>
        <v>Atmos Energy</v>
      </c>
      <c r="O14">
        <f>+'Growth &amp; Beta'!H32</f>
        <v>0.52666666666666673</v>
      </c>
      <c r="P14" s="6">
        <f t="shared" ref="P14:P21" si="7">+P13</f>
        <v>3.9399999999999998E-2</v>
      </c>
      <c r="Q14" s="6">
        <f t="shared" ref="Q14:Q21" si="8">+Q13</f>
        <v>6.7000000000000004E-2</v>
      </c>
      <c r="R14" s="6">
        <f t="shared" ref="R14:R21" si="9">$P14+$O14*$Q14</f>
        <v>7.4686666666666679E-2</v>
      </c>
      <c r="S14" s="95">
        <f t="shared" ref="S14:S21" si="10">+S13</f>
        <v>0</v>
      </c>
      <c r="T14" s="6">
        <f t="shared" ref="T14:T20" si="11">+S14+R14</f>
        <v>7.4686666666666679E-2</v>
      </c>
      <c r="U14" s="102">
        <v>4</v>
      </c>
      <c r="V14" s="60">
        <v>1.14E-2</v>
      </c>
      <c r="W14" s="128">
        <f t="shared" ref="W14:W20" si="12">+T14+V14</f>
        <v>8.6086666666666672E-2</v>
      </c>
      <c r="X14" s="95"/>
      <c r="Y14" s="95"/>
      <c r="Z14" s="95"/>
      <c r="AA14" s="6">
        <f t="shared" ref="AA14:AA21" si="13">+F14+G14+J14</f>
        <v>9.7699999999999981E-2</v>
      </c>
    </row>
    <row r="15" spans="2:30">
      <c r="B15" t="str">
        <f>+B127</f>
        <v>Laclede Group</v>
      </c>
      <c r="C15">
        <f>+'Beta Report'!B14</f>
        <v>0.6</v>
      </c>
      <c r="D15" s="6">
        <f t="shared" si="0"/>
        <v>3.9399999999999998E-2</v>
      </c>
      <c r="E15" s="6">
        <f t="shared" si="1"/>
        <v>6.7000000000000004E-2</v>
      </c>
      <c r="F15" s="6">
        <f t="shared" si="2"/>
        <v>7.9600000000000004E-2</v>
      </c>
      <c r="G15" s="95">
        <f t="shared" si="3"/>
        <v>0</v>
      </c>
      <c r="H15" s="6">
        <f t="shared" si="4"/>
        <v>7.9600000000000004E-2</v>
      </c>
      <c r="I15" s="479">
        <v>6</v>
      </c>
      <c r="J15" s="80">
        <v>1.72E-2</v>
      </c>
      <c r="K15" s="128">
        <f t="shared" si="5"/>
        <v>9.6799999999999997E-2</v>
      </c>
      <c r="L15" s="95"/>
      <c r="N15" t="str">
        <f t="shared" si="6"/>
        <v>Laclede Group</v>
      </c>
      <c r="O15">
        <f>+'Growth &amp; Beta'!H33</f>
        <v>0.26</v>
      </c>
      <c r="P15" s="6">
        <f t="shared" si="7"/>
        <v>3.9399999999999998E-2</v>
      </c>
      <c r="Q15" s="6">
        <f t="shared" si="8"/>
        <v>6.7000000000000004E-2</v>
      </c>
      <c r="R15" s="6">
        <f t="shared" si="9"/>
        <v>5.6819999999999996E-2</v>
      </c>
      <c r="S15" s="95">
        <f t="shared" si="10"/>
        <v>0</v>
      </c>
      <c r="T15" s="6">
        <f t="shared" si="11"/>
        <v>5.6819999999999996E-2</v>
      </c>
      <c r="U15" s="479">
        <v>6</v>
      </c>
      <c r="V15" s="80">
        <v>1.72E-2</v>
      </c>
      <c r="W15" s="128">
        <f t="shared" si="12"/>
        <v>7.4020000000000002E-2</v>
      </c>
      <c r="X15" s="95"/>
      <c r="Y15" s="95"/>
      <c r="Z15" s="95"/>
      <c r="AA15" s="6">
        <f t="shared" si="13"/>
        <v>9.6799999999999997E-2</v>
      </c>
    </row>
    <row r="16" spans="2:30">
      <c r="B16" t="s">
        <v>12</v>
      </c>
      <c r="C16">
        <f>+'Beta Report'!B15</f>
        <v>0.7</v>
      </c>
      <c r="D16" s="6">
        <f t="shared" si="0"/>
        <v>3.9399999999999998E-2</v>
      </c>
      <c r="E16" s="6">
        <f t="shared" si="1"/>
        <v>6.7000000000000004E-2</v>
      </c>
      <c r="F16" s="6">
        <f t="shared" ref="F16" si="14">D16+$C16*E16</f>
        <v>8.6299999999999988E-2</v>
      </c>
      <c r="G16" s="95">
        <f t="shared" si="3"/>
        <v>0</v>
      </c>
      <c r="H16" s="6">
        <f t="shared" ref="H16" si="15">+G16+F16</f>
        <v>8.6299999999999988E-2</v>
      </c>
      <c r="I16" s="479">
        <v>6</v>
      </c>
      <c r="J16" s="80">
        <v>1.72E-2</v>
      </c>
      <c r="K16" s="128">
        <f t="shared" si="5"/>
        <v>0.10349999999999998</v>
      </c>
      <c r="L16" s="95"/>
      <c r="N16" t="str">
        <f t="shared" si="6"/>
        <v>New Jersey Resources</v>
      </c>
      <c r="O16">
        <f>+'Growth &amp; Beta'!H34</f>
        <v>0.48333333333333334</v>
      </c>
      <c r="P16" s="6">
        <f t="shared" si="7"/>
        <v>3.9399999999999998E-2</v>
      </c>
      <c r="Q16" s="6">
        <f t="shared" si="8"/>
        <v>6.7000000000000004E-2</v>
      </c>
      <c r="R16" s="6">
        <f t="shared" si="9"/>
        <v>7.1783333333333338E-2</v>
      </c>
      <c r="S16" s="95">
        <f t="shared" si="10"/>
        <v>0</v>
      </c>
      <c r="T16" s="6">
        <f t="shared" ref="T16" si="16">+S16+R16</f>
        <v>7.1783333333333338E-2</v>
      </c>
      <c r="U16" s="479">
        <f>+I16</f>
        <v>6</v>
      </c>
      <c r="V16" s="80">
        <f>+J16</f>
        <v>1.72E-2</v>
      </c>
      <c r="W16" s="128">
        <f t="shared" si="12"/>
        <v>8.8983333333333331E-2</v>
      </c>
      <c r="X16" s="95"/>
      <c r="Y16" s="95"/>
      <c r="Z16" s="95"/>
      <c r="AA16" s="6"/>
    </row>
    <row r="17" spans="2:32">
      <c r="B17" s="79" t="str">
        <f t="shared" ref="B17:B20" si="17">+B128</f>
        <v>Northwest Nat. Gas</v>
      </c>
      <c r="C17" s="79">
        <f>+'Beta Report'!B16</f>
        <v>0.6</v>
      </c>
      <c r="D17" s="84">
        <f>+D15</f>
        <v>3.9399999999999998E-2</v>
      </c>
      <c r="E17" s="84">
        <f>+E15</f>
        <v>6.7000000000000004E-2</v>
      </c>
      <c r="F17" s="84">
        <f t="shared" si="2"/>
        <v>7.9600000000000004E-2</v>
      </c>
      <c r="G17" s="128">
        <f>+G15</f>
        <v>0</v>
      </c>
      <c r="H17" s="6">
        <f t="shared" si="4"/>
        <v>7.9600000000000004E-2</v>
      </c>
      <c r="I17" s="479">
        <v>7</v>
      </c>
      <c r="J17" s="80">
        <v>1.7299999999999999E-2</v>
      </c>
      <c r="K17" s="128">
        <f t="shared" si="5"/>
        <v>9.69E-2</v>
      </c>
      <c r="L17" s="128"/>
      <c r="N17" t="str">
        <f t="shared" si="6"/>
        <v>Northwest Nat. Gas</v>
      </c>
      <c r="O17">
        <f>+'Growth &amp; Beta'!H35</f>
        <v>0.31666666666666665</v>
      </c>
      <c r="P17" s="84">
        <f>+P15</f>
        <v>3.9399999999999998E-2</v>
      </c>
      <c r="Q17" s="84">
        <f>+Q15</f>
        <v>6.7000000000000004E-2</v>
      </c>
      <c r="R17" s="6">
        <f t="shared" si="9"/>
        <v>6.0616666666666666E-2</v>
      </c>
      <c r="S17" s="128">
        <f>+S15</f>
        <v>0</v>
      </c>
      <c r="T17" s="6">
        <f t="shared" si="11"/>
        <v>6.0616666666666666E-2</v>
      </c>
      <c r="U17" s="479">
        <v>7</v>
      </c>
      <c r="V17" s="80">
        <v>1.7299999999999999E-2</v>
      </c>
      <c r="W17" s="128">
        <f t="shared" si="12"/>
        <v>7.7916666666666662E-2</v>
      </c>
      <c r="X17" s="128"/>
      <c r="Y17" s="128"/>
      <c r="Z17" s="128"/>
      <c r="AA17" s="6">
        <f t="shared" si="13"/>
        <v>9.69E-2</v>
      </c>
    </row>
    <row r="18" spans="2:32">
      <c r="B18" s="79" t="str">
        <f t="shared" si="17"/>
        <v>Piedmont Natural Gas</v>
      </c>
      <c r="C18" s="79">
        <f>+'Beta Report'!B17</f>
        <v>0.7</v>
      </c>
      <c r="D18" s="84">
        <f t="shared" si="0"/>
        <v>3.9399999999999998E-2</v>
      </c>
      <c r="E18" s="84">
        <f t="shared" si="1"/>
        <v>6.7000000000000004E-2</v>
      </c>
      <c r="F18" s="84">
        <f t="shared" si="2"/>
        <v>8.6299999999999988E-2</v>
      </c>
      <c r="G18" s="128">
        <f t="shared" si="3"/>
        <v>0</v>
      </c>
      <c r="H18" s="6">
        <f t="shared" si="4"/>
        <v>8.6299999999999988E-2</v>
      </c>
      <c r="I18" s="479">
        <v>5</v>
      </c>
      <c r="J18" s="80">
        <v>1.7000000000000001E-2</v>
      </c>
      <c r="K18" s="128">
        <f t="shared" si="5"/>
        <v>0.10329999999999999</v>
      </c>
      <c r="L18" s="128"/>
      <c r="N18" t="str">
        <f t="shared" si="6"/>
        <v>Piedmont Natural Gas</v>
      </c>
      <c r="O18">
        <f>+'Growth &amp; Beta'!H36</f>
        <v>0.45999999999999996</v>
      </c>
      <c r="P18" s="84">
        <f t="shared" si="7"/>
        <v>3.9399999999999998E-2</v>
      </c>
      <c r="Q18" s="84">
        <f t="shared" si="8"/>
        <v>6.7000000000000004E-2</v>
      </c>
      <c r="R18" s="6">
        <f t="shared" si="9"/>
        <v>7.0220000000000005E-2</v>
      </c>
      <c r="S18" s="128">
        <f t="shared" si="10"/>
        <v>0</v>
      </c>
      <c r="T18" s="6">
        <f t="shared" si="11"/>
        <v>7.0220000000000005E-2</v>
      </c>
      <c r="U18" s="479">
        <v>5</v>
      </c>
      <c r="V18" s="80">
        <v>1.7000000000000001E-2</v>
      </c>
      <c r="W18" s="128">
        <f t="shared" si="12"/>
        <v>8.7220000000000006E-2</v>
      </c>
      <c r="X18" s="128"/>
      <c r="Y18" s="128"/>
      <c r="Z18" s="128"/>
      <c r="AA18" s="6">
        <f t="shared" si="13"/>
        <v>0.10329999999999999</v>
      </c>
      <c r="AB18" s="95"/>
      <c r="AE18" s="95">
        <f>+F23</f>
        <v>8.4811111111111101E-2</v>
      </c>
    </row>
    <row r="19" spans="2:32">
      <c r="B19" t="str">
        <f t="shared" si="17"/>
        <v>South Jersey Inds.</v>
      </c>
      <c r="C19">
        <f>+'Beta Report'!B18</f>
        <v>0.65</v>
      </c>
      <c r="D19" s="6">
        <f t="shared" si="0"/>
        <v>3.9399999999999998E-2</v>
      </c>
      <c r="E19" s="6">
        <f t="shared" si="1"/>
        <v>6.7000000000000004E-2</v>
      </c>
      <c r="F19" s="6">
        <f t="shared" si="2"/>
        <v>8.2949999999999996E-2</v>
      </c>
      <c r="G19" s="95">
        <f t="shared" si="3"/>
        <v>0</v>
      </c>
      <c r="H19" s="6">
        <f t="shared" si="4"/>
        <v>8.2949999999999996E-2</v>
      </c>
      <c r="I19" s="102">
        <v>6</v>
      </c>
      <c r="J19" s="60">
        <v>1.72E-2</v>
      </c>
      <c r="K19" s="128">
        <f t="shared" si="5"/>
        <v>0.10014999999999999</v>
      </c>
      <c r="L19" s="95"/>
      <c r="N19" t="str">
        <f t="shared" si="6"/>
        <v>South Jersey Inds.</v>
      </c>
      <c r="O19">
        <f>+'Growth &amp; Beta'!H37</f>
        <v>0.46666666666666662</v>
      </c>
      <c r="P19" s="6">
        <f t="shared" si="7"/>
        <v>3.9399999999999998E-2</v>
      </c>
      <c r="Q19" s="6">
        <f t="shared" si="8"/>
        <v>6.7000000000000004E-2</v>
      </c>
      <c r="R19" s="6">
        <f t="shared" si="9"/>
        <v>7.0666666666666655E-2</v>
      </c>
      <c r="S19" s="95">
        <f t="shared" si="10"/>
        <v>0</v>
      </c>
      <c r="T19" s="6">
        <f t="shared" si="11"/>
        <v>7.0666666666666655E-2</v>
      </c>
      <c r="U19" s="102">
        <v>6</v>
      </c>
      <c r="V19" s="60">
        <v>1.72E-2</v>
      </c>
      <c r="W19" s="128">
        <f t="shared" si="12"/>
        <v>8.7866666666666648E-2</v>
      </c>
      <c r="X19" s="95"/>
      <c r="Y19" s="95"/>
      <c r="Z19" s="95"/>
      <c r="AA19" s="6">
        <f t="shared" si="13"/>
        <v>0.10014999999999999</v>
      </c>
      <c r="AB19" s="95"/>
      <c r="AE19" s="95">
        <f>+F156</f>
        <v>4.8263888888888905E-2</v>
      </c>
      <c r="AF19" s="95">
        <f>(AE18+AE19)/2</f>
        <v>6.6537499999999999E-2</v>
      </c>
    </row>
    <row r="20" spans="2:32">
      <c r="B20" t="str">
        <f t="shared" si="17"/>
        <v>Southwest Gas</v>
      </c>
      <c r="C20" s="36">
        <f>+'Beta Report'!B19</f>
        <v>0.75</v>
      </c>
      <c r="D20" s="21">
        <f t="shared" si="0"/>
        <v>3.9399999999999998E-2</v>
      </c>
      <c r="E20" s="21">
        <f t="shared" si="1"/>
        <v>6.7000000000000004E-2</v>
      </c>
      <c r="F20" s="21">
        <f t="shared" si="2"/>
        <v>8.9650000000000007E-2</v>
      </c>
      <c r="G20" s="293">
        <f t="shared" si="3"/>
        <v>0</v>
      </c>
      <c r="H20" s="21">
        <f t="shared" si="4"/>
        <v>8.9650000000000007E-2</v>
      </c>
      <c r="I20" s="310">
        <v>5</v>
      </c>
      <c r="J20" s="66">
        <v>1.7000000000000001E-2</v>
      </c>
      <c r="K20" s="372">
        <f t="shared" si="5"/>
        <v>0.10665000000000001</v>
      </c>
      <c r="L20" s="95"/>
      <c r="N20" t="str">
        <f t="shared" si="6"/>
        <v>Southwest Gas</v>
      </c>
      <c r="O20" s="36">
        <f>+'Growth &amp; Beta'!H38</f>
        <v>0.69333333333333336</v>
      </c>
      <c r="P20" s="21">
        <f t="shared" si="7"/>
        <v>3.9399999999999998E-2</v>
      </c>
      <c r="Q20" s="21">
        <f t="shared" si="8"/>
        <v>6.7000000000000004E-2</v>
      </c>
      <c r="R20" s="21">
        <f t="shared" si="9"/>
        <v>8.5853333333333337E-2</v>
      </c>
      <c r="S20" s="293">
        <f t="shared" si="10"/>
        <v>0</v>
      </c>
      <c r="T20" s="21">
        <f t="shared" si="11"/>
        <v>8.5853333333333337E-2</v>
      </c>
      <c r="U20" s="310">
        <v>5</v>
      </c>
      <c r="V20" s="66">
        <v>1.7000000000000001E-2</v>
      </c>
      <c r="W20" s="372">
        <f t="shared" si="12"/>
        <v>0.10285333333333334</v>
      </c>
      <c r="X20" s="95"/>
      <c r="Y20" s="95"/>
      <c r="Z20" s="95"/>
      <c r="AA20" s="6">
        <f t="shared" si="13"/>
        <v>0.10665000000000001</v>
      </c>
      <c r="AB20" s="95"/>
    </row>
    <row r="21" spans="2:32">
      <c r="B21" t="s">
        <v>104</v>
      </c>
      <c r="C21">
        <f>+'Beta Report'!B20</f>
        <v>0.65</v>
      </c>
      <c r="D21" s="6">
        <f t="shared" si="0"/>
        <v>3.9399999999999998E-2</v>
      </c>
      <c r="E21" s="6">
        <f t="shared" si="1"/>
        <v>6.7000000000000004E-2</v>
      </c>
      <c r="F21" s="6">
        <f t="shared" ref="F21" si="18">D21+$C21*E21</f>
        <v>8.2949999999999996E-2</v>
      </c>
      <c r="G21" s="95">
        <f t="shared" si="3"/>
        <v>0</v>
      </c>
      <c r="H21" s="6">
        <f t="shared" ref="H21" si="19">+G21+F21</f>
        <v>8.2949999999999996E-2</v>
      </c>
      <c r="I21" s="310">
        <v>5</v>
      </c>
      <c r="J21" s="66">
        <v>1.7000000000000001E-2</v>
      </c>
      <c r="K21" s="372">
        <f t="shared" si="5"/>
        <v>9.9949999999999997E-2</v>
      </c>
      <c r="L21" s="95"/>
      <c r="N21" t="str">
        <f t="shared" si="6"/>
        <v>WGL Holdings</v>
      </c>
      <c r="O21">
        <f>+'Growth &amp; Beta'!H39</f>
        <v>0.43</v>
      </c>
      <c r="P21" s="6">
        <f t="shared" si="7"/>
        <v>3.9399999999999998E-2</v>
      </c>
      <c r="Q21" s="6">
        <f t="shared" si="8"/>
        <v>6.7000000000000004E-2</v>
      </c>
      <c r="R21" s="6">
        <f t="shared" si="9"/>
        <v>6.8209999999999993E-2</v>
      </c>
      <c r="S21" s="95">
        <f t="shared" si="10"/>
        <v>0</v>
      </c>
      <c r="T21" s="6">
        <f t="shared" ref="T21" si="20">+S21+R21</f>
        <v>6.8209999999999993E-2</v>
      </c>
      <c r="U21" s="479">
        <f>+I21</f>
        <v>5</v>
      </c>
      <c r="V21" s="80">
        <f>+J21</f>
        <v>1.7000000000000001E-2</v>
      </c>
      <c r="W21" s="128">
        <f t="shared" ref="W21" si="21">+T21+V21</f>
        <v>8.5209999999999994E-2</v>
      </c>
      <c r="X21" s="95"/>
      <c r="Y21" s="95"/>
      <c r="Z21" s="95"/>
      <c r="AA21" s="6">
        <f t="shared" si="13"/>
        <v>9.9949999999999997E-2</v>
      </c>
      <c r="AB21" s="95"/>
    </row>
    <row r="22" spans="2:32">
      <c r="D22" s="6"/>
      <c r="E22" s="6"/>
      <c r="F22" s="6"/>
      <c r="G22" s="95"/>
      <c r="H22" s="6"/>
      <c r="I22" s="310"/>
      <c r="P22" s="6"/>
      <c r="Q22" s="6"/>
      <c r="R22" s="6"/>
      <c r="S22" s="95"/>
      <c r="T22" s="6"/>
      <c r="U22" s="310"/>
      <c r="AA22" s="181"/>
    </row>
    <row r="23" spans="2:32" ht="14.25">
      <c r="B23" t="str">
        <f>+B133</f>
        <v>Average</v>
      </c>
      <c r="C23" s="278">
        <f>+'Beta Report'!B22</f>
        <v>0.67777777777777781</v>
      </c>
      <c r="D23" s="494">
        <f>+D20</f>
        <v>3.9399999999999998E-2</v>
      </c>
      <c r="E23" s="494">
        <f>+E20</f>
        <v>6.7000000000000004E-2</v>
      </c>
      <c r="F23" s="316">
        <f>AVERAGE(F13:F21)</f>
        <v>8.4811111111111101E-2</v>
      </c>
      <c r="G23" s="316">
        <f>+G20</f>
        <v>0</v>
      </c>
      <c r="H23" s="316">
        <f>AVERAGE(H13:H21)</f>
        <v>8.4811111111111101E-2</v>
      </c>
      <c r="I23" s="278"/>
      <c r="J23" s="495">
        <f>AVERAGE(J13:J21)</f>
        <v>1.5611111111111112E-2</v>
      </c>
      <c r="K23" s="316">
        <f>AVERAGE(K13:K21)</f>
        <v>0.10042222222222222</v>
      </c>
      <c r="L23" s="316"/>
      <c r="N23" s="278" t="str">
        <f>+B23</f>
        <v>Average</v>
      </c>
      <c r="O23" s="278">
        <f>AVERAGE(O13:O21)</f>
        <v>0.45185185185185184</v>
      </c>
      <c r="P23" s="494">
        <f>+P20</f>
        <v>3.9399999999999998E-2</v>
      </c>
      <c r="Q23" s="494">
        <f>+Q20</f>
        <v>6.7000000000000004E-2</v>
      </c>
      <c r="R23" s="316">
        <f>AVERAGE(R13:R21)</f>
        <v>6.9674074074074055E-2</v>
      </c>
      <c r="S23" s="316">
        <f>+S20</f>
        <v>0</v>
      </c>
      <c r="T23" s="316">
        <f>AVERAGE(T13:T21)</f>
        <v>6.9674074074074055E-2</v>
      </c>
      <c r="U23" s="278"/>
      <c r="V23" s="495">
        <f>AVERAGE(V13:V21)</f>
        <v>1.5611111111111112E-2</v>
      </c>
      <c r="W23" s="316">
        <f>AVERAGE(W13:W21)</f>
        <v>8.5285185185185186E-2</v>
      </c>
      <c r="X23" s="316"/>
      <c r="Y23" s="316"/>
      <c r="Z23" s="316"/>
      <c r="AA23" s="316">
        <f>AVERAGE(AA13:AA21)</f>
        <v>0.1000375</v>
      </c>
      <c r="AE23" s="95">
        <f>+F37</f>
        <v>7.1255555555555558E-2</v>
      </c>
    </row>
    <row r="24" spans="2:32">
      <c r="B24" t="s">
        <v>43</v>
      </c>
      <c r="D24" s="6"/>
      <c r="E24" s="6"/>
      <c r="F24" s="95">
        <f>STDEV(F13:F21)</f>
        <v>3.786800907244941E-3</v>
      </c>
      <c r="G24" s="95"/>
      <c r="H24" s="95">
        <f>STDEV(H13:H21)</f>
        <v>3.786800907244941E-3</v>
      </c>
      <c r="I24" s="95"/>
      <c r="J24" s="95"/>
      <c r="K24" s="95">
        <f>STDEV(K13:K21)</f>
        <v>3.3956876246858236E-3</v>
      </c>
      <c r="L24" s="95"/>
      <c r="N24" t="s">
        <v>43</v>
      </c>
      <c r="P24" s="6"/>
      <c r="Q24" s="6"/>
      <c r="R24" s="95">
        <f>STDEV(R13:R21)</f>
        <v>8.2475575134867453E-3</v>
      </c>
      <c r="S24" s="95"/>
      <c r="T24" s="95">
        <f>STDEV(T13:T21)</f>
        <v>8.2475575134867453E-3</v>
      </c>
      <c r="U24" s="95"/>
      <c r="V24" s="95"/>
      <c r="W24" s="95">
        <f>STDEV(W13:W21)</f>
        <v>8.489623913786222E-3</v>
      </c>
      <c r="X24" s="95"/>
      <c r="Y24" s="95"/>
      <c r="Z24" s="95"/>
      <c r="AA24" s="95"/>
      <c r="AE24" s="95"/>
    </row>
    <row r="25" spans="2:32">
      <c r="B25" t="str">
        <f>+B135</f>
        <v>Median</v>
      </c>
      <c r="C25">
        <f>MEDIAN(C13:C21)</f>
        <v>0.7</v>
      </c>
      <c r="D25" s="6"/>
      <c r="E25" s="6"/>
      <c r="F25" s="95">
        <f>MEDIAN(F13:F21)</f>
        <v>8.6299999999999988E-2</v>
      </c>
      <c r="G25" s="95"/>
      <c r="H25" s="95">
        <f>MEDIAN(H13:H21)</f>
        <v>8.6299999999999988E-2</v>
      </c>
      <c r="I25" s="95"/>
      <c r="J25" s="95"/>
      <c r="K25" s="95">
        <f>MEDIAN(K13:K21)</f>
        <v>9.9949999999999997E-2</v>
      </c>
      <c r="L25" s="95"/>
      <c r="N25" t="str">
        <f>+B25</f>
        <v>Median</v>
      </c>
      <c r="O25">
        <f>MEDIAN(O13:O21)</f>
        <v>0.45999999999999996</v>
      </c>
      <c r="P25" s="6"/>
      <c r="Q25" s="6"/>
      <c r="R25" s="95">
        <f>MEDIAN(R13:R21)</f>
        <v>7.0220000000000005E-2</v>
      </c>
      <c r="S25" s="95"/>
      <c r="T25" s="95">
        <f>MEDIAN(T13:T21)</f>
        <v>7.0220000000000005E-2</v>
      </c>
      <c r="U25" s="95"/>
      <c r="V25" s="95"/>
      <c r="W25" s="95">
        <f>MEDIAN(W13:W21)</f>
        <v>8.6086666666666672E-2</v>
      </c>
      <c r="X25" s="95"/>
      <c r="Y25" s="95"/>
      <c r="Z25" s="95"/>
      <c r="AE25" s="95">
        <f>+F38</f>
        <v>7.8033333333333343E-2</v>
      </c>
    </row>
    <row r="26" spans="2:32" hidden="1">
      <c r="AE26" s="95">
        <f>+F39</f>
        <v>6.7866666666666672E-2</v>
      </c>
      <c r="AF26" s="95"/>
    </row>
    <row r="27" spans="2:32" ht="15.75" hidden="1">
      <c r="F27" s="316">
        <f>+F23</f>
        <v>8.4811111111111101E-2</v>
      </c>
      <c r="H27" s="318">
        <f>+H23</f>
        <v>8.4811111111111101E-2</v>
      </c>
      <c r="K27" s="318">
        <f>+K23</f>
        <v>0.10042222222222222</v>
      </c>
      <c r="L27" s="318"/>
      <c r="R27" s="316">
        <f>+R23</f>
        <v>6.9674074074074055E-2</v>
      </c>
      <c r="T27" s="318">
        <f>+T23</f>
        <v>6.9674074074074055E-2</v>
      </c>
      <c r="W27" s="318">
        <f>+W23</f>
        <v>8.5285185185185186E-2</v>
      </c>
      <c r="X27" s="318"/>
      <c r="Y27" s="318"/>
      <c r="Z27" s="318"/>
      <c r="AE27" s="95"/>
      <c r="AF27" s="95"/>
    </row>
    <row r="28" spans="2:32" hidden="1">
      <c r="F28" s="95"/>
      <c r="K28" s="95"/>
      <c r="L28" s="95"/>
      <c r="R28" s="95"/>
      <c r="W28" s="95"/>
      <c r="X28" s="95"/>
      <c r="Y28" s="95"/>
      <c r="Z28" s="95"/>
      <c r="AE28" s="95"/>
      <c r="AF28" s="95"/>
    </row>
    <row r="29" spans="2:32">
      <c r="C29" s="6" t="s">
        <v>251</v>
      </c>
      <c r="F29" s="95">
        <f>+F27-F24</f>
        <v>8.1024310203866162E-2</v>
      </c>
      <c r="H29" s="95">
        <f>+H23-H24</f>
        <v>8.1024310203866162E-2</v>
      </c>
      <c r="I29" s="95"/>
      <c r="J29" s="95"/>
      <c r="K29" s="95">
        <f>+K23-K24</f>
        <v>9.7026534597536393E-2</v>
      </c>
      <c r="L29" s="95"/>
      <c r="O29" s="6" t="s">
        <v>251</v>
      </c>
      <c r="R29" s="95">
        <f>+R27-R24</f>
        <v>6.1426516560587313E-2</v>
      </c>
      <c r="T29" s="95">
        <f>+T23-T24</f>
        <v>6.1426516560587313E-2</v>
      </c>
      <c r="U29" s="95"/>
      <c r="V29" s="95"/>
      <c r="W29" s="95">
        <f>+W23-W24</f>
        <v>7.6795561271398971E-2</v>
      </c>
      <c r="X29" s="95"/>
      <c r="Y29" s="95"/>
      <c r="Z29" s="95"/>
      <c r="AE29" s="95"/>
      <c r="AF29" s="95"/>
    </row>
    <row r="30" spans="2:32">
      <c r="F30" s="95">
        <f>+F27+F24</f>
        <v>8.859791201835604E-2</v>
      </c>
      <c r="H30" s="95">
        <f>+H23+H24</f>
        <v>8.859791201835604E-2</v>
      </c>
      <c r="I30" s="95"/>
      <c r="J30" s="95"/>
      <c r="K30" s="95">
        <f>+K23+K24</f>
        <v>0.10381790984690804</v>
      </c>
      <c r="L30" s="95"/>
      <c r="R30" s="95">
        <f>+R27+R24</f>
        <v>7.7921631587560797E-2</v>
      </c>
      <c r="T30" s="95">
        <f>+T23+T24</f>
        <v>7.7921631587560797E-2</v>
      </c>
      <c r="U30" s="95"/>
      <c r="V30" s="95"/>
      <c r="W30" s="95">
        <f>+W23+W24</f>
        <v>9.3774809098971401E-2</v>
      </c>
      <c r="X30" s="95"/>
      <c r="Y30" s="95"/>
      <c r="Z30" s="95"/>
      <c r="AE30" s="95"/>
      <c r="AF30" s="95"/>
    </row>
    <row r="31" spans="2:32">
      <c r="F31" s="95"/>
      <c r="H31" s="95"/>
      <c r="I31" s="95"/>
      <c r="J31" s="95"/>
      <c r="K31" s="95"/>
      <c r="L31" s="95"/>
      <c r="R31" s="95"/>
      <c r="T31" s="95"/>
      <c r="U31" s="95"/>
      <c r="V31" s="95"/>
      <c r="W31" s="95"/>
      <c r="X31" s="95"/>
      <c r="Y31" s="95"/>
      <c r="Z31" s="95"/>
      <c r="AE31" s="95"/>
      <c r="AF31" s="95"/>
    </row>
    <row r="32" spans="2:32">
      <c r="B32" s="751" t="s">
        <v>652</v>
      </c>
      <c r="C32" s="752"/>
      <c r="D32" s="752"/>
      <c r="E32" s="752"/>
      <c r="F32" s="752"/>
      <c r="G32" s="752"/>
      <c r="H32" s="752"/>
      <c r="I32" s="752"/>
      <c r="J32" s="752"/>
      <c r="K32" s="753"/>
      <c r="L32" s="288"/>
      <c r="N32" s="751" t="s">
        <v>319</v>
      </c>
      <c r="O32" s="752"/>
      <c r="P32" s="752"/>
      <c r="Q32" s="752"/>
      <c r="R32" s="752"/>
      <c r="S32" s="752"/>
      <c r="T32" s="752"/>
      <c r="U32" s="752"/>
      <c r="V32" s="752"/>
      <c r="W32" s="753"/>
      <c r="X32" s="288"/>
      <c r="Y32" s="288"/>
      <c r="Z32" s="288"/>
      <c r="AE32" s="95" t="e">
        <f>+#REF!</f>
        <v>#REF!</v>
      </c>
      <c r="AF32" s="6" t="e">
        <f>(#REF!+AE32+AE35)/3</f>
        <v>#REF!</v>
      </c>
    </row>
    <row r="33" spans="1:32">
      <c r="B33" s="666"/>
      <c r="C33" s="670" t="s">
        <v>38</v>
      </c>
      <c r="D33" s="672">
        <f t="shared" ref="D33:F34" si="22">+D10</f>
        <v>41635</v>
      </c>
      <c r="E33" s="670" t="str">
        <f t="shared" si="22"/>
        <v>Risk</v>
      </c>
      <c r="F33" s="670" t="str">
        <f t="shared" si="22"/>
        <v>Expected</v>
      </c>
      <c r="G33" s="670" t="str">
        <f>+G9</f>
        <v>Industry</v>
      </c>
      <c r="H33" s="670" t="str">
        <f>+H8</f>
        <v>Industry</v>
      </c>
      <c r="I33" s="667"/>
      <c r="J33" s="324" t="s">
        <v>262</v>
      </c>
      <c r="K33" s="325" t="str">
        <f>+K10</f>
        <v xml:space="preserve">Investor </v>
      </c>
      <c r="L33" s="288"/>
      <c r="N33" s="666"/>
      <c r="O33" s="670" t="str">
        <f>+C33</f>
        <v>Average</v>
      </c>
      <c r="P33" s="670">
        <f t="shared" ref="P33:T34" si="23">+D33</f>
        <v>41635</v>
      </c>
      <c r="Q33" s="670" t="str">
        <f t="shared" si="23"/>
        <v>Risk</v>
      </c>
      <c r="R33" s="670" t="str">
        <f t="shared" si="23"/>
        <v>Expected</v>
      </c>
      <c r="S33" s="670" t="str">
        <f t="shared" si="23"/>
        <v>Industry</v>
      </c>
      <c r="T33" s="670" t="str">
        <f t="shared" si="23"/>
        <v>Industry</v>
      </c>
      <c r="U33" s="36"/>
      <c r="V33" s="670" t="str">
        <f>+J33</f>
        <v>Avg Size</v>
      </c>
      <c r="W33" s="670" t="str">
        <f>+K33</f>
        <v xml:space="preserve">Investor </v>
      </c>
      <c r="X33" s="288"/>
      <c r="Y33" s="288"/>
      <c r="Z33" s="288"/>
      <c r="AE33" s="95"/>
      <c r="AF33" s="6"/>
    </row>
    <row r="34" spans="1:32">
      <c r="B34" s="644"/>
      <c r="C34" s="671" t="str">
        <f>+C11</f>
        <v>VL Beta</v>
      </c>
      <c r="D34" s="671" t="str">
        <f t="shared" si="22"/>
        <v>30 Yr Treasury</v>
      </c>
      <c r="E34" s="671" t="str">
        <f t="shared" si="22"/>
        <v>Premium</v>
      </c>
      <c r="F34" s="671" t="str">
        <f t="shared" si="22"/>
        <v>Return</v>
      </c>
      <c r="G34" s="671" t="str">
        <f>+G10</f>
        <v>Premia</v>
      </c>
      <c r="H34" s="671" t="str">
        <f>+H11</f>
        <v>Returns</v>
      </c>
      <c r="I34" s="505"/>
      <c r="J34" s="290" t="str">
        <f>+J11</f>
        <v>Premium</v>
      </c>
      <c r="K34" s="156" t="str">
        <f>+K11</f>
        <v>Expectation</v>
      </c>
      <c r="L34" s="288"/>
      <c r="N34" s="644"/>
      <c r="O34" s="671" t="str">
        <f>+C34</f>
        <v>VL Beta</v>
      </c>
      <c r="P34" s="671" t="str">
        <f t="shared" si="23"/>
        <v>30 Yr Treasury</v>
      </c>
      <c r="Q34" s="671" t="str">
        <f t="shared" si="23"/>
        <v>Premium</v>
      </c>
      <c r="R34" s="671" t="str">
        <f t="shared" si="23"/>
        <v>Return</v>
      </c>
      <c r="S34" s="671" t="str">
        <f t="shared" si="23"/>
        <v>Premia</v>
      </c>
      <c r="T34" s="671" t="str">
        <f t="shared" si="23"/>
        <v>Returns</v>
      </c>
      <c r="U34" s="303"/>
      <c r="V34" s="671" t="str">
        <f>+J34</f>
        <v>Premium</v>
      </c>
      <c r="W34" s="671" t="str">
        <f>+K34</f>
        <v>Expectation</v>
      </c>
      <c r="X34" s="288"/>
      <c r="Y34" s="288"/>
      <c r="Z34" s="288"/>
      <c r="AE34" s="95"/>
      <c r="AF34" s="6"/>
    </row>
    <row r="35" spans="1:32" hidden="1">
      <c r="B35" s="328"/>
      <c r="C35" s="329"/>
      <c r="D35" s="3"/>
      <c r="E35" s="3"/>
      <c r="F35" s="3"/>
      <c r="G35" s="3"/>
      <c r="H35" s="3"/>
      <c r="I35" s="3"/>
      <c r="J35" s="3"/>
      <c r="K35" s="202"/>
      <c r="L35" s="36"/>
      <c r="N35" s="328"/>
      <c r="O35" s="329"/>
      <c r="P35" s="3"/>
      <c r="Q35" s="3"/>
      <c r="R35" s="3"/>
      <c r="S35" s="3"/>
      <c r="T35" s="3"/>
      <c r="U35" s="3"/>
      <c r="V35" s="3"/>
      <c r="W35" s="202"/>
      <c r="X35" s="36"/>
      <c r="Y35" s="36"/>
      <c r="Z35" s="36"/>
      <c r="AE35" s="95" t="e">
        <f>+#REF!</f>
        <v>#REF!</v>
      </c>
    </row>
    <row r="36" spans="1:32">
      <c r="B36" s="300" t="s">
        <v>318</v>
      </c>
      <c r="C36" s="36">
        <f>+C104</f>
        <v>0.67777777777777781</v>
      </c>
      <c r="D36" s="293">
        <f>+D13</f>
        <v>3.9399999999999998E-2</v>
      </c>
      <c r="E36" s="507">
        <v>1.6E-2</v>
      </c>
      <c r="F36" s="21">
        <f>D36+C36*E36</f>
        <v>5.0244444444444439E-2</v>
      </c>
      <c r="G36" s="293">
        <f>+G23</f>
        <v>0</v>
      </c>
      <c r="H36" s="21">
        <f t="shared" ref="H36:H41" si="24">+G36+F36</f>
        <v>5.0244444444444439E-2</v>
      </c>
      <c r="I36" s="21"/>
      <c r="J36" s="21">
        <f>+J23</f>
        <v>1.5611111111111112E-2</v>
      </c>
      <c r="K36" s="371">
        <f t="shared" ref="K36:K41" si="25">+H36+J36</f>
        <v>6.5855555555555556E-2</v>
      </c>
      <c r="L36" s="293"/>
      <c r="N36" s="300" t="s">
        <v>318</v>
      </c>
      <c r="O36" s="36">
        <f>+O104</f>
        <v>0.45185185185185184</v>
      </c>
      <c r="P36" s="293">
        <f>+P13</f>
        <v>3.9399999999999998E-2</v>
      </c>
      <c r="Q36" s="507">
        <v>1.6E-2</v>
      </c>
      <c r="R36" s="21">
        <f t="shared" ref="R36:R41" si="26">P36+O36*Q36</f>
        <v>4.6629629629629625E-2</v>
      </c>
      <c r="S36" s="293">
        <f>+S23</f>
        <v>0</v>
      </c>
      <c r="T36" s="21">
        <f t="shared" ref="T36:T41" si="27">+S36+R36</f>
        <v>4.6629629629629625E-2</v>
      </c>
      <c r="U36" s="21"/>
      <c r="V36" s="21">
        <f>+V23</f>
        <v>1.5611111111111112E-2</v>
      </c>
      <c r="W36" s="371">
        <f t="shared" ref="W36:W41" si="28">+T36+V36</f>
        <v>6.2240740740740735E-2</v>
      </c>
      <c r="X36" s="293"/>
      <c r="Y36" s="293"/>
      <c r="Z36" s="293"/>
      <c r="AE36" s="95"/>
    </row>
    <row r="37" spans="1:32">
      <c r="B37" s="300" t="s">
        <v>249</v>
      </c>
      <c r="C37" s="36">
        <f t="shared" ref="C37:D40" si="29">+C36</f>
        <v>0.67777777777777781</v>
      </c>
      <c r="D37" s="293">
        <f t="shared" si="29"/>
        <v>3.9399999999999998E-2</v>
      </c>
      <c r="E37" s="496">
        <v>4.7E-2</v>
      </c>
      <c r="F37" s="21">
        <f>D37+C37*E37</f>
        <v>7.1255555555555558E-2</v>
      </c>
      <c r="G37" s="293">
        <f>+G36</f>
        <v>0</v>
      </c>
      <c r="H37" s="21">
        <f t="shared" si="24"/>
        <v>7.1255555555555558E-2</v>
      </c>
      <c r="I37" s="21"/>
      <c r="J37" s="21">
        <f>+J36</f>
        <v>1.5611111111111112E-2</v>
      </c>
      <c r="K37" s="371">
        <f t="shared" si="25"/>
        <v>8.6866666666666675E-2</v>
      </c>
      <c r="L37" s="293"/>
      <c r="N37" s="300" t="s">
        <v>249</v>
      </c>
      <c r="O37" s="36">
        <f t="shared" ref="O37:P39" si="30">+O36</f>
        <v>0.45185185185185184</v>
      </c>
      <c r="P37" s="293">
        <f t="shared" si="30"/>
        <v>3.9399999999999998E-2</v>
      </c>
      <c r="Q37" s="496">
        <v>4.7E-2</v>
      </c>
      <c r="R37" s="21">
        <f t="shared" si="26"/>
        <v>6.0637037037037031E-2</v>
      </c>
      <c r="S37" s="293">
        <f>+S36</f>
        <v>0</v>
      </c>
      <c r="T37" s="21">
        <f t="shared" si="27"/>
        <v>6.0637037037037031E-2</v>
      </c>
      <c r="U37" s="21"/>
      <c r="V37" s="21">
        <f>+V36</f>
        <v>1.5611111111111112E-2</v>
      </c>
      <c r="W37" s="371">
        <f t="shared" si="28"/>
        <v>7.6248148148148148E-2</v>
      </c>
      <c r="X37" s="293"/>
      <c r="Y37" s="293"/>
      <c r="Z37" s="293"/>
      <c r="AE37" s="95"/>
    </row>
    <row r="38" spans="1:32">
      <c r="B38" s="300" t="s">
        <v>247</v>
      </c>
      <c r="C38" s="36">
        <f t="shared" si="29"/>
        <v>0.67777777777777781</v>
      </c>
      <c r="D38" s="293">
        <f t="shared" si="29"/>
        <v>3.9399999999999998E-2</v>
      </c>
      <c r="E38" s="496">
        <v>5.7000000000000002E-2</v>
      </c>
      <c r="F38" s="21">
        <f>D38+C38*E38</f>
        <v>7.8033333333333343E-2</v>
      </c>
      <c r="G38" s="293">
        <f>+G37</f>
        <v>0</v>
      </c>
      <c r="H38" s="21">
        <f t="shared" si="24"/>
        <v>7.8033333333333343E-2</v>
      </c>
      <c r="I38" s="21"/>
      <c r="J38" s="21">
        <f>+J37</f>
        <v>1.5611111111111112E-2</v>
      </c>
      <c r="K38" s="371">
        <f t="shared" si="25"/>
        <v>9.3644444444444461E-2</v>
      </c>
      <c r="L38" s="293"/>
      <c r="N38" s="300" t="s">
        <v>247</v>
      </c>
      <c r="O38" s="36">
        <f t="shared" si="30"/>
        <v>0.45185185185185184</v>
      </c>
      <c r="P38" s="293">
        <f t="shared" si="30"/>
        <v>3.9399999999999998E-2</v>
      </c>
      <c r="Q38" s="496">
        <v>5.7000000000000002E-2</v>
      </c>
      <c r="R38" s="21">
        <f t="shared" si="26"/>
        <v>6.515555555555555E-2</v>
      </c>
      <c r="S38" s="293">
        <f>+S37</f>
        <v>0</v>
      </c>
      <c r="T38" s="21">
        <f t="shared" si="27"/>
        <v>6.515555555555555E-2</v>
      </c>
      <c r="U38" s="21"/>
      <c r="V38" s="21">
        <f>+V37</f>
        <v>1.5611111111111112E-2</v>
      </c>
      <c r="W38" s="371">
        <f t="shared" si="28"/>
        <v>8.0766666666666667E-2</v>
      </c>
      <c r="X38" s="293"/>
      <c r="Y38" s="293"/>
      <c r="Z38" s="293"/>
      <c r="AE38" s="95"/>
    </row>
    <row r="39" spans="1:32">
      <c r="B39" s="300" t="s">
        <v>250</v>
      </c>
      <c r="C39" s="36">
        <f t="shared" si="29"/>
        <v>0.67777777777777781</v>
      </c>
      <c r="D39" s="293">
        <f t="shared" si="29"/>
        <v>3.9399999999999998E-2</v>
      </c>
      <c r="E39" s="496">
        <v>4.2000000000000003E-2</v>
      </c>
      <c r="F39" s="21">
        <f>D39+C39*E39</f>
        <v>6.7866666666666672E-2</v>
      </c>
      <c r="G39" s="293">
        <f>+G38</f>
        <v>0</v>
      </c>
      <c r="H39" s="21">
        <f t="shared" si="24"/>
        <v>6.7866666666666672E-2</v>
      </c>
      <c r="I39" s="21"/>
      <c r="J39" s="21">
        <f>+J38</f>
        <v>1.5611111111111112E-2</v>
      </c>
      <c r="K39" s="371">
        <f t="shared" si="25"/>
        <v>8.347777777777779E-2</v>
      </c>
      <c r="L39" s="293"/>
      <c r="N39" s="300" t="s">
        <v>250</v>
      </c>
      <c r="O39" s="36">
        <f t="shared" si="30"/>
        <v>0.45185185185185184</v>
      </c>
      <c r="P39" s="293">
        <f t="shared" si="30"/>
        <v>3.9399999999999998E-2</v>
      </c>
      <c r="Q39" s="496">
        <v>4.2000000000000003E-2</v>
      </c>
      <c r="R39" s="21">
        <f t="shared" si="26"/>
        <v>5.8377777777777778E-2</v>
      </c>
      <c r="S39" s="293">
        <f>+S38</f>
        <v>0</v>
      </c>
      <c r="T39" s="21">
        <f t="shared" si="27"/>
        <v>5.8377777777777778E-2</v>
      </c>
      <c r="U39" s="21"/>
      <c r="V39" s="21">
        <f>+V38</f>
        <v>1.5611111111111112E-2</v>
      </c>
      <c r="W39" s="371">
        <f t="shared" si="28"/>
        <v>7.3988888888888896E-2</v>
      </c>
      <c r="X39" s="293"/>
      <c r="Y39" s="293"/>
      <c r="Z39" s="293"/>
    </row>
    <row r="40" spans="1:32">
      <c r="B40" s="499" t="s">
        <v>248</v>
      </c>
      <c r="C40" s="500">
        <f t="shared" si="29"/>
        <v>0.67777777777777781</v>
      </c>
      <c r="D40" s="319">
        <f t="shared" si="29"/>
        <v>3.9399999999999998E-2</v>
      </c>
      <c r="E40" s="319">
        <v>4.4999999999999998E-2</v>
      </c>
      <c r="F40" s="518">
        <f>D40+$C40*E40</f>
        <v>6.989999999999999E-2</v>
      </c>
      <c r="G40" s="319">
        <f>+G39</f>
        <v>0</v>
      </c>
      <c r="H40" s="67">
        <f t="shared" si="24"/>
        <v>6.989999999999999E-2</v>
      </c>
      <c r="I40" s="67"/>
      <c r="J40" s="67">
        <f>+J39</f>
        <v>1.5611111111111112E-2</v>
      </c>
      <c r="K40" s="509">
        <f t="shared" si="25"/>
        <v>8.5511111111111107E-2</v>
      </c>
      <c r="L40" s="293"/>
      <c r="N40" s="499" t="s">
        <v>248</v>
      </c>
      <c r="O40" s="500">
        <f>+O39</f>
        <v>0.45185185185185184</v>
      </c>
      <c r="P40" s="319">
        <f>+P39</f>
        <v>3.9399999999999998E-2</v>
      </c>
      <c r="Q40" s="319">
        <v>4.4999999999999998E-2</v>
      </c>
      <c r="R40" s="67">
        <f t="shared" si="26"/>
        <v>5.9733333333333333E-2</v>
      </c>
      <c r="S40" s="319">
        <f>+S39</f>
        <v>0</v>
      </c>
      <c r="T40" s="67">
        <f t="shared" si="27"/>
        <v>5.9733333333333333E-2</v>
      </c>
      <c r="U40" s="67"/>
      <c r="V40" s="67">
        <f>+V39</f>
        <v>1.5611111111111112E-2</v>
      </c>
      <c r="W40" s="509">
        <f t="shared" si="28"/>
        <v>7.534444444444445E-2</v>
      </c>
      <c r="X40" s="293"/>
      <c r="Y40" s="293"/>
      <c r="Z40" s="293"/>
    </row>
    <row r="41" spans="1:32">
      <c r="B41" s="301" t="s">
        <v>347</v>
      </c>
      <c r="C41" s="505">
        <f>+C39</f>
        <v>0.67777777777777781</v>
      </c>
      <c r="D41" s="502">
        <f>+D39</f>
        <v>3.9399999999999998E-2</v>
      </c>
      <c r="E41" s="502">
        <v>6.7000000000000004E-2</v>
      </c>
      <c r="F41" s="506">
        <f>D41+C41*E41</f>
        <v>8.4811111111111115E-2</v>
      </c>
      <c r="G41" s="502">
        <f>+G39</f>
        <v>0</v>
      </c>
      <c r="H41" s="317">
        <f t="shared" si="24"/>
        <v>8.4811111111111115E-2</v>
      </c>
      <c r="I41" s="506"/>
      <c r="J41" s="506">
        <f>+J39</f>
        <v>1.5611111111111112E-2</v>
      </c>
      <c r="K41" s="510">
        <f t="shared" si="25"/>
        <v>0.10042222222222223</v>
      </c>
      <c r="L41" s="319"/>
      <c r="N41" s="301" t="s">
        <v>347</v>
      </c>
      <c r="O41" s="505">
        <f>+O39</f>
        <v>0.45185185185185184</v>
      </c>
      <c r="P41" s="502">
        <f>+P39</f>
        <v>3.9399999999999998E-2</v>
      </c>
      <c r="Q41" s="502">
        <v>6.7000000000000004E-2</v>
      </c>
      <c r="R41" s="506">
        <f t="shared" si="26"/>
        <v>6.9674074074074069E-2</v>
      </c>
      <c r="S41" s="502">
        <f>+S39</f>
        <v>0</v>
      </c>
      <c r="T41" s="317">
        <f t="shared" si="27"/>
        <v>6.9674074074074069E-2</v>
      </c>
      <c r="U41" s="506"/>
      <c r="V41" s="506">
        <f>+V39</f>
        <v>1.5611111111111112E-2</v>
      </c>
      <c r="W41" s="510">
        <f t="shared" si="28"/>
        <v>8.5285185185185186E-2</v>
      </c>
      <c r="X41" s="319"/>
      <c r="Y41" s="319"/>
      <c r="Z41" s="319"/>
    </row>
    <row r="42" spans="1:32" ht="15.75">
      <c r="K42" s="95"/>
      <c r="L42" s="8" t="s">
        <v>288</v>
      </c>
      <c r="W42" s="95"/>
      <c r="X42" s="8" t="s">
        <v>288</v>
      </c>
      <c r="Y42" s="95"/>
      <c r="Z42" s="95"/>
      <c r="AA42" s="95"/>
    </row>
    <row r="43" spans="1:32" ht="15.75">
      <c r="H43" s="86"/>
      <c r="I43" s="86"/>
      <c r="J43" s="86"/>
      <c r="K43" s="372"/>
      <c r="L43" s="8" t="s">
        <v>816</v>
      </c>
      <c r="T43" s="86"/>
      <c r="U43" s="86"/>
      <c r="V43" s="86"/>
      <c r="W43" s="372"/>
      <c r="X43" s="8" t="s">
        <v>818</v>
      </c>
      <c r="Y43" s="372"/>
      <c r="Z43" s="372"/>
      <c r="AA43" s="95"/>
    </row>
    <row r="44" spans="1:32" ht="18.75" hidden="1">
      <c r="A44" s="27"/>
      <c r="B44" s="736" t="str">
        <f>+B3</f>
        <v>Questar Gas Company</v>
      </c>
      <c r="C44" s="736"/>
      <c r="D44" s="736"/>
      <c r="E44" s="736"/>
      <c r="F44" s="736"/>
      <c r="G44" s="736"/>
      <c r="H44" s="736"/>
      <c r="I44" s="736"/>
      <c r="J44" s="736"/>
      <c r="K44" s="736"/>
      <c r="L44" s="27"/>
      <c r="M44" s="27"/>
      <c r="N44" s="736" t="str">
        <f>+B44</f>
        <v>Questar Gas Company</v>
      </c>
      <c r="O44" s="736"/>
      <c r="P44" s="736"/>
      <c r="Q44" s="736"/>
      <c r="R44" s="736"/>
      <c r="S44" s="736"/>
      <c r="T44" s="736"/>
      <c r="U44" s="736"/>
      <c r="V44" s="736"/>
      <c r="W44" s="736"/>
      <c r="X44" s="27"/>
      <c r="Y44" s="27"/>
      <c r="Z44" s="27"/>
      <c r="AA44" s="95"/>
    </row>
    <row r="45" spans="1:32" ht="18.75" hidden="1">
      <c r="A45" s="27"/>
      <c r="B45" s="737" t="s">
        <v>66</v>
      </c>
      <c r="C45" s="737"/>
      <c r="D45" s="737"/>
      <c r="E45" s="737"/>
      <c r="F45" s="737"/>
      <c r="G45" s="737"/>
      <c r="H45" s="737"/>
      <c r="I45" s="737"/>
      <c r="J45" s="737"/>
      <c r="K45" s="737"/>
      <c r="L45" s="27"/>
      <c r="M45" s="27"/>
      <c r="N45" s="737" t="s">
        <v>66</v>
      </c>
      <c r="O45" s="737"/>
      <c r="P45" s="737"/>
      <c r="Q45" s="737"/>
      <c r="R45" s="737"/>
      <c r="S45" s="737"/>
      <c r="T45" s="737"/>
      <c r="U45" s="737"/>
      <c r="V45" s="737"/>
      <c r="W45" s="737"/>
      <c r="X45" s="27"/>
      <c r="Y45" s="27"/>
      <c r="Z45" s="27"/>
      <c r="AA45" s="95"/>
    </row>
    <row r="46" spans="1:32" ht="18.75" hidden="1">
      <c r="A46" s="27"/>
      <c r="B46" s="754" t="s">
        <v>96</v>
      </c>
      <c r="C46" s="754"/>
      <c r="D46" s="754"/>
      <c r="E46" s="754"/>
      <c r="F46" s="754"/>
      <c r="G46" s="754"/>
      <c r="H46" s="754"/>
      <c r="I46" s="754"/>
      <c r="J46" s="754"/>
      <c r="K46" s="754"/>
      <c r="L46" s="27"/>
      <c r="M46" s="27"/>
      <c r="N46" s="754" t="s">
        <v>96</v>
      </c>
      <c r="O46" s="754"/>
      <c r="P46" s="754"/>
      <c r="Q46" s="754"/>
      <c r="R46" s="754"/>
      <c r="S46" s="754"/>
      <c r="T46" s="754"/>
      <c r="U46" s="754"/>
      <c r="V46" s="754"/>
      <c r="W46" s="754"/>
      <c r="X46" s="27"/>
      <c r="Y46" s="27"/>
      <c r="Z46" s="27"/>
      <c r="AA46" s="95"/>
    </row>
    <row r="47" spans="1:32" ht="18.75" hidden="1">
      <c r="A47" s="27"/>
      <c r="B47" s="755">
        <f>+B6</f>
        <v>41634</v>
      </c>
      <c r="C47" s="755"/>
      <c r="D47" s="755"/>
      <c r="E47" s="755"/>
      <c r="F47" s="755"/>
      <c r="G47" s="755"/>
      <c r="H47" s="755"/>
      <c r="I47" s="755"/>
      <c r="J47" s="755"/>
      <c r="K47" s="755"/>
      <c r="L47" s="27"/>
      <c r="M47" s="27"/>
      <c r="N47" s="755">
        <f>+B47</f>
        <v>41634</v>
      </c>
      <c r="O47" s="755"/>
      <c r="P47" s="755"/>
      <c r="Q47" s="755"/>
      <c r="R47" s="755"/>
      <c r="S47" s="755"/>
      <c r="T47" s="755"/>
      <c r="U47" s="755"/>
      <c r="V47" s="755"/>
      <c r="W47" s="755"/>
      <c r="X47" s="27"/>
      <c r="Y47" s="27"/>
      <c r="Z47" s="27"/>
      <c r="AA47" s="95"/>
    </row>
    <row r="48" spans="1:32" ht="18.75" hidden="1">
      <c r="B48" s="1"/>
      <c r="C48" s="232"/>
      <c r="D48" s="232"/>
      <c r="E48" s="29"/>
      <c r="N48" s="1"/>
      <c r="O48" s="592"/>
      <c r="P48" s="592"/>
      <c r="Q48" s="29"/>
      <c r="AA48" s="95"/>
    </row>
    <row r="49" spans="2:29" ht="15.75" hidden="1">
      <c r="B49" s="4" t="str">
        <f>+B8</f>
        <v>Historical Risk Premium Period: 87 Years</v>
      </c>
      <c r="G49" s="133" t="s">
        <v>225</v>
      </c>
      <c r="H49" s="331" t="s">
        <v>255</v>
      </c>
      <c r="I49" s="331"/>
      <c r="J49" s="331"/>
      <c r="N49" s="4" t="str">
        <f>+N8</f>
        <v>Historical Risk Premium Period: 87 Years</v>
      </c>
      <c r="S49" s="133" t="s">
        <v>225</v>
      </c>
      <c r="T49" s="595" t="s">
        <v>255</v>
      </c>
      <c r="U49" s="595"/>
      <c r="V49" s="595"/>
      <c r="AA49" s="95"/>
    </row>
    <row r="50" spans="2:29" hidden="1">
      <c r="F50" s="485" t="str">
        <f>+F9</f>
        <v>Market</v>
      </c>
      <c r="G50" s="133" t="s">
        <v>255</v>
      </c>
      <c r="H50" s="331" t="s">
        <v>97</v>
      </c>
      <c r="I50" s="331"/>
      <c r="J50" s="331"/>
      <c r="R50" s="595" t="str">
        <f>+R9</f>
        <v>Market</v>
      </c>
      <c r="S50" s="133" t="s">
        <v>255</v>
      </c>
      <c r="T50" s="595" t="s">
        <v>97</v>
      </c>
      <c r="U50" s="595"/>
      <c r="V50" s="595"/>
      <c r="AA50" s="95"/>
    </row>
    <row r="51" spans="2:29" hidden="1">
      <c r="D51" s="531">
        <f>+AC113</f>
        <v>41635</v>
      </c>
      <c r="E51" s="331" t="s">
        <v>254</v>
      </c>
      <c r="F51" s="331" t="s">
        <v>226</v>
      </c>
      <c r="G51" s="133" t="s">
        <v>256</v>
      </c>
      <c r="H51" s="331" t="s">
        <v>226</v>
      </c>
      <c r="I51" s="331" t="s">
        <v>149</v>
      </c>
      <c r="J51" s="331" t="s">
        <v>259</v>
      </c>
      <c r="K51" s="331" t="s">
        <v>260</v>
      </c>
      <c r="L51" s="481"/>
      <c r="O51" s="595" t="str">
        <f>+O10</f>
        <v xml:space="preserve">Average </v>
      </c>
      <c r="P51" s="531">
        <f>+D51</f>
        <v>41635</v>
      </c>
      <c r="Q51" s="595" t="s">
        <v>254</v>
      </c>
      <c r="R51" s="595" t="s">
        <v>226</v>
      </c>
      <c r="S51" s="133" t="s">
        <v>256</v>
      </c>
      <c r="T51" s="595" t="s">
        <v>226</v>
      </c>
      <c r="U51" s="595" t="s">
        <v>149</v>
      </c>
      <c r="V51" s="595" t="s">
        <v>259</v>
      </c>
      <c r="W51" s="595" t="s">
        <v>260</v>
      </c>
      <c r="X51" s="595"/>
      <c r="Y51" s="595"/>
      <c r="Z51" s="595"/>
      <c r="AA51" s="95"/>
    </row>
    <row r="52" spans="2:29" hidden="1">
      <c r="C52" s="290" t="s">
        <v>228</v>
      </c>
      <c r="D52" s="530" t="s">
        <v>245</v>
      </c>
      <c r="E52" s="290" t="s">
        <v>253</v>
      </c>
      <c r="F52" s="290" t="s">
        <v>227</v>
      </c>
      <c r="G52" s="482" t="s">
        <v>224</v>
      </c>
      <c r="H52" s="290" t="s">
        <v>257</v>
      </c>
      <c r="I52" s="290" t="s">
        <v>258</v>
      </c>
      <c r="J52" s="290" t="s">
        <v>253</v>
      </c>
      <c r="K52" s="323" t="s">
        <v>261</v>
      </c>
      <c r="L52" s="504"/>
      <c r="O52" s="290" t="str">
        <f>+O11</f>
        <v>Beta</v>
      </c>
      <c r="P52" s="530" t="s">
        <v>245</v>
      </c>
      <c r="Q52" s="290" t="s">
        <v>253</v>
      </c>
      <c r="R52" s="290" t="s">
        <v>227</v>
      </c>
      <c r="S52" s="482" t="s">
        <v>224</v>
      </c>
      <c r="T52" s="290" t="s">
        <v>257</v>
      </c>
      <c r="U52" s="290" t="s">
        <v>258</v>
      </c>
      <c r="V52" s="290" t="s">
        <v>253</v>
      </c>
      <c r="W52" s="482" t="s">
        <v>261</v>
      </c>
      <c r="X52" s="504"/>
      <c r="Y52" s="504"/>
      <c r="Z52" s="504"/>
      <c r="AA52" s="95"/>
      <c r="AB52" s="95"/>
    </row>
    <row r="53" spans="2:29" hidden="1">
      <c r="H53" s="95"/>
      <c r="K53" s="95"/>
      <c r="L53" s="95"/>
      <c r="T53" s="95"/>
      <c r="W53" s="95"/>
      <c r="X53" s="95"/>
      <c r="Y53" s="95"/>
      <c r="Z53" s="95"/>
      <c r="AB53" t="s">
        <v>315</v>
      </c>
    </row>
    <row r="54" spans="2:29" hidden="1">
      <c r="B54" t="str">
        <f t="shared" ref="B54:C56" si="31">+B13</f>
        <v>AGL Resources</v>
      </c>
      <c r="C54">
        <f t="shared" si="31"/>
        <v>0.75</v>
      </c>
      <c r="D54" s="6">
        <f>+AD117</f>
        <v>0</v>
      </c>
      <c r="E54" s="6">
        <f>+E13</f>
        <v>6.7000000000000004E-2</v>
      </c>
      <c r="F54" s="6">
        <f>$D54+$C54*$E54</f>
        <v>5.0250000000000003E-2</v>
      </c>
      <c r="G54" s="95">
        <f>+G13</f>
        <v>0</v>
      </c>
      <c r="H54" s="6">
        <f t="shared" ref="H54:H60" si="32">+G54+F54</f>
        <v>5.0250000000000003E-2</v>
      </c>
      <c r="I54" s="102">
        <f t="shared" ref="I54:J56" si="33">+I13</f>
        <v>3</v>
      </c>
      <c r="J54" s="476">
        <f t="shared" si="33"/>
        <v>9.1999999999999998E-3</v>
      </c>
      <c r="K54" s="95">
        <f>+J54+H54</f>
        <v>5.9450000000000003E-2</v>
      </c>
      <c r="L54" s="95"/>
      <c r="N54" t="str">
        <f t="shared" ref="N54:O56" si="34">+N13</f>
        <v>AGL Resources</v>
      </c>
      <c r="O54">
        <f t="shared" si="34"/>
        <v>0.43</v>
      </c>
      <c r="P54" s="6">
        <f>+D54</f>
        <v>0</v>
      </c>
      <c r="Q54" s="6">
        <f>+Q13</f>
        <v>6.7000000000000004E-2</v>
      </c>
      <c r="R54" s="6">
        <f t="shared" ref="R54:R60" si="35">$P54+$O54*$Q54</f>
        <v>2.8810000000000002E-2</v>
      </c>
      <c r="S54" s="95">
        <f>+S13</f>
        <v>0</v>
      </c>
      <c r="T54" s="6">
        <f t="shared" ref="T54:T60" si="36">+S54+R54</f>
        <v>2.8810000000000002E-2</v>
      </c>
      <c r="U54" s="102">
        <f t="shared" ref="U54:V56" si="37">+U13</f>
        <v>3</v>
      </c>
      <c r="V54" s="476">
        <f t="shared" si="37"/>
        <v>9.1999999999999998E-3</v>
      </c>
      <c r="W54" s="95">
        <f>+V54+T54</f>
        <v>3.8010000000000002E-2</v>
      </c>
      <c r="X54" s="95"/>
      <c r="Y54" s="95"/>
      <c r="Z54" s="95"/>
      <c r="AA54" s="95"/>
      <c r="AB54" s="95"/>
    </row>
    <row r="55" spans="2:29" hidden="1">
      <c r="B55" t="str">
        <f t="shared" si="31"/>
        <v>Atmos Energy</v>
      </c>
      <c r="C55">
        <f t="shared" si="31"/>
        <v>0.7</v>
      </c>
      <c r="D55" s="6">
        <f t="shared" ref="D55:D60" si="38">+D54</f>
        <v>0</v>
      </c>
      <c r="E55" s="6">
        <f t="shared" ref="E55:E60" si="39">+E54</f>
        <v>6.7000000000000004E-2</v>
      </c>
      <c r="F55" s="6">
        <f t="shared" ref="F55:F60" si="40">D55+$C55*E55</f>
        <v>4.6899999999999997E-2</v>
      </c>
      <c r="G55" s="95">
        <f t="shared" ref="G55:G60" si="41">+G54</f>
        <v>0</v>
      </c>
      <c r="H55" s="6">
        <f t="shared" si="32"/>
        <v>4.6899999999999997E-2</v>
      </c>
      <c r="I55" s="102">
        <f t="shared" si="33"/>
        <v>4</v>
      </c>
      <c r="J55" s="476">
        <f t="shared" si="33"/>
        <v>1.14E-2</v>
      </c>
      <c r="K55" s="95">
        <f t="shared" ref="K55:K60" si="42">+H55+J55</f>
        <v>5.8299999999999998E-2</v>
      </c>
      <c r="L55" s="95"/>
      <c r="N55" t="str">
        <f t="shared" si="34"/>
        <v>Atmos Energy</v>
      </c>
      <c r="O55">
        <f t="shared" si="34"/>
        <v>0.52666666666666673</v>
      </c>
      <c r="P55" s="6">
        <f t="shared" ref="P55:P60" si="43">+P54</f>
        <v>0</v>
      </c>
      <c r="Q55" s="6">
        <f t="shared" ref="Q55:Q60" si="44">+Q54</f>
        <v>6.7000000000000004E-2</v>
      </c>
      <c r="R55" s="6">
        <f t="shared" si="35"/>
        <v>3.5286666666666675E-2</v>
      </c>
      <c r="S55" s="95">
        <f t="shared" ref="S55:S60" si="45">+S54</f>
        <v>0</v>
      </c>
      <c r="T55" s="6">
        <f t="shared" si="36"/>
        <v>3.5286666666666675E-2</v>
      </c>
      <c r="U55" s="102">
        <f t="shared" si="37"/>
        <v>4</v>
      </c>
      <c r="V55" s="476">
        <f t="shared" si="37"/>
        <v>1.14E-2</v>
      </c>
      <c r="W55" s="95">
        <f t="shared" ref="W55:W60" si="46">+T55+V55</f>
        <v>4.6686666666666675E-2</v>
      </c>
      <c r="X55" s="95"/>
      <c r="Y55" s="95"/>
      <c r="Z55" s="95"/>
      <c r="AA55" s="95"/>
      <c r="AB55" s="95"/>
    </row>
    <row r="56" spans="2:29" hidden="1">
      <c r="B56" t="str">
        <f t="shared" si="31"/>
        <v>Laclede Group</v>
      </c>
      <c r="C56">
        <f t="shared" si="31"/>
        <v>0.6</v>
      </c>
      <c r="D56" s="6">
        <f t="shared" si="38"/>
        <v>0</v>
      </c>
      <c r="E56" s="6">
        <f t="shared" si="39"/>
        <v>6.7000000000000004E-2</v>
      </c>
      <c r="F56" s="6">
        <f t="shared" si="40"/>
        <v>4.02E-2</v>
      </c>
      <c r="G56" s="95">
        <f t="shared" si="41"/>
        <v>0</v>
      </c>
      <c r="H56" s="6">
        <f t="shared" si="32"/>
        <v>4.02E-2</v>
      </c>
      <c r="I56" s="479">
        <f t="shared" si="33"/>
        <v>6</v>
      </c>
      <c r="J56" s="480">
        <f t="shared" si="33"/>
        <v>1.72E-2</v>
      </c>
      <c r="K56" s="95">
        <f t="shared" si="42"/>
        <v>5.74E-2</v>
      </c>
      <c r="L56" s="95"/>
      <c r="N56" t="str">
        <f t="shared" si="34"/>
        <v>Laclede Group</v>
      </c>
      <c r="O56">
        <f t="shared" si="34"/>
        <v>0.26</v>
      </c>
      <c r="P56" s="6">
        <f t="shared" si="43"/>
        <v>0</v>
      </c>
      <c r="Q56" s="6">
        <f t="shared" si="44"/>
        <v>6.7000000000000004E-2</v>
      </c>
      <c r="R56" s="6">
        <f t="shared" si="35"/>
        <v>1.7420000000000001E-2</v>
      </c>
      <c r="S56" s="95">
        <f t="shared" si="45"/>
        <v>0</v>
      </c>
      <c r="T56" s="6">
        <f t="shared" si="36"/>
        <v>1.7420000000000001E-2</v>
      </c>
      <c r="U56" s="479">
        <f t="shared" si="37"/>
        <v>6</v>
      </c>
      <c r="V56" s="480">
        <f t="shared" si="37"/>
        <v>1.72E-2</v>
      </c>
      <c r="W56" s="95">
        <f t="shared" si="46"/>
        <v>3.4619999999999998E-2</v>
      </c>
      <c r="X56" s="95"/>
      <c r="Y56" s="95"/>
      <c r="Z56" s="95"/>
      <c r="AA56" s="95"/>
      <c r="AB56" s="95"/>
      <c r="AC56" s="95"/>
    </row>
    <row r="57" spans="2:29" hidden="1">
      <c r="B57" s="79" t="str">
        <f t="shared" ref="B57:C60" si="47">+B17</f>
        <v>Northwest Nat. Gas</v>
      </c>
      <c r="C57" s="79">
        <f t="shared" si="47"/>
        <v>0.6</v>
      </c>
      <c r="D57" s="84">
        <f t="shared" si="38"/>
        <v>0</v>
      </c>
      <c r="E57" s="84">
        <f>+E56</f>
        <v>6.7000000000000004E-2</v>
      </c>
      <c r="F57" s="84">
        <f t="shared" si="40"/>
        <v>4.02E-2</v>
      </c>
      <c r="G57" s="128">
        <f>+G56</f>
        <v>0</v>
      </c>
      <c r="H57" s="6">
        <f t="shared" si="32"/>
        <v>4.02E-2</v>
      </c>
      <c r="I57" s="479">
        <f t="shared" ref="I57:J60" si="48">+I17</f>
        <v>7</v>
      </c>
      <c r="J57" s="480">
        <f t="shared" si="48"/>
        <v>1.7299999999999999E-2</v>
      </c>
      <c r="K57" s="128">
        <f t="shared" si="42"/>
        <v>5.7499999999999996E-2</v>
      </c>
      <c r="L57" s="128"/>
      <c r="N57" s="79" t="str">
        <f t="shared" ref="N57:O60" si="49">+N17</f>
        <v>Northwest Nat. Gas</v>
      </c>
      <c r="O57" s="79">
        <f t="shared" si="49"/>
        <v>0.31666666666666665</v>
      </c>
      <c r="P57" s="84">
        <f t="shared" si="43"/>
        <v>0</v>
      </c>
      <c r="Q57" s="84">
        <f>+Q56</f>
        <v>6.7000000000000004E-2</v>
      </c>
      <c r="R57" s="6">
        <f t="shared" si="35"/>
        <v>2.1216666666666668E-2</v>
      </c>
      <c r="S57" s="128">
        <f>+S56</f>
        <v>0</v>
      </c>
      <c r="T57" s="6">
        <f t="shared" si="36"/>
        <v>2.1216666666666668E-2</v>
      </c>
      <c r="U57" s="479">
        <f t="shared" ref="U57:V60" si="50">+U17</f>
        <v>7</v>
      </c>
      <c r="V57" s="480">
        <f t="shared" si="50"/>
        <v>1.7299999999999999E-2</v>
      </c>
      <c r="W57" s="128">
        <f t="shared" si="46"/>
        <v>3.8516666666666671E-2</v>
      </c>
      <c r="X57" s="128"/>
      <c r="Y57" s="128"/>
      <c r="Z57" s="128"/>
      <c r="AA57" s="95"/>
    </row>
    <row r="58" spans="2:29" hidden="1">
      <c r="B58" s="79" t="str">
        <f t="shared" si="47"/>
        <v>Piedmont Natural Gas</v>
      </c>
      <c r="C58" s="79">
        <f t="shared" si="47"/>
        <v>0.7</v>
      </c>
      <c r="D58" s="84">
        <f t="shared" si="38"/>
        <v>0</v>
      </c>
      <c r="E58" s="84">
        <f t="shared" si="39"/>
        <v>6.7000000000000004E-2</v>
      </c>
      <c r="F58" s="84">
        <f t="shared" si="40"/>
        <v>4.6899999999999997E-2</v>
      </c>
      <c r="G58" s="128">
        <f t="shared" si="41"/>
        <v>0</v>
      </c>
      <c r="H58" s="6">
        <f t="shared" si="32"/>
        <v>4.6899999999999997E-2</v>
      </c>
      <c r="I58" s="479">
        <f t="shared" si="48"/>
        <v>5</v>
      </c>
      <c r="J58" s="480">
        <f t="shared" si="48"/>
        <v>1.7000000000000001E-2</v>
      </c>
      <c r="K58" s="128">
        <f t="shared" si="42"/>
        <v>6.3899999999999998E-2</v>
      </c>
      <c r="L58" s="128"/>
      <c r="N58" s="79" t="str">
        <f t="shared" si="49"/>
        <v>Piedmont Natural Gas</v>
      </c>
      <c r="O58" s="79">
        <f t="shared" si="49"/>
        <v>0.45999999999999996</v>
      </c>
      <c r="P58" s="84">
        <f t="shared" si="43"/>
        <v>0</v>
      </c>
      <c r="Q58" s="84">
        <f t="shared" si="44"/>
        <v>6.7000000000000004E-2</v>
      </c>
      <c r="R58" s="6">
        <f t="shared" si="35"/>
        <v>3.082E-2</v>
      </c>
      <c r="S58" s="128">
        <f t="shared" si="45"/>
        <v>0</v>
      </c>
      <c r="T58" s="6">
        <f t="shared" si="36"/>
        <v>3.082E-2</v>
      </c>
      <c r="U58" s="479">
        <f t="shared" si="50"/>
        <v>5</v>
      </c>
      <c r="V58" s="480">
        <f t="shared" si="50"/>
        <v>1.7000000000000001E-2</v>
      </c>
      <c r="W58" s="128">
        <f t="shared" si="46"/>
        <v>4.7820000000000001E-2</v>
      </c>
      <c r="X58" s="128"/>
      <c r="Y58" s="128"/>
      <c r="Z58" s="128"/>
      <c r="AA58" s="95"/>
    </row>
    <row r="59" spans="2:29" hidden="1">
      <c r="B59" t="str">
        <f t="shared" si="47"/>
        <v>South Jersey Inds.</v>
      </c>
      <c r="C59">
        <f t="shared" si="47"/>
        <v>0.65</v>
      </c>
      <c r="D59" s="6">
        <f t="shared" si="38"/>
        <v>0</v>
      </c>
      <c r="E59" s="6">
        <f t="shared" si="39"/>
        <v>6.7000000000000004E-2</v>
      </c>
      <c r="F59" s="6">
        <f t="shared" si="40"/>
        <v>4.3550000000000005E-2</v>
      </c>
      <c r="G59" s="95">
        <f t="shared" si="41"/>
        <v>0</v>
      </c>
      <c r="H59" s="6">
        <f t="shared" si="32"/>
        <v>4.3550000000000005E-2</v>
      </c>
      <c r="I59" s="102">
        <f t="shared" si="48"/>
        <v>6</v>
      </c>
      <c r="J59" s="476">
        <f t="shared" si="48"/>
        <v>1.72E-2</v>
      </c>
      <c r="K59" s="95">
        <f t="shared" si="42"/>
        <v>6.0750000000000005E-2</v>
      </c>
      <c r="L59" s="95"/>
      <c r="N59" t="str">
        <f t="shared" si="49"/>
        <v>South Jersey Inds.</v>
      </c>
      <c r="O59">
        <f t="shared" si="49"/>
        <v>0.46666666666666662</v>
      </c>
      <c r="P59" s="6">
        <f t="shared" si="43"/>
        <v>0</v>
      </c>
      <c r="Q59" s="6">
        <f t="shared" si="44"/>
        <v>6.7000000000000004E-2</v>
      </c>
      <c r="R59" s="6">
        <f t="shared" si="35"/>
        <v>3.1266666666666665E-2</v>
      </c>
      <c r="S59" s="95">
        <f t="shared" si="45"/>
        <v>0</v>
      </c>
      <c r="T59" s="6">
        <f t="shared" si="36"/>
        <v>3.1266666666666665E-2</v>
      </c>
      <c r="U59" s="102">
        <f t="shared" si="50"/>
        <v>6</v>
      </c>
      <c r="V59" s="476">
        <f t="shared" si="50"/>
        <v>1.72E-2</v>
      </c>
      <c r="W59" s="95">
        <f t="shared" si="46"/>
        <v>4.8466666666666665E-2</v>
      </c>
      <c r="X59" s="95"/>
      <c r="Y59" s="95"/>
      <c r="Z59" s="95"/>
      <c r="AA59" s="95"/>
    </row>
    <row r="60" spans="2:29" hidden="1">
      <c r="B60" t="str">
        <f t="shared" si="47"/>
        <v>Southwest Gas</v>
      </c>
      <c r="C60">
        <f t="shared" si="47"/>
        <v>0.75</v>
      </c>
      <c r="D60" s="6">
        <f t="shared" si="38"/>
        <v>0</v>
      </c>
      <c r="E60" s="6">
        <f t="shared" si="39"/>
        <v>6.7000000000000004E-2</v>
      </c>
      <c r="F60" s="6">
        <f t="shared" si="40"/>
        <v>5.0250000000000003E-2</v>
      </c>
      <c r="G60" s="95">
        <f t="shared" si="41"/>
        <v>0</v>
      </c>
      <c r="H60" s="6">
        <f t="shared" si="32"/>
        <v>5.0250000000000003E-2</v>
      </c>
      <c r="I60" s="102">
        <f t="shared" si="48"/>
        <v>5</v>
      </c>
      <c r="J60" s="476">
        <f t="shared" si="48"/>
        <v>1.7000000000000001E-2</v>
      </c>
      <c r="K60" s="95">
        <f t="shared" si="42"/>
        <v>6.7250000000000004E-2</v>
      </c>
      <c r="L60" s="95"/>
      <c r="N60" t="str">
        <f t="shared" si="49"/>
        <v>Southwest Gas</v>
      </c>
      <c r="O60">
        <f t="shared" si="49"/>
        <v>0.69333333333333336</v>
      </c>
      <c r="P60" s="6">
        <f t="shared" si="43"/>
        <v>0</v>
      </c>
      <c r="Q60" s="6">
        <f t="shared" si="44"/>
        <v>6.7000000000000004E-2</v>
      </c>
      <c r="R60" s="6">
        <f t="shared" si="35"/>
        <v>4.645333333333334E-2</v>
      </c>
      <c r="S60" s="95">
        <f t="shared" si="45"/>
        <v>0</v>
      </c>
      <c r="T60" s="6">
        <f t="shared" si="36"/>
        <v>4.645333333333334E-2</v>
      </c>
      <c r="U60" s="102">
        <f t="shared" si="50"/>
        <v>5</v>
      </c>
      <c r="V60" s="476">
        <f t="shared" si="50"/>
        <v>1.7000000000000001E-2</v>
      </c>
      <c r="W60" s="95">
        <f t="shared" si="46"/>
        <v>6.3453333333333334E-2</v>
      </c>
      <c r="X60" s="95"/>
      <c r="Y60" s="95"/>
      <c r="Z60" s="95"/>
      <c r="AA60" s="95"/>
    </row>
    <row r="61" spans="2:29" hidden="1">
      <c r="D61" s="6"/>
      <c r="E61" s="6"/>
      <c r="F61" s="6"/>
      <c r="G61" s="95"/>
      <c r="H61" s="6"/>
      <c r="I61" s="310"/>
      <c r="P61" s="6"/>
      <c r="Q61" s="6"/>
      <c r="R61" s="6"/>
      <c r="S61" s="95"/>
      <c r="T61" s="6"/>
      <c r="U61" s="310"/>
      <c r="AA61" s="95"/>
    </row>
    <row r="62" spans="2:29" ht="14.25" hidden="1">
      <c r="B62" s="278" t="str">
        <f>+B23</f>
        <v>Average</v>
      </c>
      <c r="C62" s="278">
        <f>AVERAGE(C54:C60)</f>
        <v>0.6785714285714286</v>
      </c>
      <c r="D62" s="494">
        <f>+D60</f>
        <v>0</v>
      </c>
      <c r="E62" s="494">
        <f>+E60</f>
        <v>6.7000000000000004E-2</v>
      </c>
      <c r="F62" s="316">
        <f>AVERAGE(F54:F60)</f>
        <v>4.5464285714285721E-2</v>
      </c>
      <c r="G62" s="316">
        <f>+G60</f>
        <v>0</v>
      </c>
      <c r="H62" s="316">
        <f>AVERAGE(H54:H60)</f>
        <v>4.5464285714285721E-2</v>
      </c>
      <c r="I62" s="278"/>
      <c r="J62" s="495">
        <f>AVERAGE(J54:J60)</f>
        <v>1.5185714285714285E-2</v>
      </c>
      <c r="K62" s="316">
        <f>AVERAGE(K54:K60)</f>
        <v>6.0649999999999996E-2</v>
      </c>
      <c r="L62" s="95"/>
      <c r="N62" s="278" t="str">
        <f>+N23</f>
        <v>Average</v>
      </c>
      <c r="O62" s="278">
        <f>AVERAGE(O54:O60)</f>
        <v>0.45047619047619047</v>
      </c>
      <c r="P62" s="494">
        <f>+P60</f>
        <v>0</v>
      </c>
      <c r="Q62" s="494">
        <f>+Q60</f>
        <v>6.7000000000000004E-2</v>
      </c>
      <c r="R62" s="316">
        <f>AVERAGE(R54:R60)</f>
        <v>3.0181904761904767E-2</v>
      </c>
      <c r="S62" s="316">
        <f>+S60</f>
        <v>0</v>
      </c>
      <c r="T62" s="316">
        <f>AVERAGE(T54:T60)</f>
        <v>3.0181904761904767E-2</v>
      </c>
      <c r="U62" s="278"/>
      <c r="V62" s="495">
        <f>AVERAGE(V54:V60)</f>
        <v>1.5185714285714285E-2</v>
      </c>
      <c r="W62" s="316">
        <f>AVERAGE(W54:W60)</f>
        <v>4.5367619047619052E-2</v>
      </c>
      <c r="X62" s="95"/>
      <c r="Y62" s="95"/>
      <c r="Z62" s="95"/>
      <c r="AA62" s="95"/>
    </row>
    <row r="63" spans="2:29" hidden="1">
      <c r="B63" t="s">
        <v>43</v>
      </c>
      <c r="D63" s="6"/>
      <c r="E63" s="6"/>
      <c r="F63" s="95">
        <f>STDEV(F54:F60)</f>
        <v>4.2626003688783576E-3</v>
      </c>
      <c r="G63" s="95"/>
      <c r="H63" s="95">
        <f>STDEV(H54:H60)</f>
        <v>4.2626003688783576E-3</v>
      </c>
      <c r="I63" s="95"/>
      <c r="J63" s="95"/>
      <c r="K63" s="95">
        <f>STDEV(K54:K60)</f>
        <v>3.6873658167676663E-3</v>
      </c>
      <c r="L63" s="95"/>
      <c r="N63" t="s">
        <v>43</v>
      </c>
      <c r="P63" s="6"/>
      <c r="Q63" s="6"/>
      <c r="R63" s="95">
        <f>STDEV(R54:R60)</f>
        <v>9.4650733904029696E-3</v>
      </c>
      <c r="S63" s="95"/>
      <c r="T63" s="95">
        <f>STDEV(T54:T60)</f>
        <v>9.4650733904029696E-3</v>
      </c>
      <c r="U63" s="95"/>
      <c r="V63" s="95"/>
      <c r="W63" s="95">
        <f>STDEV(W54:W60)</f>
        <v>9.6698210781037373E-3</v>
      </c>
      <c r="X63" s="95"/>
      <c r="Y63" s="95"/>
      <c r="Z63" s="95"/>
      <c r="AA63" s="95"/>
    </row>
    <row r="64" spans="2:29" hidden="1">
      <c r="B64" t="str">
        <f>+B25</f>
        <v>Median</v>
      </c>
      <c r="C64">
        <f>MEDIAN(C54:C60)</f>
        <v>0.7</v>
      </c>
      <c r="D64" s="6"/>
      <c r="E64" s="6"/>
      <c r="F64" s="95">
        <f>MEDIAN(F54:F60)</f>
        <v>4.6899999999999997E-2</v>
      </c>
      <c r="G64" s="95"/>
      <c r="H64" s="95">
        <f>MEDIAN(H54:H60)</f>
        <v>4.6899999999999997E-2</v>
      </c>
      <c r="I64" s="95"/>
      <c r="J64" s="95"/>
      <c r="K64" s="95">
        <f>MEDIAN(K54:K60)</f>
        <v>5.9450000000000003E-2</v>
      </c>
      <c r="L64" s="95"/>
      <c r="N64" t="str">
        <f>+N25</f>
        <v>Median</v>
      </c>
      <c r="O64">
        <f>MEDIAN(O54:O60)</f>
        <v>0.45999999999999996</v>
      </c>
      <c r="P64" s="6"/>
      <c r="Q64" s="6"/>
      <c r="R64" s="95">
        <f>MEDIAN(R54:R60)</f>
        <v>3.082E-2</v>
      </c>
      <c r="S64" s="95"/>
      <c r="T64" s="95">
        <f>MEDIAN(T54:T60)</f>
        <v>3.082E-2</v>
      </c>
      <c r="U64" s="95"/>
      <c r="V64" s="95"/>
      <c r="W64" s="95">
        <f>MEDIAN(W54:W60)</f>
        <v>4.6686666666666675E-2</v>
      </c>
      <c r="X64" s="95"/>
      <c r="Y64" s="95"/>
      <c r="Z64" s="95"/>
      <c r="AA64" s="95"/>
    </row>
    <row r="65" spans="1:27" hidden="1">
      <c r="AA65" s="95"/>
    </row>
    <row r="66" spans="1:27" ht="15.75" hidden="1">
      <c r="F66" s="316">
        <f>+F62</f>
        <v>4.5464285714285721E-2</v>
      </c>
      <c r="H66" s="318">
        <f>+H62</f>
        <v>4.5464285714285721E-2</v>
      </c>
      <c r="K66" s="318">
        <f>+K62</f>
        <v>6.0649999999999996E-2</v>
      </c>
      <c r="L66" s="318"/>
      <c r="R66" s="316">
        <f>+R62</f>
        <v>3.0181904761904767E-2</v>
      </c>
      <c r="T66" s="318">
        <f>+T62</f>
        <v>3.0181904761904767E-2</v>
      </c>
      <c r="W66" s="318">
        <f>+W62</f>
        <v>4.5367619047619052E-2</v>
      </c>
      <c r="X66" s="318"/>
      <c r="Y66" s="318"/>
      <c r="Z66" s="318"/>
      <c r="AA66" s="95"/>
    </row>
    <row r="67" spans="1:27" hidden="1">
      <c r="F67" s="95"/>
      <c r="K67" s="95"/>
      <c r="L67" s="95"/>
      <c r="R67" s="95"/>
      <c r="W67" s="95"/>
      <c r="X67" s="95"/>
      <c r="Y67" s="95"/>
      <c r="Z67" s="95"/>
      <c r="AA67" s="95"/>
    </row>
    <row r="68" spans="1:27" hidden="1">
      <c r="C68" s="6" t="s">
        <v>251</v>
      </c>
      <c r="F68" s="95">
        <f>+F66-F63</f>
        <v>4.1201685345407364E-2</v>
      </c>
      <c r="H68" s="95">
        <f>+H62-H63</f>
        <v>4.1201685345407364E-2</v>
      </c>
      <c r="I68" s="95"/>
      <c r="J68" s="95"/>
      <c r="K68" s="95">
        <f>+K62-K63</f>
        <v>5.696263418323233E-2</v>
      </c>
      <c r="L68" s="95"/>
      <c r="O68" s="6" t="s">
        <v>251</v>
      </c>
      <c r="R68" s="95">
        <f>+R66-R63</f>
        <v>2.07168313715018E-2</v>
      </c>
      <c r="T68" s="95">
        <f>+T62-T63</f>
        <v>2.07168313715018E-2</v>
      </c>
      <c r="U68" s="95"/>
      <c r="V68" s="95"/>
      <c r="W68" s="95">
        <f>+W62-W63</f>
        <v>3.5697797969515319E-2</v>
      </c>
      <c r="X68" s="95"/>
      <c r="Y68" s="95"/>
      <c r="Z68" s="95"/>
      <c r="AA68" s="95"/>
    </row>
    <row r="69" spans="1:27" hidden="1">
      <c r="F69" s="95">
        <f>+F66+F63</f>
        <v>4.9726886083164078E-2</v>
      </c>
      <c r="H69" s="95">
        <f>+H62+H63</f>
        <v>4.9726886083164078E-2</v>
      </c>
      <c r="I69" s="95"/>
      <c r="J69" s="95"/>
      <c r="K69" s="95">
        <f>+K62+K63</f>
        <v>6.4337365816767661E-2</v>
      </c>
      <c r="L69" s="95"/>
      <c r="R69" s="95">
        <f>+R66+R63</f>
        <v>3.9646978152307735E-2</v>
      </c>
      <c r="T69" s="95">
        <f>+T62+T63</f>
        <v>3.9646978152307735E-2</v>
      </c>
      <c r="U69" s="95"/>
      <c r="V69" s="95"/>
      <c r="W69" s="95">
        <f>+W62+W63</f>
        <v>5.5037440125722786E-2</v>
      </c>
      <c r="X69" s="95"/>
      <c r="Y69" s="95"/>
      <c r="Z69" s="95"/>
      <c r="AA69" s="95"/>
    </row>
    <row r="70" spans="1:27" hidden="1">
      <c r="F70" s="95"/>
      <c r="H70" s="95"/>
      <c r="I70" s="95"/>
      <c r="J70" s="95"/>
      <c r="K70" s="95"/>
      <c r="L70" s="95"/>
      <c r="R70" s="95"/>
      <c r="T70" s="95"/>
      <c r="U70" s="95"/>
      <c r="V70" s="95"/>
      <c r="W70" s="95"/>
      <c r="X70" s="95"/>
      <c r="Y70" s="95"/>
      <c r="Z70" s="95"/>
      <c r="AA70" s="95"/>
    </row>
    <row r="71" spans="1:27" hidden="1">
      <c r="B71" s="239"/>
      <c r="C71" s="3"/>
      <c r="D71" s="3"/>
      <c r="E71" s="3"/>
      <c r="F71" s="3"/>
      <c r="G71" s="3"/>
      <c r="H71" s="3"/>
      <c r="I71" s="3"/>
      <c r="J71" s="332" t="s">
        <v>262</v>
      </c>
      <c r="K71" s="333" t="str">
        <f>+K51</f>
        <v xml:space="preserve">Investor </v>
      </c>
      <c r="L71" s="288"/>
      <c r="N71" s="239"/>
      <c r="O71" s="3"/>
      <c r="P71" s="3"/>
      <c r="Q71" s="3"/>
      <c r="R71" s="3"/>
      <c r="S71" s="3"/>
      <c r="T71" s="3"/>
      <c r="U71" s="3"/>
      <c r="V71" s="593" t="s">
        <v>262</v>
      </c>
      <c r="W71" s="594" t="str">
        <f>+W51</f>
        <v xml:space="preserve">Investor </v>
      </c>
      <c r="X71" s="288"/>
      <c r="Y71" s="288"/>
      <c r="Z71" s="288"/>
      <c r="AA71" s="95"/>
    </row>
    <row r="72" spans="1:27" hidden="1">
      <c r="B72" s="756" t="str">
        <f>+B32</f>
        <v>Ibbotson Market Risk Premium - Table A-1       page 147</v>
      </c>
      <c r="C72" s="757"/>
      <c r="D72" s="757"/>
      <c r="E72" s="757"/>
      <c r="F72" s="757"/>
      <c r="G72" s="757"/>
      <c r="H72" s="757"/>
      <c r="I72" s="303"/>
      <c r="J72" s="290" t="str">
        <f>+J52</f>
        <v>Premium</v>
      </c>
      <c r="K72" s="156" t="str">
        <f>+K52</f>
        <v>Expectation</v>
      </c>
      <c r="L72" s="288"/>
      <c r="N72" s="756" t="str">
        <f>+N32</f>
        <v>Ibbotson Market Risk Premium - Table A-1              page 147</v>
      </c>
      <c r="O72" s="757"/>
      <c r="P72" s="757"/>
      <c r="Q72" s="757"/>
      <c r="R72" s="757"/>
      <c r="S72" s="757"/>
      <c r="T72" s="757"/>
      <c r="U72" s="303"/>
      <c r="V72" s="290" t="str">
        <f>+V52</f>
        <v>Premium</v>
      </c>
      <c r="W72" s="156" t="str">
        <f>+W52</f>
        <v>Expectation</v>
      </c>
      <c r="X72" s="288"/>
      <c r="Y72" s="288"/>
      <c r="Z72" s="288"/>
      <c r="AA72" s="95"/>
    </row>
    <row r="73" spans="1:27" hidden="1">
      <c r="B73" s="328"/>
      <c r="C73" s="329"/>
      <c r="D73" s="3"/>
      <c r="E73" s="3"/>
      <c r="F73" s="3"/>
      <c r="G73" s="3"/>
      <c r="H73" s="3"/>
      <c r="I73" s="3"/>
      <c r="J73" s="3"/>
      <c r="K73" s="202"/>
      <c r="L73" s="36"/>
      <c r="N73" s="328"/>
      <c r="O73" s="329"/>
      <c r="P73" s="3"/>
      <c r="Q73" s="3"/>
      <c r="R73" s="3"/>
      <c r="S73" s="3"/>
      <c r="T73" s="3"/>
      <c r="U73" s="3"/>
      <c r="V73" s="3"/>
      <c r="W73" s="202"/>
      <c r="X73" s="36"/>
      <c r="Y73" s="36"/>
      <c r="Z73" s="36"/>
      <c r="AA73" s="95"/>
    </row>
    <row r="74" spans="1:27" hidden="1">
      <c r="B74" s="519" t="str">
        <f t="shared" ref="B74:B79" si="51">+B36</f>
        <v>15 Year Average</v>
      </c>
      <c r="C74" s="89">
        <f>+C23</f>
        <v>0.67777777777777781</v>
      </c>
      <c r="D74" s="372">
        <f t="shared" ref="D74:D79" si="52">+D54</f>
        <v>0</v>
      </c>
      <c r="E74" s="507">
        <f t="shared" ref="E74:E79" si="53">+E36</f>
        <v>1.6E-2</v>
      </c>
      <c r="F74" s="117">
        <f t="shared" ref="F74:F79" si="54">D74+C74*E74</f>
        <v>1.0844444444444445E-2</v>
      </c>
      <c r="G74" s="372">
        <f t="shared" ref="G74:G79" si="55">+G54</f>
        <v>0</v>
      </c>
      <c r="H74" s="21">
        <f t="shared" ref="H74:H79" si="56">+G74+F74</f>
        <v>1.0844444444444445E-2</v>
      </c>
      <c r="I74" s="117"/>
      <c r="J74" s="117">
        <f>+J62</f>
        <v>1.5185714285714285E-2</v>
      </c>
      <c r="K74" s="371">
        <f t="shared" ref="K74:K79" si="57">+H74+J74</f>
        <v>2.603015873015873E-2</v>
      </c>
      <c r="L74" s="293"/>
      <c r="N74" s="519" t="str">
        <f t="shared" ref="N74:N79" si="58">+N36</f>
        <v>15 Year Average</v>
      </c>
      <c r="O74" s="89">
        <f>+O23</f>
        <v>0.45185185185185184</v>
      </c>
      <c r="P74" s="372">
        <f t="shared" ref="P74:P79" si="59">+P54</f>
        <v>0</v>
      </c>
      <c r="Q74" s="507">
        <f t="shared" ref="Q74:Q79" si="60">+Q36</f>
        <v>1.6E-2</v>
      </c>
      <c r="R74" s="117">
        <f t="shared" ref="R74:R79" si="61">P74+O74*Q74</f>
        <v>7.2296296296296293E-3</v>
      </c>
      <c r="S74" s="372">
        <f t="shared" ref="S74:S79" si="62">+S54</f>
        <v>0</v>
      </c>
      <c r="T74" s="21">
        <f t="shared" ref="T74:T79" si="63">+S74+R74</f>
        <v>7.2296296296296293E-3</v>
      </c>
      <c r="U74" s="117"/>
      <c r="V74" s="117">
        <f>+V62</f>
        <v>1.5185714285714285E-2</v>
      </c>
      <c r="W74" s="371">
        <f t="shared" ref="W74:W79" si="64">+T74+V74</f>
        <v>2.2415343915343916E-2</v>
      </c>
      <c r="X74" s="293"/>
      <c r="Y74" s="293"/>
      <c r="Z74" s="293"/>
      <c r="AA74" s="95"/>
    </row>
    <row r="75" spans="1:27" hidden="1">
      <c r="B75" s="519" t="str">
        <f t="shared" si="51"/>
        <v>20 Year Average</v>
      </c>
      <c r="C75" s="89">
        <f>+C74</f>
        <v>0.67777777777777781</v>
      </c>
      <c r="D75" s="372">
        <f t="shared" si="52"/>
        <v>0</v>
      </c>
      <c r="E75" s="507">
        <f t="shared" si="53"/>
        <v>4.7E-2</v>
      </c>
      <c r="F75" s="117">
        <f t="shared" si="54"/>
        <v>3.1855555555555561E-2</v>
      </c>
      <c r="G75" s="372">
        <f t="shared" si="55"/>
        <v>0</v>
      </c>
      <c r="H75" s="21">
        <f t="shared" si="56"/>
        <v>3.1855555555555561E-2</v>
      </c>
      <c r="I75" s="117"/>
      <c r="J75" s="117">
        <f>+J74</f>
        <v>1.5185714285714285E-2</v>
      </c>
      <c r="K75" s="371">
        <f t="shared" si="57"/>
        <v>4.7041269841269842E-2</v>
      </c>
      <c r="L75" s="293"/>
      <c r="N75" s="519" t="str">
        <f t="shared" si="58"/>
        <v>20 Year Average</v>
      </c>
      <c r="O75" s="89">
        <f>+O74</f>
        <v>0.45185185185185184</v>
      </c>
      <c r="P75" s="372">
        <f t="shared" si="59"/>
        <v>0</v>
      </c>
      <c r="Q75" s="507">
        <f t="shared" si="60"/>
        <v>4.7E-2</v>
      </c>
      <c r="R75" s="117">
        <f t="shared" si="61"/>
        <v>2.1237037037037037E-2</v>
      </c>
      <c r="S75" s="372">
        <f t="shared" si="62"/>
        <v>0</v>
      </c>
      <c r="T75" s="21">
        <f t="shared" si="63"/>
        <v>2.1237037037037037E-2</v>
      </c>
      <c r="U75" s="117"/>
      <c r="V75" s="117">
        <f>+V74</f>
        <v>1.5185714285714285E-2</v>
      </c>
      <c r="W75" s="371">
        <f t="shared" si="64"/>
        <v>3.6422751322751322E-2</v>
      </c>
      <c r="X75" s="293"/>
      <c r="Y75" s="293"/>
      <c r="Z75" s="293"/>
      <c r="AA75" s="95"/>
    </row>
    <row r="76" spans="1:27" hidden="1">
      <c r="B76" s="519" t="str">
        <f t="shared" si="51"/>
        <v>30 Year Average</v>
      </c>
      <c r="C76" s="89">
        <f>+C75</f>
        <v>0.67777777777777781</v>
      </c>
      <c r="D76" s="372">
        <f t="shared" si="52"/>
        <v>0</v>
      </c>
      <c r="E76" s="507">
        <f t="shared" si="53"/>
        <v>5.7000000000000002E-2</v>
      </c>
      <c r="F76" s="117">
        <f t="shared" si="54"/>
        <v>3.8633333333333339E-2</v>
      </c>
      <c r="G76" s="372">
        <f t="shared" si="55"/>
        <v>0</v>
      </c>
      <c r="H76" s="21">
        <f t="shared" si="56"/>
        <v>3.8633333333333339E-2</v>
      </c>
      <c r="I76" s="117"/>
      <c r="J76" s="117">
        <f>+J75</f>
        <v>1.5185714285714285E-2</v>
      </c>
      <c r="K76" s="371">
        <f t="shared" si="57"/>
        <v>5.3819047619047627E-2</v>
      </c>
      <c r="L76" s="293"/>
      <c r="N76" s="519" t="str">
        <f t="shared" si="58"/>
        <v>30 Year Average</v>
      </c>
      <c r="O76" s="89">
        <f>+O75</f>
        <v>0.45185185185185184</v>
      </c>
      <c r="P76" s="372">
        <f t="shared" si="59"/>
        <v>0</v>
      </c>
      <c r="Q76" s="507">
        <f t="shared" si="60"/>
        <v>5.7000000000000002E-2</v>
      </c>
      <c r="R76" s="117">
        <f t="shared" si="61"/>
        <v>2.5755555555555556E-2</v>
      </c>
      <c r="S76" s="372">
        <f t="shared" si="62"/>
        <v>0</v>
      </c>
      <c r="T76" s="21">
        <f t="shared" si="63"/>
        <v>2.5755555555555556E-2</v>
      </c>
      <c r="U76" s="117"/>
      <c r="V76" s="117">
        <f>+V75</f>
        <v>1.5185714285714285E-2</v>
      </c>
      <c r="W76" s="371">
        <f t="shared" si="64"/>
        <v>4.0941269841269841E-2</v>
      </c>
      <c r="X76" s="293"/>
      <c r="Y76" s="293"/>
      <c r="Z76" s="293"/>
      <c r="AA76" s="95"/>
    </row>
    <row r="77" spans="1:27" hidden="1">
      <c r="B77" s="519" t="str">
        <f t="shared" si="51"/>
        <v>40 Year Average</v>
      </c>
      <c r="C77" s="89">
        <f>+C76</f>
        <v>0.67777777777777781</v>
      </c>
      <c r="D77" s="372">
        <f t="shared" si="52"/>
        <v>0</v>
      </c>
      <c r="E77" s="507">
        <f t="shared" si="53"/>
        <v>4.2000000000000003E-2</v>
      </c>
      <c r="F77" s="117">
        <f t="shared" si="54"/>
        <v>2.8466666666666671E-2</v>
      </c>
      <c r="G77" s="372">
        <f t="shared" si="55"/>
        <v>0</v>
      </c>
      <c r="H77" s="21">
        <f t="shared" si="56"/>
        <v>2.8466666666666671E-2</v>
      </c>
      <c r="I77" s="117"/>
      <c r="J77" s="117">
        <f>+J76</f>
        <v>1.5185714285714285E-2</v>
      </c>
      <c r="K77" s="371">
        <f t="shared" si="57"/>
        <v>4.3652380952380956E-2</v>
      </c>
      <c r="L77" s="293"/>
      <c r="N77" s="519" t="str">
        <f t="shared" si="58"/>
        <v>40 Year Average</v>
      </c>
      <c r="O77" s="89">
        <f>+O76</f>
        <v>0.45185185185185184</v>
      </c>
      <c r="P77" s="372">
        <f t="shared" si="59"/>
        <v>0</v>
      </c>
      <c r="Q77" s="507">
        <f t="shared" si="60"/>
        <v>4.2000000000000003E-2</v>
      </c>
      <c r="R77" s="117">
        <f t="shared" si="61"/>
        <v>1.8977777777777777E-2</v>
      </c>
      <c r="S77" s="372">
        <f t="shared" si="62"/>
        <v>0</v>
      </c>
      <c r="T77" s="21">
        <f t="shared" si="63"/>
        <v>1.8977777777777777E-2</v>
      </c>
      <c r="U77" s="117"/>
      <c r="V77" s="117">
        <f>+V76</f>
        <v>1.5185714285714285E-2</v>
      </c>
      <c r="W77" s="371">
        <f t="shared" si="64"/>
        <v>3.4163492063492062E-2</v>
      </c>
      <c r="X77" s="293"/>
      <c r="Y77" s="293"/>
      <c r="Z77" s="293"/>
      <c r="AA77" s="95"/>
    </row>
    <row r="78" spans="1:27" hidden="1">
      <c r="B78" s="520" t="str">
        <f t="shared" si="51"/>
        <v>50 Year Average</v>
      </c>
      <c r="C78" s="521">
        <f>+C77</f>
        <v>0.67777777777777781</v>
      </c>
      <c r="D78" s="522">
        <f t="shared" si="52"/>
        <v>0</v>
      </c>
      <c r="E78" s="522">
        <f t="shared" si="53"/>
        <v>4.4999999999999998E-2</v>
      </c>
      <c r="F78" s="523">
        <f t="shared" si="54"/>
        <v>3.0499999999999999E-2</v>
      </c>
      <c r="G78" s="522">
        <f t="shared" si="55"/>
        <v>0</v>
      </c>
      <c r="H78" s="67">
        <f t="shared" si="56"/>
        <v>3.0499999999999999E-2</v>
      </c>
      <c r="I78" s="523"/>
      <c r="J78" s="523">
        <f>+J77</f>
        <v>1.5185714285714285E-2</v>
      </c>
      <c r="K78" s="509">
        <f t="shared" si="57"/>
        <v>4.5685714285714288E-2</v>
      </c>
      <c r="L78" s="319"/>
      <c r="N78" s="520" t="str">
        <f t="shared" si="58"/>
        <v>50 Year Average</v>
      </c>
      <c r="O78" s="521">
        <f>+O77</f>
        <v>0.45185185185185184</v>
      </c>
      <c r="P78" s="522">
        <f t="shared" si="59"/>
        <v>0</v>
      </c>
      <c r="Q78" s="522">
        <f t="shared" si="60"/>
        <v>4.4999999999999998E-2</v>
      </c>
      <c r="R78" s="523">
        <f t="shared" si="61"/>
        <v>2.0333333333333332E-2</v>
      </c>
      <c r="S78" s="522">
        <f t="shared" si="62"/>
        <v>0</v>
      </c>
      <c r="T78" s="67">
        <f t="shared" si="63"/>
        <v>2.0333333333333332E-2</v>
      </c>
      <c r="U78" s="523"/>
      <c r="V78" s="523">
        <f>+V77</f>
        <v>1.5185714285714285E-2</v>
      </c>
      <c r="W78" s="509">
        <f t="shared" si="64"/>
        <v>3.5519047619047617E-2</v>
      </c>
      <c r="X78" s="319"/>
      <c r="Y78" s="319"/>
      <c r="Z78" s="319"/>
      <c r="AA78" s="95"/>
    </row>
    <row r="79" spans="1:27" hidden="1">
      <c r="B79" s="525" t="str">
        <f t="shared" si="51"/>
        <v>87 Year Average</v>
      </c>
      <c r="C79" s="497">
        <f>+C78</f>
        <v>0.67777777777777781</v>
      </c>
      <c r="D79" s="526">
        <f t="shared" si="52"/>
        <v>0</v>
      </c>
      <c r="E79" s="527">
        <f t="shared" si="53"/>
        <v>6.7000000000000004E-2</v>
      </c>
      <c r="F79" s="528">
        <f t="shared" si="54"/>
        <v>4.5411111111111117E-2</v>
      </c>
      <c r="G79" s="526">
        <f t="shared" si="55"/>
        <v>0</v>
      </c>
      <c r="H79" s="317">
        <f t="shared" si="56"/>
        <v>4.5411111111111117E-2</v>
      </c>
      <c r="I79" s="528"/>
      <c r="J79" s="528">
        <f>+J78</f>
        <v>1.5185714285714285E-2</v>
      </c>
      <c r="K79" s="529">
        <f t="shared" si="57"/>
        <v>6.0596825396825399E-2</v>
      </c>
      <c r="L79" s="293"/>
      <c r="N79" s="525" t="str">
        <f t="shared" si="58"/>
        <v>87 Year Average</v>
      </c>
      <c r="O79" s="497">
        <f>+O78</f>
        <v>0.45185185185185184</v>
      </c>
      <c r="P79" s="526">
        <f t="shared" si="59"/>
        <v>0</v>
      </c>
      <c r="Q79" s="527">
        <f t="shared" si="60"/>
        <v>6.7000000000000004E-2</v>
      </c>
      <c r="R79" s="528">
        <f t="shared" si="61"/>
        <v>3.0274074074074075E-2</v>
      </c>
      <c r="S79" s="526">
        <f t="shared" si="62"/>
        <v>0</v>
      </c>
      <c r="T79" s="317">
        <f t="shared" si="63"/>
        <v>3.0274074074074075E-2</v>
      </c>
      <c r="U79" s="528"/>
      <c r="V79" s="528">
        <f>+V78</f>
        <v>1.5185714285714285E-2</v>
      </c>
      <c r="W79" s="529">
        <f t="shared" si="64"/>
        <v>4.545978835978836E-2</v>
      </c>
      <c r="X79" s="293"/>
      <c r="Y79" s="293"/>
      <c r="Z79" s="293"/>
      <c r="AA79" s="95"/>
    </row>
    <row r="80" spans="1:27" hidden="1">
      <c r="A80" s="36"/>
      <c r="B80" s="524"/>
      <c r="C80" s="89"/>
      <c r="D80" s="372"/>
      <c r="E80" s="507"/>
      <c r="F80" s="117"/>
      <c r="G80" s="372"/>
      <c r="H80" s="21"/>
      <c r="I80" s="117"/>
      <c r="J80" s="117"/>
      <c r="K80" s="372"/>
      <c r="L80" s="293"/>
      <c r="M80" s="36"/>
      <c r="N80" s="524"/>
      <c r="O80" s="89"/>
      <c r="P80" s="372"/>
      <c r="Q80" s="507"/>
      <c r="R80" s="117"/>
      <c r="S80" s="372"/>
      <c r="T80" s="21"/>
      <c r="U80" s="117"/>
      <c r="V80" s="117"/>
      <c r="W80" s="372"/>
      <c r="X80" s="293"/>
      <c r="Y80" s="293"/>
      <c r="Z80" s="293"/>
      <c r="AA80" s="95"/>
    </row>
    <row r="81" spans="2:28" hidden="1">
      <c r="K81" s="95"/>
      <c r="L81" s="95"/>
      <c r="W81" s="95"/>
      <c r="X81" s="95"/>
      <c r="Y81" s="95"/>
      <c r="Z81" s="95"/>
      <c r="AA81" s="95"/>
    </row>
    <row r="82" spans="2:28" hidden="1">
      <c r="K82" s="95"/>
      <c r="L82" s="95" t="s">
        <v>345</v>
      </c>
      <c r="W82" s="95"/>
      <c r="X82" s="612" t="s">
        <v>344</v>
      </c>
      <c r="Y82" s="95"/>
      <c r="Z82" s="95"/>
      <c r="AA82" s="95"/>
    </row>
    <row r="83" spans="2:28" hidden="1">
      <c r="H83" s="86"/>
      <c r="I83" s="86"/>
      <c r="J83" s="86"/>
      <c r="T83" s="86"/>
      <c r="U83" s="86"/>
      <c r="V83" s="86"/>
    </row>
    <row r="84" spans="2:28" s="27" customFormat="1" ht="15.95" customHeight="1">
      <c r="B84" s="736" t="str">
        <f>+B3</f>
        <v>Questar Gas Company</v>
      </c>
      <c r="C84" s="736"/>
      <c r="D84" s="736"/>
      <c r="E84" s="736"/>
      <c r="F84" s="736"/>
      <c r="G84" s="736"/>
      <c r="H84" s="736"/>
      <c r="I84" s="736"/>
      <c r="J84" s="736"/>
      <c r="K84" s="736"/>
      <c r="N84" s="736" t="str">
        <f>+B84</f>
        <v>Questar Gas Company</v>
      </c>
      <c r="O84" s="736"/>
      <c r="P84" s="736"/>
      <c r="Q84" s="736"/>
      <c r="R84" s="736"/>
      <c r="S84" s="736"/>
      <c r="T84" s="736"/>
      <c r="U84" s="736"/>
      <c r="V84" s="736"/>
      <c r="W84" s="736"/>
    </row>
    <row r="85" spans="2:28" s="27" customFormat="1" ht="15.95" customHeight="1">
      <c r="B85" s="737" t="s">
        <v>66</v>
      </c>
      <c r="C85" s="737"/>
      <c r="D85" s="737"/>
      <c r="E85" s="737"/>
      <c r="F85" s="737"/>
      <c r="G85" s="737"/>
      <c r="H85" s="737"/>
      <c r="I85" s="737"/>
      <c r="J85" s="737"/>
      <c r="K85" s="737"/>
      <c r="N85" s="737" t="s">
        <v>66</v>
      </c>
      <c r="O85" s="737"/>
      <c r="P85" s="737"/>
      <c r="Q85" s="737"/>
      <c r="R85" s="737"/>
      <c r="S85" s="737"/>
      <c r="T85" s="737"/>
      <c r="U85" s="737"/>
      <c r="V85" s="737"/>
      <c r="W85" s="737"/>
    </row>
    <row r="86" spans="2:28" s="27" customFormat="1" ht="15.95" customHeight="1">
      <c r="B86" s="754" t="s">
        <v>96</v>
      </c>
      <c r="C86" s="754"/>
      <c r="D86" s="754"/>
      <c r="E86" s="754"/>
      <c r="F86" s="754"/>
      <c r="G86" s="754"/>
      <c r="H86" s="754"/>
      <c r="I86" s="754"/>
      <c r="J86" s="754"/>
      <c r="K86" s="754"/>
      <c r="N86" s="754" t="s">
        <v>96</v>
      </c>
      <c r="O86" s="754"/>
      <c r="P86" s="754"/>
      <c r="Q86" s="754"/>
      <c r="R86" s="754"/>
      <c r="S86" s="754"/>
      <c r="T86" s="754"/>
      <c r="U86" s="754"/>
      <c r="V86" s="754"/>
      <c r="W86" s="754"/>
    </row>
    <row r="87" spans="2:28" s="27" customFormat="1" ht="15.95" customHeight="1">
      <c r="B87" s="755">
        <f>+B6</f>
        <v>41634</v>
      </c>
      <c r="C87" s="755"/>
      <c r="D87" s="755"/>
      <c r="E87" s="755"/>
      <c r="F87" s="755"/>
      <c r="G87" s="755"/>
      <c r="H87" s="755"/>
      <c r="I87" s="755"/>
      <c r="J87" s="755"/>
      <c r="K87" s="755"/>
      <c r="N87" s="755">
        <f>+B87</f>
        <v>41634</v>
      </c>
      <c r="O87" s="755"/>
      <c r="P87" s="755"/>
      <c r="Q87" s="755"/>
      <c r="R87" s="755"/>
      <c r="S87" s="755"/>
      <c r="T87" s="755"/>
      <c r="U87" s="755"/>
      <c r="V87" s="755"/>
      <c r="W87" s="755"/>
    </row>
    <row r="89" spans="2:28" ht="15.75">
      <c r="B89" s="242" t="s">
        <v>323</v>
      </c>
      <c r="G89" s="304"/>
      <c r="H89" s="304"/>
      <c r="I89" s="133"/>
      <c r="J89" s="133"/>
      <c r="K89" s="79"/>
      <c r="L89" s="79"/>
      <c r="N89" s="242" t="s">
        <v>323</v>
      </c>
      <c r="S89" s="595"/>
      <c r="T89" s="595"/>
      <c r="U89" s="133"/>
      <c r="V89" s="133"/>
      <c r="W89" s="79"/>
      <c r="X89" s="79"/>
      <c r="Y89" s="79"/>
      <c r="Z89" s="79"/>
    </row>
    <row r="90" spans="2:28" ht="15.75">
      <c r="B90" s="4"/>
      <c r="G90" s="474"/>
      <c r="H90" s="304"/>
      <c r="I90" s="304"/>
      <c r="J90" s="304"/>
      <c r="N90" s="4"/>
      <c r="S90" s="595"/>
      <c r="T90" s="595"/>
      <c r="U90" s="595"/>
      <c r="V90" s="595"/>
      <c r="AA90" t="s">
        <v>316</v>
      </c>
    </row>
    <row r="91" spans="2:28" ht="15.75">
      <c r="B91" s="4"/>
      <c r="D91" s="492">
        <f>+AC113</f>
        <v>41635</v>
      </c>
      <c r="E91" s="304" t="s">
        <v>254</v>
      </c>
      <c r="F91" s="304" t="s">
        <v>226</v>
      </c>
      <c r="G91" s="133" t="s">
        <v>149</v>
      </c>
      <c r="H91" s="133" t="s">
        <v>259</v>
      </c>
      <c r="I91" s="133" t="s">
        <v>260</v>
      </c>
      <c r="L91" s="481"/>
      <c r="N91" s="4"/>
      <c r="O91" s="595" t="str">
        <f>+O51</f>
        <v xml:space="preserve">Average </v>
      </c>
      <c r="P91" s="492">
        <f>+D91</f>
        <v>41635</v>
      </c>
      <c r="Q91" s="595" t="s">
        <v>254</v>
      </c>
      <c r="R91" s="595" t="s">
        <v>226</v>
      </c>
      <c r="S91" s="133" t="s">
        <v>149</v>
      </c>
      <c r="T91" s="133" t="s">
        <v>259</v>
      </c>
      <c r="U91" s="133" t="s">
        <v>260</v>
      </c>
      <c r="X91" s="595"/>
      <c r="Y91" s="595"/>
      <c r="Z91" s="595"/>
    </row>
    <row r="92" spans="2:28" ht="15.75">
      <c r="B92" s="4"/>
      <c r="C92" s="290" t="s">
        <v>228</v>
      </c>
      <c r="D92" s="493" t="s">
        <v>314</v>
      </c>
      <c r="E92" s="290" t="s">
        <v>253</v>
      </c>
      <c r="F92" s="290" t="s">
        <v>227</v>
      </c>
      <c r="G92" s="482" t="s">
        <v>258</v>
      </c>
      <c r="H92" s="482" t="s">
        <v>253</v>
      </c>
      <c r="I92" s="508" t="s">
        <v>261</v>
      </c>
      <c r="L92" s="504"/>
      <c r="N92" s="4"/>
      <c r="O92" s="290" t="str">
        <f>+O52</f>
        <v>Beta</v>
      </c>
      <c r="P92" s="493" t="s">
        <v>314</v>
      </c>
      <c r="Q92" s="290" t="s">
        <v>253</v>
      </c>
      <c r="R92" s="290" t="s">
        <v>227</v>
      </c>
      <c r="S92" s="482" t="s">
        <v>258</v>
      </c>
      <c r="T92" s="482" t="s">
        <v>253</v>
      </c>
      <c r="U92" s="508" t="s">
        <v>261</v>
      </c>
      <c r="X92" s="504"/>
      <c r="Y92" s="504"/>
      <c r="Z92" s="504"/>
    </row>
    <row r="93" spans="2:28">
      <c r="G93" s="79"/>
      <c r="H93" s="79"/>
      <c r="I93" s="79"/>
      <c r="S93" s="79"/>
      <c r="T93" s="79"/>
      <c r="U93" s="79"/>
    </row>
    <row r="94" spans="2:28">
      <c r="B94" t="s">
        <v>5</v>
      </c>
      <c r="C94">
        <f>+'Beta Report'!B12</f>
        <v>0.75</v>
      </c>
      <c r="D94" s="95">
        <f>+AE117</f>
        <v>3.9399999999999998E-2</v>
      </c>
      <c r="E94" s="128">
        <v>5.8799999999999998E-2</v>
      </c>
      <c r="F94" s="6">
        <f>D94+($C94*E94)</f>
        <v>8.3499999999999991E-2</v>
      </c>
      <c r="G94" s="479">
        <f>+I13</f>
        <v>3</v>
      </c>
      <c r="H94" s="480">
        <v>1.4500000000000001E-2</v>
      </c>
      <c r="I94" s="128">
        <f>+F94+H94</f>
        <v>9.799999999999999E-2</v>
      </c>
      <c r="L94" s="95"/>
      <c r="N94" t="s">
        <v>5</v>
      </c>
      <c r="O94">
        <f>+O54</f>
        <v>0.43</v>
      </c>
      <c r="P94" s="95">
        <f>+D94</f>
        <v>3.9399999999999998E-2</v>
      </c>
      <c r="Q94" s="128">
        <v>5.8799999999999998E-2</v>
      </c>
      <c r="R94" s="6">
        <f>P94+($O94*Q94)</f>
        <v>6.4683999999999992E-2</v>
      </c>
      <c r="S94" s="479">
        <f>+U13</f>
        <v>3</v>
      </c>
      <c r="T94" s="480">
        <v>1.4500000000000001E-2</v>
      </c>
      <c r="U94" s="128">
        <f>+R94+T94</f>
        <v>7.9183999999999991E-2</v>
      </c>
      <c r="X94" s="95"/>
      <c r="Y94" s="95"/>
      <c r="Z94" s="95"/>
      <c r="AA94" s="95">
        <f t="shared" ref="AA94:AA101" si="65">+F94+H94</f>
        <v>9.799999999999999E-2</v>
      </c>
      <c r="AB94" s="95" t="e">
        <f>+#REF!+H94</f>
        <v>#REF!</v>
      </c>
    </row>
    <row r="95" spans="2:28">
      <c r="B95" t="s">
        <v>7</v>
      </c>
      <c r="C95">
        <f>+'Beta Report'!B13</f>
        <v>0.7</v>
      </c>
      <c r="D95" s="95">
        <f t="shared" ref="D95:E102" si="66">+D94</f>
        <v>3.9399999999999998E-2</v>
      </c>
      <c r="E95" s="95">
        <f t="shared" si="66"/>
        <v>5.8799999999999998E-2</v>
      </c>
      <c r="F95" s="6">
        <f t="shared" ref="F95:F101" si="67">D95+($C95*E95)</f>
        <v>8.0559999999999993E-2</v>
      </c>
      <c r="G95" s="479">
        <f>+I14</f>
        <v>4</v>
      </c>
      <c r="H95" s="480">
        <v>7.0000000000000001E-3</v>
      </c>
      <c r="I95" s="128">
        <f t="shared" ref="I95:I101" si="68">+F95+H95</f>
        <v>8.7559999999999999E-2</v>
      </c>
      <c r="L95" s="95"/>
      <c r="N95" t="s">
        <v>7</v>
      </c>
      <c r="O95">
        <f t="shared" ref="O95:O97" si="69">+O55</f>
        <v>0.52666666666666673</v>
      </c>
      <c r="P95" s="95">
        <f>+P94</f>
        <v>3.9399999999999998E-2</v>
      </c>
      <c r="Q95" s="95">
        <f>+Q94</f>
        <v>5.8799999999999998E-2</v>
      </c>
      <c r="R95" s="6">
        <f t="shared" ref="R95:R102" si="70">P95+($O95*Q95)</f>
        <v>7.0368E-2</v>
      </c>
      <c r="S95" s="479">
        <f>+U14</f>
        <v>4</v>
      </c>
      <c r="T95" s="480">
        <v>7.0000000000000001E-3</v>
      </c>
      <c r="U95" s="128">
        <f t="shared" ref="U95:U102" si="71">+R95+T95</f>
        <v>7.7368000000000006E-2</v>
      </c>
      <c r="X95" s="95"/>
      <c r="Y95" s="95"/>
      <c r="Z95" s="95"/>
      <c r="AA95" s="95">
        <f t="shared" si="65"/>
        <v>8.7559999999999999E-2</v>
      </c>
      <c r="AB95" s="95" t="e">
        <f>+#REF!+H95</f>
        <v>#REF!</v>
      </c>
    </row>
    <row r="96" spans="2:28">
      <c r="B96" t="s">
        <v>10</v>
      </c>
      <c r="C96">
        <f>+'Beta Report'!B14</f>
        <v>0.6</v>
      </c>
      <c r="D96" s="95">
        <f t="shared" si="66"/>
        <v>3.9399999999999998E-2</v>
      </c>
      <c r="E96" s="95">
        <f t="shared" si="66"/>
        <v>5.8799999999999998E-2</v>
      </c>
      <c r="F96" s="6">
        <f t="shared" si="67"/>
        <v>7.4679999999999996E-2</v>
      </c>
      <c r="G96" s="479">
        <f>+I15</f>
        <v>6</v>
      </c>
      <c r="H96" s="480">
        <v>-4.0000000000000002E-4</v>
      </c>
      <c r="I96" s="128">
        <f t="shared" si="68"/>
        <v>7.4279999999999999E-2</v>
      </c>
      <c r="L96" s="95"/>
      <c r="N96" t="s">
        <v>10</v>
      </c>
      <c r="O96">
        <f t="shared" si="69"/>
        <v>0.26</v>
      </c>
      <c r="P96" s="95">
        <f t="shared" ref="P96:Q102" si="72">+P95</f>
        <v>3.9399999999999998E-2</v>
      </c>
      <c r="Q96" s="95">
        <f t="shared" si="72"/>
        <v>5.8799999999999998E-2</v>
      </c>
      <c r="R96" s="6">
        <f t="shared" si="70"/>
        <v>5.4688000000000001E-2</v>
      </c>
      <c r="S96" s="479">
        <f>+U15</f>
        <v>6</v>
      </c>
      <c r="T96" s="480">
        <v>-4.0000000000000002E-4</v>
      </c>
      <c r="U96" s="128">
        <f t="shared" si="71"/>
        <v>5.4288000000000003E-2</v>
      </c>
      <c r="X96" s="95"/>
      <c r="Y96" s="95"/>
      <c r="Z96" s="95"/>
      <c r="AA96" s="95">
        <f t="shared" si="65"/>
        <v>7.4279999999999999E-2</v>
      </c>
      <c r="AB96" s="95" t="e">
        <f>+#REF!+H96</f>
        <v>#REF!</v>
      </c>
    </row>
    <row r="97" spans="2:28">
      <c r="B97" t="str">
        <f>+B16</f>
        <v>New Jersey Resources</v>
      </c>
      <c r="C97">
        <f>+'Beta Report'!B15</f>
        <v>0.7</v>
      </c>
      <c r="D97" s="95">
        <f t="shared" si="66"/>
        <v>3.9399999999999998E-2</v>
      </c>
      <c r="E97" s="95">
        <f t="shared" si="66"/>
        <v>5.8799999999999998E-2</v>
      </c>
      <c r="F97" s="6">
        <f t="shared" ref="F97" si="73">D97+($C97*E97)</f>
        <v>8.0559999999999993E-2</v>
      </c>
      <c r="G97" s="479">
        <f>+I16</f>
        <v>6</v>
      </c>
      <c r="H97" s="480">
        <f>+H96</f>
        <v>-4.0000000000000002E-4</v>
      </c>
      <c r="I97" s="128">
        <f t="shared" si="68"/>
        <v>8.0159999999999995E-2</v>
      </c>
      <c r="L97" s="95"/>
      <c r="N97" t="str">
        <f>+B97</f>
        <v>New Jersey Resources</v>
      </c>
      <c r="O97">
        <f t="shared" si="69"/>
        <v>0.31666666666666665</v>
      </c>
      <c r="P97" s="95">
        <f t="shared" si="72"/>
        <v>3.9399999999999998E-2</v>
      </c>
      <c r="Q97" s="95">
        <f t="shared" si="72"/>
        <v>5.8799999999999998E-2</v>
      </c>
      <c r="R97" s="6">
        <f t="shared" si="70"/>
        <v>5.8019999999999995E-2</v>
      </c>
      <c r="S97" s="479">
        <f>+U16</f>
        <v>6</v>
      </c>
      <c r="T97" s="480">
        <v>-4.0000000000000002E-4</v>
      </c>
      <c r="U97" s="128">
        <f t="shared" si="71"/>
        <v>5.7619999999999998E-2</v>
      </c>
      <c r="X97" s="95"/>
      <c r="Y97" s="95"/>
      <c r="Z97" s="95"/>
      <c r="AA97" s="95"/>
      <c r="AB97" s="95"/>
    </row>
    <row r="98" spans="2:28">
      <c r="B98" s="79" t="s">
        <v>14</v>
      </c>
      <c r="C98" s="79">
        <f>+'Beta Report'!B16</f>
        <v>0.6</v>
      </c>
      <c r="D98" s="128">
        <f>+D96</f>
        <v>3.9399999999999998E-2</v>
      </c>
      <c r="E98" s="128">
        <f>+E96</f>
        <v>5.8799999999999998E-2</v>
      </c>
      <c r="F98" s="84">
        <f t="shared" si="67"/>
        <v>7.4679999999999996E-2</v>
      </c>
      <c r="G98" s="479">
        <f t="shared" ref="G98:G102" si="74">+I17</f>
        <v>7</v>
      </c>
      <c r="H98" s="480">
        <v>-5.3E-3</v>
      </c>
      <c r="I98" s="128">
        <f t="shared" si="68"/>
        <v>6.9379999999999997E-2</v>
      </c>
      <c r="L98" s="95"/>
      <c r="N98" s="79" t="s">
        <v>14</v>
      </c>
      <c r="O98">
        <f>+O57</f>
        <v>0.31666666666666665</v>
      </c>
      <c r="P98" s="128">
        <f>+P96</f>
        <v>3.9399999999999998E-2</v>
      </c>
      <c r="Q98" s="128">
        <f>+Q96</f>
        <v>5.8799999999999998E-2</v>
      </c>
      <c r="R98" s="6">
        <f t="shared" si="70"/>
        <v>5.8019999999999995E-2</v>
      </c>
      <c r="S98" s="479">
        <f t="shared" ref="S98:S101" si="75">+U17</f>
        <v>7</v>
      </c>
      <c r="T98" s="480">
        <v>-5.3E-3</v>
      </c>
      <c r="U98" s="128">
        <f t="shared" si="71"/>
        <v>5.2719999999999996E-2</v>
      </c>
      <c r="X98" s="95"/>
      <c r="Y98" s="95"/>
      <c r="Z98" s="95"/>
      <c r="AA98" s="95">
        <f t="shared" si="65"/>
        <v>6.9379999999999997E-2</v>
      </c>
      <c r="AB98" s="95" t="e">
        <f>+#REF!+H98</f>
        <v>#REF!</v>
      </c>
    </row>
    <row r="99" spans="2:28">
      <c r="B99" s="79" t="s">
        <v>16</v>
      </c>
      <c r="C99" s="79">
        <f>+'Beta Report'!B17</f>
        <v>0.7</v>
      </c>
      <c r="D99" s="128">
        <f t="shared" si="66"/>
        <v>3.9399999999999998E-2</v>
      </c>
      <c r="E99" s="128">
        <f t="shared" si="66"/>
        <v>5.8799999999999998E-2</v>
      </c>
      <c r="F99" s="84">
        <f t="shared" si="67"/>
        <v>8.0559999999999993E-2</v>
      </c>
      <c r="G99" s="479">
        <f t="shared" si="74"/>
        <v>5</v>
      </c>
      <c r="H99" s="480">
        <v>1.1000000000000001E-3</v>
      </c>
      <c r="I99" s="128">
        <f t="shared" si="68"/>
        <v>8.1659999999999996E-2</v>
      </c>
      <c r="L99" s="95"/>
      <c r="N99" s="79" t="s">
        <v>16</v>
      </c>
      <c r="O99">
        <f>+O58</f>
        <v>0.45999999999999996</v>
      </c>
      <c r="P99" s="128">
        <f t="shared" si="72"/>
        <v>3.9399999999999998E-2</v>
      </c>
      <c r="Q99" s="128">
        <f t="shared" si="72"/>
        <v>5.8799999999999998E-2</v>
      </c>
      <c r="R99" s="6">
        <f t="shared" si="70"/>
        <v>6.6447999999999993E-2</v>
      </c>
      <c r="S99" s="479">
        <f t="shared" si="75"/>
        <v>5</v>
      </c>
      <c r="T99" s="480">
        <v>1.1000000000000001E-3</v>
      </c>
      <c r="U99" s="128">
        <f t="shared" si="71"/>
        <v>6.7547999999999997E-2</v>
      </c>
      <c r="X99" s="95"/>
      <c r="Y99" s="95"/>
      <c r="Z99" s="95"/>
      <c r="AA99" s="95">
        <f t="shared" si="65"/>
        <v>8.1659999999999996E-2</v>
      </c>
      <c r="AB99" s="95" t="e">
        <f>+#REF!+H99</f>
        <v>#REF!</v>
      </c>
    </row>
    <row r="100" spans="2:28">
      <c r="B100" t="s">
        <v>18</v>
      </c>
      <c r="C100">
        <f>+'Beta Report'!B18</f>
        <v>0.65</v>
      </c>
      <c r="D100" s="95">
        <f t="shared" si="66"/>
        <v>3.9399999999999998E-2</v>
      </c>
      <c r="E100" s="95">
        <f t="shared" si="66"/>
        <v>5.8799999999999998E-2</v>
      </c>
      <c r="F100" s="6">
        <f t="shared" si="67"/>
        <v>7.7619999999999995E-2</v>
      </c>
      <c r="G100" s="479">
        <f t="shared" si="74"/>
        <v>6</v>
      </c>
      <c r="H100" s="480">
        <f>+H96</f>
        <v>-4.0000000000000002E-4</v>
      </c>
      <c r="I100" s="128">
        <f t="shared" si="68"/>
        <v>7.7219999999999997E-2</v>
      </c>
      <c r="L100" s="95"/>
      <c r="N100" t="s">
        <v>18</v>
      </c>
      <c r="O100">
        <f>+O59</f>
        <v>0.46666666666666662</v>
      </c>
      <c r="P100" s="95">
        <f t="shared" si="72"/>
        <v>3.9399999999999998E-2</v>
      </c>
      <c r="Q100" s="95">
        <f t="shared" si="72"/>
        <v>5.8799999999999998E-2</v>
      </c>
      <c r="R100" s="6">
        <f t="shared" si="70"/>
        <v>6.6839999999999997E-2</v>
      </c>
      <c r="S100" s="479">
        <f t="shared" si="75"/>
        <v>6</v>
      </c>
      <c r="T100" s="480">
        <f>+T96</f>
        <v>-4.0000000000000002E-4</v>
      </c>
      <c r="U100" s="128">
        <f t="shared" si="71"/>
        <v>6.6439999999999999E-2</v>
      </c>
      <c r="X100" s="95"/>
      <c r="Y100" s="95"/>
      <c r="Z100" s="95"/>
      <c r="AA100" s="95">
        <f t="shared" si="65"/>
        <v>7.7219999999999997E-2</v>
      </c>
      <c r="AB100" s="95" t="e">
        <f>+#REF!+H100</f>
        <v>#REF!</v>
      </c>
    </row>
    <row r="101" spans="2:28">
      <c r="B101" t="s">
        <v>113</v>
      </c>
      <c r="C101">
        <f>+'Beta Report'!B19</f>
        <v>0.75</v>
      </c>
      <c r="D101" s="95">
        <f t="shared" si="66"/>
        <v>3.9399999999999998E-2</v>
      </c>
      <c r="E101" s="95">
        <f t="shared" si="66"/>
        <v>5.8799999999999998E-2</v>
      </c>
      <c r="F101" s="6">
        <f t="shared" si="67"/>
        <v>8.3499999999999991E-2</v>
      </c>
      <c r="G101" s="479">
        <f t="shared" si="74"/>
        <v>5</v>
      </c>
      <c r="H101" s="480">
        <f>+H99</f>
        <v>1.1000000000000001E-3</v>
      </c>
      <c r="I101" s="128">
        <f t="shared" si="68"/>
        <v>8.4599999999999995E-2</v>
      </c>
      <c r="L101" s="95"/>
      <c r="N101" t="s">
        <v>113</v>
      </c>
      <c r="O101">
        <f>+O60</f>
        <v>0.69333333333333336</v>
      </c>
      <c r="P101" s="95">
        <f t="shared" si="72"/>
        <v>3.9399999999999998E-2</v>
      </c>
      <c r="Q101" s="95">
        <f t="shared" si="72"/>
        <v>5.8799999999999998E-2</v>
      </c>
      <c r="R101" s="6">
        <f t="shared" si="70"/>
        <v>8.0167999999999989E-2</v>
      </c>
      <c r="S101" s="479">
        <f t="shared" si="75"/>
        <v>5</v>
      </c>
      <c r="T101" s="480">
        <f>+T99</f>
        <v>1.1000000000000001E-3</v>
      </c>
      <c r="U101" s="128">
        <f t="shared" si="71"/>
        <v>8.1267999999999993E-2</v>
      </c>
      <c r="X101" s="95"/>
      <c r="Y101" s="95"/>
      <c r="Z101" s="95"/>
      <c r="AA101" s="95">
        <f t="shared" si="65"/>
        <v>8.4599999999999995E-2</v>
      </c>
      <c r="AB101" s="95" t="e">
        <f>+#REF!+H101</f>
        <v>#REF!</v>
      </c>
    </row>
    <row r="102" spans="2:28">
      <c r="B102" t="str">
        <f>+B21</f>
        <v>WGL Holdings</v>
      </c>
      <c r="C102">
        <f>+'Beta Report'!B20</f>
        <v>0.65</v>
      </c>
      <c r="D102" s="95">
        <f t="shared" si="66"/>
        <v>3.9399999999999998E-2</v>
      </c>
      <c r="E102" s="95">
        <f t="shared" si="66"/>
        <v>5.8799999999999998E-2</v>
      </c>
      <c r="F102" s="6">
        <f t="shared" ref="F102" si="76">D102+($C102*E102)</f>
        <v>7.7619999999999995E-2</v>
      </c>
      <c r="G102" s="479">
        <f t="shared" si="74"/>
        <v>5</v>
      </c>
      <c r="H102" s="480">
        <f>+H101</f>
        <v>1.1000000000000001E-3</v>
      </c>
      <c r="I102" s="128">
        <f t="shared" ref="I102" si="77">+F102+H102</f>
        <v>7.8719999999999998E-2</v>
      </c>
      <c r="L102" s="95"/>
      <c r="N102" t="str">
        <f>+B102</f>
        <v>WGL Holdings</v>
      </c>
      <c r="O102">
        <f t="shared" ref="O102" si="78">+O62</f>
        <v>0.45047619047619047</v>
      </c>
      <c r="P102" s="95">
        <f t="shared" si="72"/>
        <v>3.9399999999999998E-2</v>
      </c>
      <c r="Q102" s="95">
        <f t="shared" si="72"/>
        <v>5.8799999999999998E-2</v>
      </c>
      <c r="R102" s="6">
        <f t="shared" si="70"/>
        <v>6.5888000000000002E-2</v>
      </c>
      <c r="S102" s="479">
        <f>+U21</f>
        <v>5</v>
      </c>
      <c r="T102" s="480">
        <f>+T101</f>
        <v>1.1000000000000001E-3</v>
      </c>
      <c r="U102" s="128">
        <f t="shared" si="71"/>
        <v>6.6988000000000006E-2</v>
      </c>
      <c r="X102" s="95"/>
      <c r="Y102" s="95"/>
      <c r="Z102" s="95"/>
      <c r="AA102" s="95"/>
      <c r="AB102" s="95"/>
    </row>
    <row r="103" spans="2:28">
      <c r="D103" s="95"/>
      <c r="E103" s="95"/>
      <c r="F103" s="6"/>
      <c r="G103" s="310"/>
      <c r="P103" s="95"/>
      <c r="Q103" s="95"/>
      <c r="R103" s="6"/>
      <c r="S103" s="310"/>
    </row>
    <row r="104" spans="2:28" ht="14.25">
      <c r="B104" s="278" t="s">
        <v>38</v>
      </c>
      <c r="C104" s="278">
        <f>+C23</f>
        <v>0.67777777777777781</v>
      </c>
      <c r="D104" s="316">
        <f>+D101</f>
        <v>3.9399999999999998E-2</v>
      </c>
      <c r="E104" s="316">
        <f>+E101</f>
        <v>5.8799999999999998E-2</v>
      </c>
      <c r="F104" s="494">
        <f>AVERAGE(F94:F102)</f>
        <v>7.9253333333333342E-2</v>
      </c>
      <c r="G104" s="278"/>
      <c r="H104" s="495">
        <f>AVERAGE(H94:H102)</f>
        <v>2.0333333333333332E-3</v>
      </c>
      <c r="I104" s="316">
        <f>AVERAGE(I94:I102)</f>
        <v>8.1286666666666674E-2</v>
      </c>
      <c r="L104" s="231"/>
      <c r="N104" s="278" t="s">
        <v>38</v>
      </c>
      <c r="O104" s="278">
        <f>+O23</f>
        <v>0.45185185185185184</v>
      </c>
      <c r="P104" s="316">
        <f>+P101</f>
        <v>3.9399999999999998E-2</v>
      </c>
      <c r="Q104" s="316">
        <f>+Q101</f>
        <v>5.8799999999999998E-2</v>
      </c>
      <c r="R104" s="494">
        <f>AVERAGE(R94:R102)</f>
        <v>6.5013777777777781E-2</v>
      </c>
      <c r="S104" s="278"/>
      <c r="T104" s="495">
        <f>AVERAGE(T94:T102)</f>
        <v>2.0333333333333332E-3</v>
      </c>
      <c r="U104" s="316">
        <f>AVERAGE(U94:U102)</f>
        <v>6.7047111111111113E-2</v>
      </c>
      <c r="X104" s="231"/>
      <c r="Y104" s="231"/>
      <c r="Z104" s="231"/>
      <c r="AA104" s="95">
        <f>AVERAGE(AA94:AA103)</f>
        <v>8.1814285714285714E-2</v>
      </c>
      <c r="AB104" s="95" t="e">
        <f>AVERAGE(AB94:AB101)</f>
        <v>#REF!</v>
      </c>
    </row>
    <row r="105" spans="2:28">
      <c r="B105" t="s">
        <v>43</v>
      </c>
      <c r="D105" s="95"/>
      <c r="E105" s="95"/>
      <c r="F105" s="6">
        <f>STDEV(F94:F102)</f>
        <v>3.3233416917313793E-3</v>
      </c>
      <c r="G105" s="95"/>
      <c r="H105" s="293"/>
      <c r="I105" s="95">
        <f>STDEV(I94:I102)</f>
        <v>8.2542776788765686E-3</v>
      </c>
      <c r="L105" s="95"/>
      <c r="N105" t="s">
        <v>43</v>
      </c>
      <c r="P105" s="95"/>
      <c r="Q105" s="95"/>
      <c r="R105" s="6">
        <f>STDEV(R94:R101)</f>
        <v>8.1781153085536372E-3</v>
      </c>
      <c r="S105" s="95"/>
      <c r="T105" s="293"/>
      <c r="U105" s="95">
        <f>STDEV(U94:U102)</f>
        <v>1.0686515573895492E-2</v>
      </c>
      <c r="X105" s="95"/>
      <c r="Y105" s="95"/>
      <c r="Z105" s="95"/>
    </row>
    <row r="106" spans="2:28">
      <c r="B106" t="s">
        <v>21</v>
      </c>
      <c r="C106">
        <f>+C25</f>
        <v>0.7</v>
      </c>
      <c r="D106" s="95">
        <f>+D104</f>
        <v>3.9399999999999998E-2</v>
      </c>
      <c r="E106" s="95">
        <f>+E104</f>
        <v>5.8799999999999998E-2</v>
      </c>
      <c r="F106" s="6">
        <f>MEDIAN(F94:F102)</f>
        <v>8.0559999999999993E-2</v>
      </c>
      <c r="G106" s="95"/>
      <c r="H106" s="66">
        <f>MEDIAN(H94:H102)</f>
        <v>1.1000000000000001E-3</v>
      </c>
      <c r="I106" s="95">
        <f>MEDIAN(I94:I102)</f>
        <v>8.0159999999999995E-2</v>
      </c>
      <c r="L106" s="95"/>
      <c r="N106" t="s">
        <v>21</v>
      </c>
      <c r="O106">
        <f>+O25</f>
        <v>0.45999999999999996</v>
      </c>
      <c r="P106" s="95">
        <f>+P104</f>
        <v>3.9399999999999998E-2</v>
      </c>
      <c r="Q106" s="95">
        <f>+Q104</f>
        <v>5.8799999999999998E-2</v>
      </c>
      <c r="R106" s="6">
        <f>MEDIAN(R94:R102)</f>
        <v>6.5888000000000002E-2</v>
      </c>
      <c r="S106" s="95"/>
      <c r="T106" s="66">
        <f>MEDIAN(T94:T102)</f>
        <v>1.1000000000000001E-3</v>
      </c>
      <c r="U106" s="95">
        <f>MEDIAN(U94:U102)</f>
        <v>6.6988000000000006E-2</v>
      </c>
      <c r="X106" s="95"/>
      <c r="Y106" s="95"/>
      <c r="Z106" s="95"/>
    </row>
    <row r="107" spans="2:28" hidden="1">
      <c r="D107" s="95"/>
      <c r="E107" s="95"/>
      <c r="F107" s="6"/>
      <c r="P107" s="95"/>
      <c r="Q107" s="95"/>
      <c r="R107" s="6"/>
    </row>
    <row r="108" spans="2:28" ht="15.75" hidden="1">
      <c r="D108" s="95"/>
      <c r="F108" s="316">
        <f>+F104</f>
        <v>7.9253333333333342E-2</v>
      </c>
      <c r="I108" s="318">
        <f>+I104</f>
        <v>8.1286666666666674E-2</v>
      </c>
      <c r="L108" s="318"/>
      <c r="P108" s="95"/>
      <c r="R108" s="316">
        <f>+R104</f>
        <v>6.5013777777777781E-2</v>
      </c>
      <c r="U108" s="318">
        <f>+U104</f>
        <v>6.7047111111111113E-2</v>
      </c>
      <c r="X108" s="318"/>
      <c r="Y108" s="318"/>
      <c r="Z108" s="318"/>
    </row>
    <row r="109" spans="2:28" hidden="1">
      <c r="D109" s="95"/>
      <c r="E109" s="95"/>
      <c r="F109" s="6"/>
      <c r="I109" s="95"/>
      <c r="L109" s="95"/>
      <c r="P109" s="95"/>
      <c r="Q109" s="95"/>
      <c r="R109" s="6"/>
      <c r="U109" s="95"/>
      <c r="X109" s="95"/>
      <c r="Y109" s="95"/>
      <c r="Z109" s="95"/>
    </row>
    <row r="110" spans="2:28">
      <c r="C110" s="6" t="s">
        <v>251</v>
      </c>
      <c r="F110" s="95">
        <f>+F108-F105</f>
        <v>7.5929991641601968E-2</v>
      </c>
      <c r="G110" s="95"/>
      <c r="H110" s="95"/>
      <c r="I110" s="95">
        <f>+I104-I105</f>
        <v>7.3032388987790103E-2</v>
      </c>
      <c r="L110" s="95"/>
      <c r="O110" s="6" t="s">
        <v>251</v>
      </c>
      <c r="R110" s="95">
        <f>+R108-R105</f>
        <v>5.6835662469224141E-2</v>
      </c>
      <c r="S110" s="95"/>
      <c r="T110" s="95"/>
      <c r="U110" s="95">
        <f>+U104-U105</f>
        <v>5.6360595537215619E-2</v>
      </c>
      <c r="X110" s="95"/>
      <c r="Y110" s="95"/>
      <c r="Z110" s="95"/>
    </row>
    <row r="111" spans="2:28">
      <c r="F111" s="95">
        <f>+F108+F105</f>
        <v>8.2576675025064716E-2</v>
      </c>
      <c r="G111" s="95"/>
      <c r="H111" s="95"/>
      <c r="I111" s="95">
        <f>+I104+I105</f>
        <v>8.9540944345543244E-2</v>
      </c>
      <c r="L111" s="95"/>
      <c r="R111" s="95">
        <f>+R108+R105</f>
        <v>7.3191893086331422E-2</v>
      </c>
      <c r="S111" s="95"/>
      <c r="T111" s="95"/>
      <c r="U111" s="95">
        <f>+U104+U105</f>
        <v>7.7733626685006607E-2</v>
      </c>
      <c r="X111" s="95"/>
      <c r="Y111" s="95"/>
      <c r="Z111" s="95"/>
    </row>
    <row r="112" spans="2:28">
      <c r="F112" s="95"/>
      <c r="I112" s="95"/>
      <c r="J112" s="95"/>
      <c r="K112" s="95"/>
      <c r="L112" s="95"/>
      <c r="R112" s="95"/>
      <c r="U112" s="95"/>
      <c r="V112" s="95"/>
      <c r="W112" s="95"/>
      <c r="X112" s="95"/>
      <c r="Y112" s="95"/>
      <c r="Z112" s="95"/>
    </row>
    <row r="113" spans="2:31">
      <c r="B113" s="759" t="s">
        <v>322</v>
      </c>
      <c r="C113" s="760"/>
      <c r="D113" s="760"/>
      <c r="E113" s="760"/>
      <c r="F113" s="760"/>
      <c r="G113" s="760"/>
      <c r="H113" s="760"/>
      <c r="I113" s="760"/>
      <c r="J113" s="760"/>
      <c r="K113" s="761"/>
      <c r="L113" s="288"/>
      <c r="N113" s="759" t="s">
        <v>322</v>
      </c>
      <c r="O113" s="760"/>
      <c r="P113" s="760"/>
      <c r="Q113" s="760"/>
      <c r="R113" s="760"/>
      <c r="S113" s="760"/>
      <c r="T113" s="760"/>
      <c r="U113" s="760"/>
      <c r="V113" s="760"/>
      <c r="W113" s="761"/>
      <c r="X113" s="288"/>
      <c r="Y113" s="288"/>
      <c r="Z113" s="288"/>
      <c r="AC113" s="758">
        <v>41635</v>
      </c>
      <c r="AD113" s="758"/>
      <c r="AE113" s="758"/>
    </row>
    <row r="114" spans="2:31">
      <c r="B114" s="647"/>
      <c r="C114" s="668" t="str">
        <f>+C33</f>
        <v>Average</v>
      </c>
      <c r="D114" s="668"/>
      <c r="E114" s="668" t="str">
        <f>+E91</f>
        <v>Risk</v>
      </c>
      <c r="F114" s="668" t="str">
        <f>+F91</f>
        <v>Expected</v>
      </c>
      <c r="G114" s="668"/>
      <c r="H114" s="668" t="str">
        <f>+H91</f>
        <v>Size</v>
      </c>
      <c r="I114" s="668" t="str">
        <f>+I91</f>
        <v xml:space="preserve">Investor </v>
      </c>
      <c r="J114" s="668"/>
      <c r="K114" s="669"/>
      <c r="L114" s="288"/>
      <c r="N114" s="647"/>
      <c r="O114" s="668" t="str">
        <f>+O91</f>
        <v xml:space="preserve">Average </v>
      </c>
      <c r="P114" s="668"/>
      <c r="Q114" s="668" t="str">
        <f>+Q91</f>
        <v>Risk</v>
      </c>
      <c r="R114" s="668" t="str">
        <f>+R91</f>
        <v>Expected</v>
      </c>
      <c r="S114" s="668"/>
      <c r="T114" s="668" t="str">
        <f>+T91</f>
        <v>Size</v>
      </c>
      <c r="U114" s="668" t="str">
        <f>+U91</f>
        <v xml:space="preserve">Investor </v>
      </c>
      <c r="V114" s="668"/>
      <c r="W114" s="669"/>
      <c r="X114" s="288"/>
      <c r="Y114" s="288"/>
      <c r="Z114" s="288"/>
      <c r="AC114" s="645"/>
      <c r="AD114" s="645"/>
      <c r="AE114" s="645"/>
    </row>
    <row r="115" spans="2:31">
      <c r="B115" s="646"/>
      <c r="C115" s="673" t="str">
        <f>+C34</f>
        <v>VL Beta</v>
      </c>
      <c r="D115" s="675" t="str">
        <f>+D92</f>
        <v>30 Year Treasury</v>
      </c>
      <c r="E115" s="673" t="str">
        <f>+E92</f>
        <v>Premium</v>
      </c>
      <c r="F115" s="673" t="str">
        <f>+F92</f>
        <v>Return</v>
      </c>
      <c r="G115" s="673"/>
      <c r="H115" s="673" t="str">
        <f>+H92</f>
        <v>Premium</v>
      </c>
      <c r="I115" s="676" t="str">
        <f>+I92</f>
        <v>Expectation</v>
      </c>
      <c r="J115" s="673"/>
      <c r="K115" s="674"/>
      <c r="L115" s="288"/>
      <c r="N115" s="646"/>
      <c r="O115" s="673" t="str">
        <f>+O92</f>
        <v>Beta</v>
      </c>
      <c r="P115" s="675" t="str">
        <f>+P92</f>
        <v>30 Year Treasury</v>
      </c>
      <c r="Q115" s="673" t="str">
        <f>+Q92</f>
        <v>Premium</v>
      </c>
      <c r="R115" s="673" t="str">
        <f>+R92</f>
        <v>Return</v>
      </c>
      <c r="S115" s="673"/>
      <c r="T115" s="673" t="str">
        <f>+T92</f>
        <v>Premium</v>
      </c>
      <c r="U115" s="676" t="str">
        <f>+U92</f>
        <v>Expectation</v>
      </c>
      <c r="V115" s="673"/>
      <c r="W115" s="674"/>
      <c r="X115" s="288"/>
      <c r="Y115" s="288"/>
      <c r="Z115" s="288"/>
      <c r="AC115" s="645"/>
      <c r="AD115" s="645"/>
      <c r="AE115" s="645"/>
    </row>
    <row r="116" spans="2:31">
      <c r="B116" s="152" t="s">
        <v>230</v>
      </c>
      <c r="C116" s="36">
        <f>+C104</f>
        <v>0.67777777777777781</v>
      </c>
      <c r="D116" s="293">
        <f>+D104</f>
        <v>3.9399999999999998E-2</v>
      </c>
      <c r="E116" s="293">
        <v>3.9E-2</v>
      </c>
      <c r="F116" s="21">
        <f>D116+($C116*E116)</f>
        <v>6.5833333333333327E-2</v>
      </c>
      <c r="G116" s="293"/>
      <c r="H116" s="293">
        <f>+H104</f>
        <v>2.0333333333333332E-3</v>
      </c>
      <c r="I116" s="293">
        <f>+H116+F116</f>
        <v>6.7866666666666658E-2</v>
      </c>
      <c r="J116" s="293"/>
      <c r="K116" s="326"/>
      <c r="L116" s="293"/>
      <c r="N116" s="152" t="s">
        <v>230</v>
      </c>
      <c r="O116" s="36">
        <f>+O104</f>
        <v>0.45185185185185184</v>
      </c>
      <c r="P116" s="293">
        <f>+P104</f>
        <v>3.9399999999999998E-2</v>
      </c>
      <c r="Q116" s="293">
        <v>3.9E-2</v>
      </c>
      <c r="R116" s="21">
        <f>P116+($O116*Q116)</f>
        <v>5.7022222222222224E-2</v>
      </c>
      <c r="S116" s="293"/>
      <c r="T116" s="293">
        <f>+T104</f>
        <v>2.0333333333333332E-3</v>
      </c>
      <c r="U116" s="293">
        <f>+T116+R116</f>
        <v>5.9055555555555556E-2</v>
      </c>
      <c r="V116" s="293"/>
      <c r="W116" s="326"/>
      <c r="X116" s="293"/>
      <c r="Y116" s="293"/>
      <c r="Z116" s="293"/>
      <c r="AC116" s="477" t="s">
        <v>269</v>
      </c>
      <c r="AD116" s="477" t="s">
        <v>270</v>
      </c>
      <c r="AE116" s="477" t="s">
        <v>271</v>
      </c>
    </row>
    <row r="117" spans="2:31">
      <c r="B117" s="314" t="str">
        <f>+B78</f>
        <v>50 Year Average</v>
      </c>
      <c r="C117" s="500">
        <f>+C116</f>
        <v>0.67777777777777781</v>
      </c>
      <c r="D117" s="319">
        <f>+D116</f>
        <v>3.9399999999999998E-2</v>
      </c>
      <c r="E117" s="319">
        <v>3.9100000000000003E-2</v>
      </c>
      <c r="F117" s="67">
        <f>D117+($C117*E117)</f>
        <v>6.5901111111111105E-2</v>
      </c>
      <c r="G117" s="319"/>
      <c r="H117" s="319">
        <f>+H116</f>
        <v>2.0333333333333332E-3</v>
      </c>
      <c r="I117" s="319">
        <f>+H117+F117</f>
        <v>6.7934444444444436E-2</v>
      </c>
      <c r="J117" s="319"/>
      <c r="K117" s="501"/>
      <c r="L117" s="319"/>
      <c r="N117" s="314" t="str">
        <f>+N78</f>
        <v>50 Year Average</v>
      </c>
      <c r="O117" s="500">
        <f>+O116</f>
        <v>0.45185185185185184</v>
      </c>
      <c r="P117" s="319">
        <f>+P116</f>
        <v>3.9399999999999998E-2</v>
      </c>
      <c r="Q117" s="319">
        <v>3.9100000000000003E-2</v>
      </c>
      <c r="R117" s="67">
        <f>P117+($O117*Q117)</f>
        <v>5.7067407407407407E-2</v>
      </c>
      <c r="S117" s="319"/>
      <c r="T117" s="319">
        <f>+T116</f>
        <v>2.0333333333333332E-3</v>
      </c>
      <c r="U117" s="319">
        <f>+T117+R117</f>
        <v>5.9100740740740738E-2</v>
      </c>
      <c r="V117" s="319"/>
      <c r="W117" s="501"/>
      <c r="X117" s="319"/>
      <c r="Y117" s="319"/>
      <c r="Z117" s="319"/>
      <c r="AC117" s="478"/>
      <c r="AD117" s="478"/>
      <c r="AE117" s="478">
        <v>3.9399999999999998E-2</v>
      </c>
    </row>
    <row r="118" spans="2:31">
      <c r="B118" s="503" t="s">
        <v>321</v>
      </c>
      <c r="C118" s="303">
        <f>+C117</f>
        <v>0.67777777777777781</v>
      </c>
      <c r="D118" s="302">
        <f>+D117</f>
        <v>3.9399999999999998E-2</v>
      </c>
      <c r="E118" s="302">
        <v>5.8799999999999998E-2</v>
      </c>
      <c r="F118" s="317">
        <f>D118+($C118*E118)</f>
        <v>7.9253333333333328E-2</v>
      </c>
      <c r="G118" s="302"/>
      <c r="H118" s="302">
        <f>+H117</f>
        <v>2.0333333333333332E-3</v>
      </c>
      <c r="I118" s="302">
        <f>+H118+F118</f>
        <v>8.128666666666666E-2</v>
      </c>
      <c r="J118" s="302"/>
      <c r="K118" s="327"/>
      <c r="L118" s="293"/>
      <c r="N118" s="503" t="s">
        <v>321</v>
      </c>
      <c r="O118" s="303">
        <f>+O117</f>
        <v>0.45185185185185184</v>
      </c>
      <c r="P118" s="302">
        <f>+P117</f>
        <v>3.9399999999999998E-2</v>
      </c>
      <c r="Q118" s="302">
        <v>5.8799999999999998E-2</v>
      </c>
      <c r="R118" s="317">
        <f>P118+($O118*Q118)</f>
        <v>6.5968888888888882E-2</v>
      </c>
      <c r="S118" s="302"/>
      <c r="T118" s="302">
        <f>+T117</f>
        <v>2.0333333333333332E-3</v>
      </c>
      <c r="U118" s="302">
        <f>+T118+R118</f>
        <v>6.8002222222222214E-2</v>
      </c>
      <c r="V118" s="302"/>
      <c r="W118" s="327"/>
      <c r="X118" s="293"/>
      <c r="Y118" s="293"/>
      <c r="Z118" s="293"/>
    </row>
    <row r="119" spans="2:31">
      <c r="F119" s="95"/>
      <c r="R119" s="95"/>
    </row>
    <row r="121" spans="2:31" hidden="1">
      <c r="D121" s="473"/>
      <c r="E121" s="2"/>
      <c r="F121" s="2"/>
    </row>
    <row r="122" spans="2:31" s="2" customFormat="1" hidden="1">
      <c r="D122" s="176" t="s">
        <v>188</v>
      </c>
      <c r="E122" s="125"/>
      <c r="F122" s="125" t="s">
        <v>223</v>
      </c>
      <c r="G122" s="125" t="s">
        <v>68</v>
      </c>
      <c r="H122" s="126" t="s">
        <v>2</v>
      </c>
      <c r="I122" s="126"/>
      <c r="J122" s="126"/>
    </row>
    <row r="123" spans="2:31" hidden="1">
      <c r="B123" s="2" t="s">
        <v>3</v>
      </c>
      <c r="C123" s="2" t="s">
        <v>67</v>
      </c>
      <c r="D123" s="177" t="s">
        <v>189</v>
      </c>
      <c r="E123" s="125" t="s">
        <v>244</v>
      </c>
      <c r="F123" s="125" t="s">
        <v>243</v>
      </c>
      <c r="G123" s="125" t="s">
        <v>69</v>
      </c>
      <c r="H123" s="125" t="s">
        <v>69</v>
      </c>
      <c r="I123" s="125"/>
      <c r="J123" s="125"/>
    </row>
    <row r="124" spans="2:31" ht="7.5" hidden="1" customHeight="1">
      <c r="B124" s="3"/>
      <c r="C124" s="3"/>
      <c r="D124" s="3"/>
      <c r="E124" s="3"/>
      <c r="F124" s="3"/>
      <c r="G124" s="3"/>
      <c r="H124" s="3"/>
      <c r="I124" s="36"/>
      <c r="J124" s="36"/>
    </row>
    <row r="125" spans="2:31" hidden="1">
      <c r="B125" t="str">
        <f>'1.3 SR DCF SS'!A16</f>
        <v>AGL Resources</v>
      </c>
      <c r="C125">
        <f>+'Value Line'!D20</f>
        <v>0.75</v>
      </c>
      <c r="D125" s="6">
        <f>+AC117</f>
        <v>0</v>
      </c>
      <c r="E125" s="6"/>
      <c r="F125" s="6">
        <v>6.5000000000000002E-2</v>
      </c>
      <c r="G125" s="6" t="e">
        <f>#REF!+$C125*E125</f>
        <v>#REF!</v>
      </c>
      <c r="H125" s="6" t="e">
        <f>#REF!+$C125*F125</f>
        <v>#REF!</v>
      </c>
      <c r="I125" s="6"/>
      <c r="J125" s="6"/>
      <c r="AB125" s="95">
        <v>6.0299999999999999E-2</v>
      </c>
      <c r="AC125" s="95">
        <f t="shared" ref="AC125:AC131" si="79">+AB125+D125</f>
        <v>6.0299999999999999E-2</v>
      </c>
      <c r="AD125" s="95">
        <f t="shared" ref="AD125:AD131" si="80">+AB125*C125+D125</f>
        <v>4.5225000000000001E-2</v>
      </c>
    </row>
    <row r="126" spans="2:31" hidden="1">
      <c r="B126" t="str">
        <f>'1.3 SR DCF SS'!A17</f>
        <v>Atmos Energy</v>
      </c>
      <c r="C126">
        <f>+'Value Line'!D21</f>
        <v>0.7</v>
      </c>
      <c r="D126" s="6">
        <f t="shared" ref="D126:D131" si="81">+D125</f>
        <v>0</v>
      </c>
      <c r="E126" s="6"/>
      <c r="F126" s="6">
        <f>F125</f>
        <v>6.5000000000000002E-2</v>
      </c>
      <c r="G126" s="6" t="e">
        <f>#REF!+C126*E126</f>
        <v>#REF!</v>
      </c>
      <c r="H126" s="6" t="e">
        <f>#REF!+$C126*F126</f>
        <v>#REF!</v>
      </c>
      <c r="I126" s="6"/>
      <c r="J126" s="6"/>
      <c r="AB126" s="95">
        <v>6.0299999999999999E-2</v>
      </c>
      <c r="AC126" s="95">
        <f t="shared" si="79"/>
        <v>6.0299999999999999E-2</v>
      </c>
      <c r="AD126" s="95">
        <f t="shared" si="80"/>
        <v>4.2209999999999998E-2</v>
      </c>
    </row>
    <row r="127" spans="2:31" hidden="1">
      <c r="B127" t="str">
        <f>'1.3 SR DCF SS'!A18</f>
        <v>Laclede Group</v>
      </c>
      <c r="C127">
        <f>+'Value Line'!D22</f>
        <v>0.6</v>
      </c>
      <c r="D127" s="6">
        <f t="shared" si="81"/>
        <v>0</v>
      </c>
      <c r="E127" s="6"/>
      <c r="F127" s="6">
        <f>F126</f>
        <v>6.5000000000000002E-2</v>
      </c>
      <c r="G127" s="6" t="e">
        <f>#REF!+C127*E127</f>
        <v>#REF!</v>
      </c>
      <c r="H127" s="6" t="e">
        <f>#REF!+$C127*F127</f>
        <v>#REF!</v>
      </c>
      <c r="I127" s="6"/>
      <c r="J127" s="6"/>
      <c r="AB127" s="95">
        <v>6.0299999999999999E-2</v>
      </c>
      <c r="AC127" s="95">
        <f t="shared" si="79"/>
        <v>6.0299999999999999E-2</v>
      </c>
      <c r="AD127" s="95">
        <f t="shared" si="80"/>
        <v>3.6179999999999997E-2</v>
      </c>
    </row>
    <row r="128" spans="2:31" hidden="1">
      <c r="B128" t="str">
        <f>'1.3 SR DCF SS'!A20</f>
        <v>Northwest Nat. Gas</v>
      </c>
      <c r="C128">
        <f>+'Value Line'!D24</f>
        <v>0.6</v>
      </c>
      <c r="D128" s="6">
        <f t="shared" si="81"/>
        <v>0</v>
      </c>
      <c r="E128" s="6"/>
      <c r="F128" s="6">
        <f>+F127</f>
        <v>6.5000000000000002E-2</v>
      </c>
      <c r="G128" s="6" t="e">
        <f>#REF!+C128*E128</f>
        <v>#REF!</v>
      </c>
      <c r="H128" s="6" t="e">
        <f>#REF!+$C128*F128</f>
        <v>#REF!</v>
      </c>
      <c r="I128" s="6"/>
      <c r="J128" s="6"/>
      <c r="AB128" s="95">
        <v>6.0299999999999999E-2</v>
      </c>
      <c r="AC128" s="95">
        <f t="shared" si="79"/>
        <v>6.0299999999999999E-2</v>
      </c>
      <c r="AD128" s="95">
        <f t="shared" si="80"/>
        <v>3.6179999999999997E-2</v>
      </c>
    </row>
    <row r="129" spans="2:30" hidden="1">
      <c r="B129" t="str">
        <f>'1.3 SR DCF SS'!A21</f>
        <v>Piedmont Natural Gas</v>
      </c>
      <c r="C129">
        <f>+'Value Line'!D25</f>
        <v>0.7</v>
      </c>
      <c r="D129" s="6">
        <f t="shared" si="81"/>
        <v>0</v>
      </c>
      <c r="E129" s="6"/>
      <c r="F129" s="6">
        <f>F128</f>
        <v>6.5000000000000002E-2</v>
      </c>
      <c r="G129" s="6" t="e">
        <f>#REF!+C129*E129</f>
        <v>#REF!</v>
      </c>
      <c r="H129" s="6" t="e">
        <f>#REF!+$C129*F129</f>
        <v>#REF!</v>
      </c>
      <c r="I129" s="6"/>
      <c r="J129" s="6"/>
      <c r="AB129" s="95">
        <v>6.0299999999999999E-2</v>
      </c>
      <c r="AC129" s="95">
        <f t="shared" si="79"/>
        <v>6.0299999999999999E-2</v>
      </c>
      <c r="AD129" s="95">
        <f t="shared" si="80"/>
        <v>4.2209999999999998E-2</v>
      </c>
    </row>
    <row r="130" spans="2:30" hidden="1">
      <c r="B130" t="str">
        <f>'1.3 SR DCF SS'!A22</f>
        <v>South Jersey Inds.</v>
      </c>
      <c r="C130">
        <f>+'Value Line'!D26</f>
        <v>0.65</v>
      </c>
      <c r="D130" s="6">
        <f t="shared" si="81"/>
        <v>0</v>
      </c>
      <c r="E130" s="6"/>
      <c r="F130" s="6">
        <f>F129</f>
        <v>6.5000000000000002E-2</v>
      </c>
      <c r="G130" s="6" t="e">
        <f>#REF!+C130*E130</f>
        <v>#REF!</v>
      </c>
      <c r="H130" s="6" t="e">
        <f>#REF!+$C130*F130</f>
        <v>#REF!</v>
      </c>
      <c r="I130" s="6"/>
      <c r="J130" s="6"/>
      <c r="AB130" s="95">
        <v>6.0299999999999999E-2</v>
      </c>
      <c r="AC130" s="95">
        <f t="shared" si="79"/>
        <v>6.0299999999999999E-2</v>
      </c>
      <c r="AD130" s="95">
        <f t="shared" si="80"/>
        <v>3.9195000000000001E-2</v>
      </c>
    </row>
    <row r="131" spans="2:30" hidden="1">
      <c r="B131" t="str">
        <f>'1.3 SR DCF SS'!A23</f>
        <v>Southwest Gas</v>
      </c>
      <c r="C131">
        <f>+'Value Line'!D27</f>
        <v>0.75</v>
      </c>
      <c r="D131" s="6">
        <f t="shared" si="81"/>
        <v>0</v>
      </c>
      <c r="E131" s="6"/>
      <c r="F131" s="6">
        <f>F130</f>
        <v>6.5000000000000002E-2</v>
      </c>
      <c r="G131" s="6" t="e">
        <f>#REF!+C131*E131</f>
        <v>#REF!</v>
      </c>
      <c r="H131" s="6" t="e">
        <f>#REF!+$C131*F131</f>
        <v>#REF!</v>
      </c>
      <c r="I131" s="6"/>
      <c r="J131" s="6"/>
      <c r="AB131" s="95">
        <v>6.0299999999999999E-2</v>
      </c>
      <c r="AC131" s="95">
        <f t="shared" si="79"/>
        <v>6.0299999999999999E-2</v>
      </c>
      <c r="AD131" s="95">
        <f t="shared" si="80"/>
        <v>4.5225000000000001E-2</v>
      </c>
    </row>
    <row r="132" spans="2:30" ht="7.5" hidden="1" customHeight="1">
      <c r="C132" s="3"/>
      <c r="D132" s="11"/>
      <c r="E132" s="11"/>
      <c r="F132" s="11"/>
      <c r="G132" s="11"/>
      <c r="H132" s="11"/>
      <c r="I132" s="21"/>
      <c r="J132" s="21"/>
    </row>
    <row r="133" spans="2:30" hidden="1">
      <c r="B133" s="5" t="s">
        <v>38</v>
      </c>
      <c r="C133">
        <f>AVERAGE(C125:C132)</f>
        <v>0.6785714285714286</v>
      </c>
      <c r="D133" s="6"/>
      <c r="E133" s="6"/>
      <c r="F133" s="6"/>
      <c r="G133" s="6" t="e">
        <f>AVERAGE(G125:G132)</f>
        <v>#REF!</v>
      </c>
      <c r="H133" s="6" t="e">
        <f>AVERAGE(H125:H132)</f>
        <v>#REF!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D133" s="6">
        <f>AVERAGE(AD125:AD132)</f>
        <v>4.0917857142857138E-2</v>
      </c>
    </row>
    <row r="134" spans="2:30" hidden="1">
      <c r="B134" s="5" t="s">
        <v>43</v>
      </c>
      <c r="C134">
        <f>STDEV(C125:C132)</f>
        <v>6.3620901028034832E-2</v>
      </c>
      <c r="D134" s="6"/>
      <c r="E134" s="6"/>
      <c r="F134" s="6"/>
      <c r="G134" s="6" t="e">
        <f>STDEV(G125:G132)</f>
        <v>#REF!</v>
      </c>
      <c r="H134" s="6" t="e">
        <f>STDEV(H125:H132)</f>
        <v>#REF!</v>
      </c>
      <c r="I134" s="6"/>
      <c r="J134" s="6"/>
      <c r="AD134" s="6">
        <f>STDEV(AD125:AD132)</f>
        <v>3.8363403319905229E-3</v>
      </c>
    </row>
    <row r="135" spans="2:30" hidden="1">
      <c r="B135" s="5" t="s">
        <v>21</v>
      </c>
      <c r="C135">
        <f>MEDIAN(C125:C132)</f>
        <v>0.7</v>
      </c>
      <c r="D135" s="6"/>
      <c r="E135" s="6"/>
      <c r="F135" s="6"/>
      <c r="G135" s="6" t="e">
        <f>MEDIAN(G125:G132)</f>
        <v>#REF!</v>
      </c>
      <c r="H135" s="6" t="e">
        <f>MEDIAN(H125:H132)</f>
        <v>#REF!</v>
      </c>
      <c r="I135" s="6"/>
      <c r="J135" s="6"/>
      <c r="AD135" s="6">
        <f>MEDIAN(AD125:AD132)</f>
        <v>4.2209999999999998E-2</v>
      </c>
    </row>
    <row r="136" spans="2:30" hidden="1">
      <c r="B136" s="5"/>
      <c r="D136" s="6"/>
      <c r="E136" s="6"/>
      <c r="F136" s="6"/>
      <c r="G136" s="6"/>
      <c r="H136" s="6"/>
      <c r="I136" s="6"/>
      <c r="J136" s="6"/>
    </row>
    <row r="137" spans="2:30" ht="15.75" hidden="1">
      <c r="B137" s="8" t="s">
        <v>70</v>
      </c>
      <c r="D137" s="9">
        <f>+AD133</f>
        <v>4.0917857142857138E-2</v>
      </c>
      <c r="E137" s="6"/>
      <c r="F137" s="6"/>
      <c r="G137" s="7" t="e">
        <f>G133</f>
        <v>#REF!</v>
      </c>
      <c r="H137" s="7" t="e">
        <f>H133</f>
        <v>#REF!</v>
      </c>
      <c r="I137" s="7"/>
      <c r="J137" s="7"/>
    </row>
    <row r="138" spans="2:30" hidden="1">
      <c r="AD138" s="95">
        <f>+AD133+AD134</f>
        <v>4.4754197474847664E-2</v>
      </c>
    </row>
    <row r="139" spans="2:30" hidden="1">
      <c r="AD139" s="95">
        <f>+AD133-AD134</f>
        <v>3.7081516810866612E-2</v>
      </c>
    </row>
    <row r="140" spans="2:30" hidden="1">
      <c r="B140" s="37" t="s">
        <v>102</v>
      </c>
    </row>
    <row r="141" spans="2:30" hidden="1"/>
    <row r="142" spans="2:30" hidden="1"/>
    <row r="143" spans="2:30" hidden="1">
      <c r="D143" s="245">
        <f>+D10</f>
        <v>41635</v>
      </c>
      <c r="F143" t="str">
        <f>+F10</f>
        <v>Expected</v>
      </c>
    </row>
    <row r="144" spans="2:30" hidden="1">
      <c r="D144" t="s">
        <v>229</v>
      </c>
      <c r="E144" t="str">
        <f>+E11</f>
        <v>Premium</v>
      </c>
      <c r="F144" t="str">
        <f>+F11</f>
        <v>Return</v>
      </c>
    </row>
    <row r="145" spans="2:6" hidden="1"/>
    <row r="146" spans="2:6" hidden="1">
      <c r="B146" t="s">
        <v>5</v>
      </c>
      <c r="C146">
        <v>0.75</v>
      </c>
      <c r="D146" s="6">
        <f>+AC117</f>
        <v>0</v>
      </c>
      <c r="E146" s="6">
        <v>6.9500000000000006E-2</v>
      </c>
      <c r="F146" s="6">
        <f t="shared" ref="F146:F154" si="82">D146+$C146*E146</f>
        <v>5.2125000000000005E-2</v>
      </c>
    </row>
    <row r="147" spans="2:6" hidden="1">
      <c r="B147" t="s">
        <v>7</v>
      </c>
      <c r="C147">
        <v>0.85</v>
      </c>
      <c r="D147" s="6">
        <f>+D146</f>
        <v>0</v>
      </c>
      <c r="E147" s="6">
        <f>+E146</f>
        <v>6.9500000000000006E-2</v>
      </c>
      <c r="F147" s="6">
        <f t="shared" si="82"/>
        <v>5.9075000000000003E-2</v>
      </c>
    </row>
    <row r="148" spans="2:6" hidden="1">
      <c r="B148" t="s">
        <v>10</v>
      </c>
      <c r="C148">
        <v>0.6</v>
      </c>
      <c r="D148" s="6">
        <f t="shared" ref="D148:D154" si="83">+D147</f>
        <v>0</v>
      </c>
      <c r="E148" s="6">
        <f t="shared" ref="E148:E154" si="84">+E147</f>
        <v>6.9500000000000006E-2</v>
      </c>
      <c r="F148" s="6">
        <f t="shared" si="82"/>
        <v>4.1700000000000001E-2</v>
      </c>
    </row>
    <row r="149" spans="2:6" hidden="1">
      <c r="B149" t="s">
        <v>103</v>
      </c>
      <c r="C149">
        <v>0.75</v>
      </c>
      <c r="D149" s="6">
        <f t="shared" si="83"/>
        <v>0</v>
      </c>
      <c r="E149" s="6">
        <f t="shared" si="84"/>
        <v>6.9500000000000006E-2</v>
      </c>
      <c r="F149" s="6">
        <f t="shared" si="82"/>
        <v>5.2125000000000005E-2</v>
      </c>
    </row>
    <row r="150" spans="2:6" hidden="1">
      <c r="B150" t="s">
        <v>14</v>
      </c>
      <c r="C150">
        <v>0.6</v>
      </c>
      <c r="D150" s="6">
        <f t="shared" si="83"/>
        <v>0</v>
      </c>
      <c r="E150" s="6">
        <f t="shared" si="84"/>
        <v>6.9500000000000006E-2</v>
      </c>
      <c r="F150" s="6">
        <f t="shared" si="82"/>
        <v>4.1700000000000001E-2</v>
      </c>
    </row>
    <row r="151" spans="2:6" hidden="1">
      <c r="B151" t="s">
        <v>16</v>
      </c>
      <c r="C151">
        <v>0.65</v>
      </c>
      <c r="D151" s="6">
        <f t="shared" si="83"/>
        <v>0</v>
      </c>
      <c r="E151" s="6">
        <f t="shared" si="84"/>
        <v>6.9500000000000006E-2</v>
      </c>
      <c r="F151" s="6">
        <f t="shared" si="82"/>
        <v>4.5175000000000007E-2</v>
      </c>
    </row>
    <row r="152" spans="2:6" hidden="1">
      <c r="B152" t="s">
        <v>18</v>
      </c>
      <c r="C152">
        <v>0.65</v>
      </c>
      <c r="D152" s="6">
        <f t="shared" si="83"/>
        <v>0</v>
      </c>
      <c r="E152" s="6">
        <f t="shared" si="84"/>
        <v>6.9500000000000006E-2</v>
      </c>
      <c r="F152" s="6">
        <f t="shared" si="82"/>
        <v>4.5175000000000007E-2</v>
      </c>
    </row>
    <row r="153" spans="2:6" hidden="1">
      <c r="B153" t="s">
        <v>113</v>
      </c>
      <c r="C153">
        <v>0.75</v>
      </c>
      <c r="D153" s="6">
        <f t="shared" si="83"/>
        <v>0</v>
      </c>
      <c r="E153" s="6">
        <f t="shared" si="84"/>
        <v>6.9500000000000006E-2</v>
      </c>
      <c r="F153" s="6">
        <f t="shared" si="82"/>
        <v>5.2125000000000005E-2</v>
      </c>
    </row>
    <row r="154" spans="2:6" hidden="1">
      <c r="B154" t="s">
        <v>104</v>
      </c>
      <c r="C154">
        <v>0.65</v>
      </c>
      <c r="D154" s="6">
        <f t="shared" si="83"/>
        <v>0</v>
      </c>
      <c r="E154" s="6">
        <f t="shared" si="84"/>
        <v>6.9500000000000006E-2</v>
      </c>
      <c r="F154" s="6">
        <f t="shared" si="82"/>
        <v>4.5175000000000007E-2</v>
      </c>
    </row>
    <row r="155" spans="2:6" hidden="1">
      <c r="D155" s="6"/>
      <c r="E155" s="6"/>
      <c r="F155" s="6"/>
    </row>
    <row r="156" spans="2:6" hidden="1">
      <c r="B156" t="s">
        <v>38</v>
      </c>
      <c r="C156">
        <v>0.69444444444444453</v>
      </c>
      <c r="D156" s="6"/>
      <c r="E156" s="6"/>
      <c r="F156" s="95">
        <f>AVERAGE(F146:F154)</f>
        <v>4.8263888888888905E-2</v>
      </c>
    </row>
    <row r="157" spans="2:6" hidden="1">
      <c r="B157" t="s">
        <v>21</v>
      </c>
      <c r="C157">
        <v>0.65</v>
      </c>
      <c r="D157" s="6"/>
      <c r="E157" s="6"/>
      <c r="F157" s="95">
        <f>MEDIAN(F146:F154)</f>
        <v>4.5175000000000007E-2</v>
      </c>
    </row>
    <row r="158" spans="2:6" hidden="1"/>
    <row r="159" spans="2:6" hidden="1"/>
    <row r="160" spans="2:6" hidden="1"/>
    <row r="161" spans="1:10">
      <c r="D161" t="s">
        <v>848</v>
      </c>
    </row>
    <row r="162" spans="1:10" s="183" customFormat="1" ht="38.25">
      <c r="A162" s="720"/>
      <c r="D162" s="721" t="s">
        <v>849</v>
      </c>
      <c r="E162" s="721" t="s">
        <v>223</v>
      </c>
      <c r="F162" s="721" t="s">
        <v>850</v>
      </c>
      <c r="G162" s="721" t="s">
        <v>851</v>
      </c>
      <c r="H162" s="721" t="s">
        <v>852</v>
      </c>
      <c r="J162" s="720"/>
    </row>
    <row r="163" spans="1:10">
      <c r="A163" s="95"/>
      <c r="B163" t="str">
        <f t="shared" ref="B163:B171" si="85">+B94</f>
        <v>AGL Resources</v>
      </c>
      <c r="D163" s="95">
        <f>+D104</f>
        <v>3.9399999999999998E-2</v>
      </c>
      <c r="E163" s="95">
        <f t="shared" ref="E163:E171" si="86">+E13</f>
        <v>6.7000000000000004E-2</v>
      </c>
      <c r="F163" s="95">
        <f t="shared" ref="F163:F171" si="87">+J13</f>
        <v>9.1999999999999998E-3</v>
      </c>
      <c r="G163" s="95">
        <v>-2.4400000000000002E-2</v>
      </c>
      <c r="H163" s="95">
        <f>+G163+F163+E163+D163</f>
        <v>9.1200000000000003E-2</v>
      </c>
      <c r="I163" s="95"/>
      <c r="J163" s="95"/>
    </row>
    <row r="164" spans="1:10">
      <c r="A164" s="95"/>
      <c r="B164" t="str">
        <f t="shared" si="85"/>
        <v>Atmos Energy</v>
      </c>
      <c r="D164" s="95">
        <f>+D163</f>
        <v>3.9399999999999998E-2</v>
      </c>
      <c r="E164" s="95">
        <f t="shared" si="86"/>
        <v>6.7000000000000004E-2</v>
      </c>
      <c r="F164" s="95">
        <f t="shared" si="87"/>
        <v>1.14E-2</v>
      </c>
      <c r="G164" s="95">
        <v>-2.4400000000000002E-2</v>
      </c>
      <c r="H164" s="95">
        <f t="shared" ref="H164:H173" si="88">+G164+F164+E164+D164</f>
        <v>9.3400000000000011E-2</v>
      </c>
      <c r="I164" s="95"/>
      <c r="J164" s="95"/>
    </row>
    <row r="165" spans="1:10">
      <c r="A165" s="95"/>
      <c r="B165" t="str">
        <f t="shared" si="85"/>
        <v>Laclede Group</v>
      </c>
      <c r="D165" s="95">
        <f t="shared" ref="D165:D171" si="89">+D164</f>
        <v>3.9399999999999998E-2</v>
      </c>
      <c r="E165" s="95">
        <f t="shared" si="86"/>
        <v>6.7000000000000004E-2</v>
      </c>
      <c r="F165" s="95">
        <f t="shared" si="87"/>
        <v>1.72E-2</v>
      </c>
      <c r="G165" s="95">
        <v>-2.4400000000000002E-2</v>
      </c>
      <c r="H165" s="95">
        <f t="shared" si="88"/>
        <v>9.920000000000001E-2</v>
      </c>
      <c r="I165" s="95"/>
      <c r="J165" s="95"/>
    </row>
    <row r="166" spans="1:10">
      <c r="B166" t="str">
        <f t="shared" si="85"/>
        <v>New Jersey Resources</v>
      </c>
      <c r="D166" s="95">
        <f t="shared" si="89"/>
        <v>3.9399999999999998E-2</v>
      </c>
      <c r="E166" s="95">
        <f t="shared" si="86"/>
        <v>6.7000000000000004E-2</v>
      </c>
      <c r="F166" s="95">
        <f t="shared" si="87"/>
        <v>1.72E-2</v>
      </c>
      <c r="G166" s="95">
        <v>-2.4400000000000002E-2</v>
      </c>
      <c r="H166" s="95">
        <f t="shared" si="88"/>
        <v>9.920000000000001E-2</v>
      </c>
      <c r="I166" s="95"/>
      <c r="J166" s="95"/>
    </row>
    <row r="167" spans="1:10">
      <c r="B167" t="str">
        <f t="shared" si="85"/>
        <v>Northwest Nat. Gas</v>
      </c>
      <c r="D167" s="95">
        <f t="shared" si="89"/>
        <v>3.9399999999999998E-2</v>
      </c>
      <c r="E167" s="95">
        <f t="shared" si="86"/>
        <v>6.7000000000000004E-2</v>
      </c>
      <c r="F167" s="95">
        <f t="shared" si="87"/>
        <v>1.7299999999999999E-2</v>
      </c>
      <c r="G167" s="95">
        <v>-2.4400000000000002E-2</v>
      </c>
      <c r="H167" s="95">
        <f t="shared" si="88"/>
        <v>9.9299999999999999E-2</v>
      </c>
      <c r="I167" s="95"/>
      <c r="J167" s="95"/>
    </row>
    <row r="168" spans="1:10">
      <c r="B168" t="str">
        <f t="shared" si="85"/>
        <v>Piedmont Natural Gas</v>
      </c>
      <c r="D168" s="95">
        <f t="shared" si="89"/>
        <v>3.9399999999999998E-2</v>
      </c>
      <c r="E168" s="95">
        <f t="shared" si="86"/>
        <v>6.7000000000000004E-2</v>
      </c>
      <c r="F168" s="95">
        <f t="shared" si="87"/>
        <v>1.7000000000000001E-2</v>
      </c>
      <c r="G168" s="95">
        <v>-2.4400000000000002E-2</v>
      </c>
      <c r="H168" s="95">
        <f t="shared" si="88"/>
        <v>9.9000000000000005E-2</v>
      </c>
      <c r="I168" s="95"/>
      <c r="J168" s="95"/>
    </row>
    <row r="169" spans="1:10">
      <c r="B169" t="str">
        <f t="shared" si="85"/>
        <v>South Jersey Inds.</v>
      </c>
      <c r="D169" s="95">
        <f t="shared" si="89"/>
        <v>3.9399999999999998E-2</v>
      </c>
      <c r="E169" s="95">
        <f t="shared" si="86"/>
        <v>6.7000000000000004E-2</v>
      </c>
      <c r="F169" s="95">
        <f t="shared" si="87"/>
        <v>1.72E-2</v>
      </c>
      <c r="G169" s="95">
        <v>-2.4400000000000002E-2</v>
      </c>
      <c r="H169" s="95">
        <f t="shared" si="88"/>
        <v>9.920000000000001E-2</v>
      </c>
      <c r="I169" s="95"/>
      <c r="J169" s="95"/>
    </row>
    <row r="170" spans="1:10">
      <c r="B170" t="str">
        <f t="shared" si="85"/>
        <v>Southwest Gas</v>
      </c>
      <c r="D170" s="95">
        <f t="shared" si="89"/>
        <v>3.9399999999999998E-2</v>
      </c>
      <c r="E170" s="95">
        <f t="shared" si="86"/>
        <v>6.7000000000000004E-2</v>
      </c>
      <c r="F170" s="95">
        <f t="shared" si="87"/>
        <v>1.7000000000000001E-2</v>
      </c>
      <c r="G170" s="95">
        <v>-2.4400000000000002E-2</v>
      </c>
      <c r="H170" s="95">
        <f t="shared" si="88"/>
        <v>9.9000000000000005E-2</v>
      </c>
      <c r="I170" s="95"/>
      <c r="J170" s="95"/>
    </row>
    <row r="171" spans="1:10">
      <c r="B171" t="str">
        <f t="shared" si="85"/>
        <v>WGL Holdings</v>
      </c>
      <c r="D171" s="95">
        <f t="shared" si="89"/>
        <v>3.9399999999999998E-2</v>
      </c>
      <c r="E171" s="95">
        <f t="shared" si="86"/>
        <v>6.7000000000000004E-2</v>
      </c>
      <c r="F171" s="95">
        <f t="shared" si="87"/>
        <v>1.7000000000000001E-2</v>
      </c>
      <c r="G171" s="95">
        <v>-2.4400000000000002E-2</v>
      </c>
      <c r="H171" s="95">
        <f t="shared" si="88"/>
        <v>9.9000000000000005E-2</v>
      </c>
      <c r="I171" s="95"/>
      <c r="J171" s="95"/>
    </row>
    <row r="172" spans="1:10">
      <c r="D172" s="95"/>
      <c r="E172" s="95"/>
      <c r="F172" s="95"/>
      <c r="G172" s="95"/>
      <c r="H172" s="95"/>
      <c r="I172" s="95"/>
      <c r="J172" s="95"/>
    </row>
    <row r="173" spans="1:10">
      <c r="B173" t="str">
        <f>+B104</f>
        <v>Average</v>
      </c>
      <c r="D173" s="95">
        <f>+D171</f>
        <v>3.9399999999999998E-2</v>
      </c>
      <c r="E173" s="95">
        <f>+E23</f>
        <v>6.7000000000000004E-2</v>
      </c>
      <c r="F173" s="95">
        <f>+J23</f>
        <v>1.5611111111111112E-2</v>
      </c>
      <c r="G173" s="95">
        <v>-2.4400000000000002E-2</v>
      </c>
      <c r="H173" s="95">
        <f t="shared" si="88"/>
        <v>9.7611111111111121E-2</v>
      </c>
      <c r="I173" s="95"/>
    </row>
  </sheetData>
  <mergeCells count="31">
    <mergeCell ref="AC113:AE113"/>
    <mergeCell ref="B113:K113"/>
    <mergeCell ref="N72:T72"/>
    <mergeCell ref="N113:W113"/>
    <mergeCell ref="N84:W84"/>
    <mergeCell ref="N85:W85"/>
    <mergeCell ref="N86:W86"/>
    <mergeCell ref="N87:W87"/>
    <mergeCell ref="N3:W3"/>
    <mergeCell ref="N4:W4"/>
    <mergeCell ref="N5:W5"/>
    <mergeCell ref="N6:W6"/>
    <mergeCell ref="B3:K3"/>
    <mergeCell ref="B4:K4"/>
    <mergeCell ref="B5:K5"/>
    <mergeCell ref="B6:K6"/>
    <mergeCell ref="B32:K32"/>
    <mergeCell ref="N32:W32"/>
    <mergeCell ref="B86:K86"/>
    <mergeCell ref="B87:K87"/>
    <mergeCell ref="B45:K45"/>
    <mergeCell ref="B46:K46"/>
    <mergeCell ref="B47:K47"/>
    <mergeCell ref="B84:K84"/>
    <mergeCell ref="B85:K85"/>
    <mergeCell ref="B72:H72"/>
    <mergeCell ref="N44:W44"/>
    <mergeCell ref="N45:W45"/>
    <mergeCell ref="N46:W46"/>
    <mergeCell ref="N47:W47"/>
    <mergeCell ref="B44:K44"/>
  </mergeCells>
  <phoneticPr fontId="3" type="noConversion"/>
  <printOptions horizontalCentered="1"/>
  <pageMargins left="0.75" right="0.75" top="1" bottom="1" header="0.5" footer="0.5"/>
  <pageSetup scale="94" fitToWidth="4" fitToHeight="4" orientation="landscape" r:id="rId1"/>
  <headerFooter alignWithMargins="0"/>
  <rowBreaks count="1" manualBreakCount="1">
    <brk id="41" max="23" man="1"/>
  </rowBreaks>
  <colBreaks count="1" manualBreakCount="1">
    <brk id="1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Normal="110" zoomScaleSheetLayoutView="100" workbookViewId="0">
      <selection activeCell="X19" sqref="X19"/>
    </sheetView>
  </sheetViews>
  <sheetFormatPr defaultRowHeight="12.75"/>
  <cols>
    <col min="1" max="1" width="24.1640625" customWidth="1"/>
    <col min="3" max="3" width="10.5" hidden="1" customWidth="1"/>
    <col min="4" max="4" width="9.83203125" hidden="1" customWidth="1"/>
    <col min="5" max="5" width="10.5" hidden="1" customWidth="1"/>
    <col min="6" max="6" width="9.33203125" hidden="1" customWidth="1"/>
    <col min="7" max="17" width="10.33203125" customWidth="1"/>
    <col min="18" max="19" width="9.33203125" hidden="1" customWidth="1"/>
    <col min="20" max="20" width="0" hidden="1" customWidth="1"/>
    <col min="21" max="21" width="11.33203125" customWidth="1"/>
  </cols>
  <sheetData>
    <row r="1" spans="1:21" ht="15.75">
      <c r="U1" s="8" t="s">
        <v>288</v>
      </c>
    </row>
    <row r="2" spans="1:21" ht="15.75">
      <c r="U2" s="8" t="s">
        <v>855</v>
      </c>
    </row>
    <row r="3" spans="1:21" ht="20.25" customHeight="1">
      <c r="A3" s="762" t="s">
        <v>86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</row>
    <row r="4" spans="1:21" ht="15.75" customHeight="1">
      <c r="A4" s="763" t="s">
        <v>175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</row>
    <row r="5" spans="1:21" ht="15.75" customHeight="1">
      <c r="A5" s="755">
        <f>+Comps!B5</f>
        <v>41634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</row>
    <row r="7" spans="1:21" ht="15">
      <c r="A7" s="764" t="s">
        <v>174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295"/>
      <c r="S7" s="295"/>
      <c r="U7" s="79"/>
    </row>
    <row r="8" spans="1:21" ht="15">
      <c r="A8" s="296"/>
      <c r="B8" s="297" t="s">
        <v>20</v>
      </c>
      <c r="C8" s="296"/>
      <c r="D8" s="297"/>
      <c r="E8" s="297"/>
      <c r="F8" s="297"/>
      <c r="G8" s="297"/>
      <c r="H8" s="297"/>
      <c r="I8" s="297"/>
      <c r="J8" s="297"/>
      <c r="K8" s="297"/>
      <c r="L8" s="296"/>
      <c r="M8" s="296"/>
      <c r="N8" s="296"/>
      <c r="O8" s="296"/>
      <c r="P8" s="462" t="s">
        <v>281</v>
      </c>
      <c r="Q8" s="463" t="s">
        <v>331</v>
      </c>
      <c r="R8" s="463" t="s">
        <v>856</v>
      </c>
      <c r="S8" s="463" t="s">
        <v>857</v>
      </c>
      <c r="T8" s="463" t="s">
        <v>858</v>
      </c>
      <c r="U8" s="725" t="s">
        <v>859</v>
      </c>
    </row>
    <row r="9" spans="1:21" ht="14.25">
      <c r="A9" s="298" t="s">
        <v>3</v>
      </c>
      <c r="B9" s="298" t="s">
        <v>73</v>
      </c>
      <c r="C9" s="299">
        <v>2000</v>
      </c>
      <c r="D9" s="299">
        <v>2001</v>
      </c>
      <c r="E9" s="299">
        <v>2002</v>
      </c>
      <c r="F9" s="299">
        <v>2003</v>
      </c>
      <c r="G9" s="299">
        <v>2004</v>
      </c>
      <c r="H9" s="299">
        <v>2005</v>
      </c>
      <c r="I9" s="299">
        <v>2006</v>
      </c>
      <c r="J9" s="299">
        <v>2007</v>
      </c>
      <c r="K9" s="299">
        <v>2008</v>
      </c>
      <c r="L9" s="299">
        <v>2009</v>
      </c>
      <c r="M9" s="299">
        <f>+L9+1</f>
        <v>2010</v>
      </c>
      <c r="N9" s="299">
        <f>+M9+1</f>
        <v>2011</v>
      </c>
      <c r="O9" s="299">
        <f>+N9+1</f>
        <v>2012</v>
      </c>
      <c r="P9" s="464" t="s">
        <v>38</v>
      </c>
      <c r="Q9" s="604" t="str">
        <f>+P9</f>
        <v>Average</v>
      </c>
      <c r="R9" s="604" t="str">
        <f t="shared" ref="R9:T9" si="0">+Q9</f>
        <v>Average</v>
      </c>
      <c r="S9" s="604" t="str">
        <f t="shared" si="0"/>
        <v>Average</v>
      </c>
      <c r="T9" s="604" t="str">
        <f t="shared" si="0"/>
        <v>Average</v>
      </c>
      <c r="U9" s="726" t="s">
        <v>860</v>
      </c>
    </row>
    <row r="10" spans="1:21">
      <c r="A10" s="79" t="s">
        <v>5</v>
      </c>
      <c r="B10" t="s">
        <v>143</v>
      </c>
      <c r="C10" s="336">
        <v>11.1</v>
      </c>
      <c r="D10" s="336">
        <v>13.8</v>
      </c>
      <c r="E10" s="336">
        <v>14.7</v>
      </c>
      <c r="F10" s="336">
        <v>16.399999999999999</v>
      </c>
      <c r="G10" s="336">
        <v>13.1</v>
      </c>
      <c r="H10" s="336">
        <v>13.4</v>
      </c>
      <c r="I10" s="336">
        <v>13.6</v>
      </c>
      <c r="J10" s="336">
        <v>12.9</v>
      </c>
      <c r="K10" s="336">
        <v>13.1</v>
      </c>
      <c r="L10" s="336">
        <f>+'Comp Detail'!BE13*100</f>
        <v>12.204507971412864</v>
      </c>
      <c r="M10" s="345">
        <f>+'Comp Detail'!BF13*100</f>
        <v>12.745098039215685</v>
      </c>
      <c r="N10" s="345">
        <f>+'Comp Detail'!BG13*100</f>
        <v>5.1512428870919438</v>
      </c>
      <c r="O10" s="345">
        <f>+'Comp Detail'!BH13*100</f>
        <v>7.8893740902474532</v>
      </c>
      <c r="P10" s="699">
        <f>AVERAGE(M10:O10)</f>
        <v>8.5952383388516953</v>
      </c>
      <c r="Q10" s="700">
        <f t="shared" ref="Q10:Q17" si="1">AVERAGE(K10:O10)</f>
        <v>10.21804459759359</v>
      </c>
      <c r="R10" s="722">
        <f t="shared" ref="R10:R18" si="2">AVERAGE(L10:P10)</f>
        <v>9.3170922653639288</v>
      </c>
      <c r="S10" s="722">
        <f t="shared" ref="S10:S18" si="3">AVERAGE(M10:Q10)</f>
        <v>8.9197995906000749</v>
      </c>
      <c r="T10" s="722">
        <f t="shared" ref="T10:T18" si="4">AVERAGE(N10:R10)</f>
        <v>8.2341984358297218</v>
      </c>
      <c r="U10" s="727">
        <f>STDEV(G10:O10)</f>
        <v>2.9675585488835976</v>
      </c>
    </row>
    <row r="11" spans="1:21">
      <c r="A11" s="79" t="s">
        <v>7</v>
      </c>
      <c r="B11" t="s">
        <v>8</v>
      </c>
      <c r="C11" s="336">
        <v>9.3000000000000007</v>
      </c>
      <c r="D11" s="336">
        <v>11.5</v>
      </c>
      <c r="E11" s="336">
        <v>10.3</v>
      </c>
      <c r="F11" s="336">
        <v>11.1</v>
      </c>
      <c r="G11" s="336">
        <v>8.6999999999999993</v>
      </c>
      <c r="H11" s="336">
        <v>9.9</v>
      </c>
      <c r="I11" s="336">
        <v>9.1</v>
      </c>
      <c r="J11" s="336">
        <v>9.3000000000000007</v>
      </c>
      <c r="K11" s="336">
        <v>9</v>
      </c>
      <c r="L11" s="336">
        <f>+'Comp Detail'!BE14*100</f>
        <v>8.7734941961933348</v>
      </c>
      <c r="M11" s="345">
        <f>+'Comp Detail'!BF14*100</f>
        <v>9.4493166381129186</v>
      </c>
      <c r="N11" s="345">
        <f>+'Comp Detail'!BG14*100</f>
        <v>9.2045343197567124</v>
      </c>
      <c r="O11" s="345">
        <f>+'Comp Detail'!BH14*100</f>
        <v>9.1858702134540611</v>
      </c>
      <c r="P11" s="465">
        <f t="shared" ref="P11:P17" si="5">AVERAGE(M11:O11)</f>
        <v>9.2799070571078968</v>
      </c>
      <c r="Q11" s="313">
        <f t="shared" si="1"/>
        <v>9.1226430735034043</v>
      </c>
      <c r="R11" s="313">
        <f t="shared" si="2"/>
        <v>9.1786244849249847</v>
      </c>
      <c r="S11" s="313">
        <f t="shared" si="3"/>
        <v>9.2484542603869979</v>
      </c>
      <c r="T11" s="313">
        <f t="shared" si="4"/>
        <v>9.1943158297494101</v>
      </c>
      <c r="U11" s="728">
        <f t="shared" ref="U11:U18" si="6">STDEV(G11:O11)</f>
        <v>0.36062613912518493</v>
      </c>
    </row>
    <row r="12" spans="1:21">
      <c r="A12" s="79" t="s">
        <v>10</v>
      </c>
      <c r="B12" t="s">
        <v>11</v>
      </c>
      <c r="C12" s="336">
        <v>9.1999999999999993</v>
      </c>
      <c r="D12" s="336">
        <v>10.6</v>
      </c>
      <c r="E12" s="336">
        <v>7.8</v>
      </c>
      <c r="F12" s="336">
        <v>11.8</v>
      </c>
      <c r="G12" s="336">
        <v>11</v>
      </c>
      <c r="H12" s="336">
        <v>11.1</v>
      </c>
      <c r="I12" s="336">
        <v>12.7</v>
      </c>
      <c r="J12" s="336">
        <v>12</v>
      </c>
      <c r="K12" s="336">
        <v>12.6</v>
      </c>
      <c r="L12" s="336">
        <f>+'Comp Detail'!BE15*100</f>
        <v>12.42616482602557</v>
      </c>
      <c r="M12" s="345">
        <f>+'Comp Detail'!BF15*100</f>
        <v>10.090052410764464</v>
      </c>
      <c r="N12" s="345">
        <f>+'Comp Detail'!BG15*100</f>
        <v>11.132312747784438</v>
      </c>
      <c r="O12" s="345">
        <f>+'Comp Detail'!BH15*100</f>
        <v>10.412043662765475</v>
      </c>
      <c r="P12" s="465">
        <f t="shared" si="5"/>
        <v>10.544802940438126</v>
      </c>
      <c r="Q12" s="313">
        <f t="shared" si="1"/>
        <v>11.332114729467991</v>
      </c>
      <c r="R12" s="313">
        <f t="shared" si="2"/>
        <v>10.921075317555616</v>
      </c>
      <c r="S12" s="313">
        <f t="shared" si="3"/>
        <v>10.702265298244098</v>
      </c>
      <c r="T12" s="313">
        <f t="shared" si="4"/>
        <v>10.86846987960233</v>
      </c>
      <c r="U12" s="728">
        <f t="shared" si="6"/>
        <v>0.96659218916736722</v>
      </c>
    </row>
    <row r="13" spans="1:21">
      <c r="A13" s="79" t="s">
        <v>12</v>
      </c>
      <c r="B13" t="s">
        <v>190</v>
      </c>
      <c r="C13" s="697"/>
      <c r="D13" s="697"/>
      <c r="E13" s="697"/>
      <c r="F13" s="697"/>
      <c r="G13" s="697">
        <v>15.3</v>
      </c>
      <c r="H13" s="697">
        <v>17</v>
      </c>
      <c r="I13" s="697">
        <v>12.6</v>
      </c>
      <c r="J13" s="697">
        <v>10.1</v>
      </c>
      <c r="K13" s="697">
        <v>15.7</v>
      </c>
      <c r="L13" s="697">
        <v>14.6</v>
      </c>
      <c r="M13" s="697">
        <v>14</v>
      </c>
      <c r="N13" s="697">
        <v>13.7</v>
      </c>
      <c r="O13" s="697">
        <v>13.9</v>
      </c>
      <c r="P13" s="465">
        <f t="shared" ref="P13" si="7">AVERAGE(M13:O13)</f>
        <v>13.866666666666667</v>
      </c>
      <c r="Q13" s="313">
        <f t="shared" ref="Q13" si="8">AVERAGE(K13:O13)</f>
        <v>14.38</v>
      </c>
      <c r="R13" s="313">
        <f t="shared" si="2"/>
        <v>14.013333333333332</v>
      </c>
      <c r="S13" s="313">
        <f t="shared" si="3"/>
        <v>13.969333333333333</v>
      </c>
      <c r="T13" s="313">
        <f t="shared" si="4"/>
        <v>13.972</v>
      </c>
      <c r="U13" s="728">
        <f t="shared" si="6"/>
        <v>1.9723082923316058</v>
      </c>
    </row>
    <row r="14" spans="1:21">
      <c r="A14" s="349" t="s">
        <v>14</v>
      </c>
      <c r="B14" s="349" t="s">
        <v>15</v>
      </c>
      <c r="C14" s="431">
        <v>10.3</v>
      </c>
      <c r="D14" s="431">
        <v>10.4</v>
      </c>
      <c r="E14" s="431">
        <v>8.6999999999999993</v>
      </c>
      <c r="F14" s="431">
        <v>9.1999999999999993</v>
      </c>
      <c r="G14" s="431">
        <v>9.4</v>
      </c>
      <c r="H14" s="431">
        <v>10.1</v>
      </c>
      <c r="I14" s="431">
        <v>10.7</v>
      </c>
      <c r="J14" s="431">
        <v>12.5</v>
      </c>
      <c r="K14" s="431">
        <v>11.4</v>
      </c>
      <c r="L14" s="432">
        <f>+'Comp Detail'!BE17*100</f>
        <v>11.380310708144915</v>
      </c>
      <c r="M14" s="432">
        <f>+'Comp Detail'!BF17*100</f>
        <v>10.484330566540807</v>
      </c>
      <c r="N14" s="432">
        <f>+'Comp Detail'!BG17*100</f>
        <v>8.9431872893596527</v>
      </c>
      <c r="O14" s="432">
        <f>+'Comp Detail'!BH17*100</f>
        <v>8.1653895527213631</v>
      </c>
      <c r="P14" s="466">
        <f t="shared" si="5"/>
        <v>9.1976358028739416</v>
      </c>
      <c r="Q14" s="467">
        <f t="shared" si="1"/>
        <v>10.074643623353348</v>
      </c>
      <c r="R14" s="467">
        <f t="shared" si="2"/>
        <v>9.6341707839281359</v>
      </c>
      <c r="S14" s="467">
        <f t="shared" si="3"/>
        <v>9.3730373669698217</v>
      </c>
      <c r="T14" s="467">
        <f t="shared" si="4"/>
        <v>9.203005410447286</v>
      </c>
      <c r="U14" s="732">
        <f t="shared" si="6"/>
        <v>1.352916969678841</v>
      </c>
    </row>
    <row r="15" spans="1:21">
      <c r="A15" s="349" t="s">
        <v>16</v>
      </c>
      <c r="B15" s="349" t="s">
        <v>17</v>
      </c>
      <c r="C15" s="431">
        <v>12.6</v>
      </c>
      <c r="D15" s="431">
        <v>12</v>
      </c>
      <c r="E15" s="431">
        <v>10.8</v>
      </c>
      <c r="F15" s="431">
        <v>12.2</v>
      </c>
      <c r="G15" s="431">
        <v>12.8</v>
      </c>
      <c r="H15" s="431">
        <v>11.6</v>
      </c>
      <c r="I15" s="431">
        <v>11</v>
      </c>
      <c r="J15" s="431">
        <v>11.9</v>
      </c>
      <c r="K15" s="431">
        <v>12.5</v>
      </c>
      <c r="L15" s="431">
        <f>+'Comp Detail'!BE18*100</f>
        <v>13.236086504847256</v>
      </c>
      <c r="M15" s="431">
        <f>+'Comp Detail'!BF18*100</f>
        <v>14.7111585060641</v>
      </c>
      <c r="N15" s="431">
        <f>+'Comp Detail'!BG18*100</f>
        <v>11.391852730852833</v>
      </c>
      <c r="O15" s="431">
        <f>+'Comp Detail'!BH18*100</f>
        <v>11.669574802045563</v>
      </c>
      <c r="P15" s="466">
        <f t="shared" si="5"/>
        <v>12.5908620129875</v>
      </c>
      <c r="Q15" s="467">
        <f t="shared" si="1"/>
        <v>12.70173450876195</v>
      </c>
      <c r="R15" s="467">
        <f t="shared" si="2"/>
        <v>12.71990691135945</v>
      </c>
      <c r="S15" s="467">
        <f t="shared" si="3"/>
        <v>12.61303651214239</v>
      </c>
      <c r="T15" s="467">
        <f t="shared" si="4"/>
        <v>12.214786193201459</v>
      </c>
      <c r="U15" s="732">
        <f t="shared" si="6"/>
        <v>1.1478675058172829</v>
      </c>
    </row>
    <row r="16" spans="1:21">
      <c r="A16" s="79" t="s">
        <v>18</v>
      </c>
      <c r="B16" t="s">
        <v>19</v>
      </c>
      <c r="C16" s="336">
        <v>12.7</v>
      </c>
      <c r="D16" s="336">
        <v>12.7</v>
      </c>
      <c r="E16" s="336">
        <v>12.8</v>
      </c>
      <c r="F16" s="336">
        <v>12.9</v>
      </c>
      <c r="G16" s="336">
        <v>13.4</v>
      </c>
      <c r="H16" s="336">
        <v>13.2</v>
      </c>
      <c r="I16" s="336">
        <v>17.3</v>
      </c>
      <c r="J16" s="336">
        <v>13.6</v>
      </c>
      <c r="K16" s="336">
        <v>15.5</v>
      </c>
      <c r="L16" s="336">
        <f>+'Comp Detail'!BE19*100</f>
        <v>10.627584636516554</v>
      </c>
      <c r="M16" s="345">
        <f>+'Comp Detail'!BF19*100</f>
        <v>11.691343753782252</v>
      </c>
      <c r="N16" s="345">
        <f>+'Comp Detail'!BG19*100</f>
        <v>14.306841378337932</v>
      </c>
      <c r="O16" s="345">
        <f>+'Comp Detail'!BH19*100</f>
        <v>12.443121157706862</v>
      </c>
      <c r="P16" s="465">
        <f t="shared" si="5"/>
        <v>12.813768763275682</v>
      </c>
      <c r="Q16" s="313">
        <f t="shared" si="1"/>
        <v>12.913778185268722</v>
      </c>
      <c r="R16" s="313">
        <f t="shared" si="2"/>
        <v>12.376531937923858</v>
      </c>
      <c r="S16" s="313">
        <f t="shared" si="3"/>
        <v>12.833770647674291</v>
      </c>
      <c r="T16" s="313">
        <f t="shared" si="4"/>
        <v>12.970808284502613</v>
      </c>
      <c r="U16" s="728">
        <f t="shared" si="6"/>
        <v>1.9938666480119254</v>
      </c>
    </row>
    <row r="17" spans="1:21">
      <c r="A17" s="79" t="s">
        <v>113</v>
      </c>
      <c r="B17" t="s">
        <v>114</v>
      </c>
      <c r="C17" s="336">
        <v>7.4</v>
      </c>
      <c r="D17" s="336">
        <v>6.8</v>
      </c>
      <c r="E17" s="336">
        <v>7.6</v>
      </c>
      <c r="F17" s="336">
        <v>6.3</v>
      </c>
      <c r="G17" s="288">
        <v>9.3000000000000007</v>
      </c>
      <c r="H17" s="288">
        <v>6</v>
      </c>
      <c r="I17" s="288">
        <v>10.1</v>
      </c>
      <c r="J17" s="288">
        <v>8.8000000000000007</v>
      </c>
      <c r="K17" s="288">
        <v>6</v>
      </c>
      <c r="L17" s="288">
        <f>+'Comp Detail'!BE20*100</f>
        <v>7.9048277539139411</v>
      </c>
      <c r="M17" s="288">
        <f>+'Comp Detail'!BF20*100</f>
        <v>8.8648975660584952</v>
      </c>
      <c r="N17" s="288">
        <f>+'Comp Detail'!BG20*100</f>
        <v>9.1232793292577909</v>
      </c>
      <c r="O17" s="288">
        <f>+'Comp Detail'!BH20*100</f>
        <v>10.136736930434743</v>
      </c>
      <c r="P17" s="465">
        <f t="shared" si="5"/>
        <v>9.3749712752503438</v>
      </c>
      <c r="Q17" s="313">
        <f t="shared" si="1"/>
        <v>8.405948315932994</v>
      </c>
      <c r="R17" s="313">
        <f t="shared" si="2"/>
        <v>9.0809425709830638</v>
      </c>
      <c r="S17" s="313">
        <f t="shared" si="3"/>
        <v>9.1811666833868735</v>
      </c>
      <c r="T17" s="313">
        <f t="shared" si="4"/>
        <v>9.2243756843717879</v>
      </c>
      <c r="U17" s="728">
        <f t="shared" si="6"/>
        <v>1.554696498730338</v>
      </c>
    </row>
    <row r="18" spans="1:21">
      <c r="A18" s="79" t="s">
        <v>104</v>
      </c>
      <c r="B18" t="s">
        <v>101</v>
      </c>
      <c r="C18" s="697"/>
      <c r="D18" s="697"/>
      <c r="E18" s="697"/>
      <c r="F18" s="697"/>
      <c r="G18" s="288">
        <v>11.7</v>
      </c>
      <c r="H18" s="288">
        <v>12</v>
      </c>
      <c r="I18" s="288">
        <v>10.3</v>
      </c>
      <c r="J18" s="288">
        <v>10.4</v>
      </c>
      <c r="K18" s="288">
        <v>11.6</v>
      </c>
      <c r="L18" s="288">
        <v>11.6</v>
      </c>
      <c r="M18" s="288">
        <v>9.9</v>
      </c>
      <c r="N18" s="288">
        <v>9.5</v>
      </c>
      <c r="O18" s="288">
        <v>11</v>
      </c>
      <c r="P18" s="465">
        <f t="shared" ref="P18" si="9">AVERAGE(M18:O18)</f>
        <v>10.133333333333333</v>
      </c>
      <c r="Q18" s="313">
        <f t="shared" ref="Q18" si="10">AVERAGE(K18:O18)</f>
        <v>10.72</v>
      </c>
      <c r="R18" s="313">
        <f t="shared" si="2"/>
        <v>10.426666666666666</v>
      </c>
      <c r="S18" s="313">
        <f t="shared" si="3"/>
        <v>10.250666666666666</v>
      </c>
      <c r="T18" s="313">
        <f t="shared" si="4"/>
        <v>10.356</v>
      </c>
      <c r="U18" s="312">
        <f t="shared" si="6"/>
        <v>0.8950481054731706</v>
      </c>
    </row>
    <row r="19" spans="1:21">
      <c r="A19" s="79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40"/>
      <c r="N19" s="340"/>
      <c r="O19" s="340"/>
      <c r="P19" s="699"/>
      <c r="Q19" s="700"/>
      <c r="R19" s="722"/>
      <c r="S19" s="722"/>
      <c r="T19" s="722"/>
      <c r="U19" s="729"/>
    </row>
    <row r="20" spans="1:21" ht="14.25">
      <c r="A20" s="294" t="s">
        <v>333</v>
      </c>
      <c r="B20" s="278"/>
      <c r="C20" s="337">
        <f t="shared" ref="C20:F20" si="11">AVERAGE(C10:C17)</f>
        <v>10.371428571428572</v>
      </c>
      <c r="D20" s="337">
        <f t="shared" si="11"/>
        <v>11.114285714285714</v>
      </c>
      <c r="E20" s="337">
        <f t="shared" si="11"/>
        <v>10.385714285714284</v>
      </c>
      <c r="F20" s="337">
        <f t="shared" si="11"/>
        <v>11.414285714285715</v>
      </c>
      <c r="G20" s="337">
        <f>AVERAGE(G10:G18)</f>
        <v>11.633333333333333</v>
      </c>
      <c r="H20" s="698">
        <f t="shared" ref="H20:Q20" si="12">AVERAGE(H10:H18)</f>
        <v>11.588888888888889</v>
      </c>
      <c r="I20" s="698">
        <f t="shared" si="12"/>
        <v>11.933333333333332</v>
      </c>
      <c r="J20" s="698">
        <f t="shared" si="12"/>
        <v>11.277777777777779</v>
      </c>
      <c r="K20" s="698">
        <f t="shared" si="12"/>
        <v>11.933333333333334</v>
      </c>
      <c r="L20" s="698">
        <f t="shared" si="12"/>
        <v>11.416997399672715</v>
      </c>
      <c r="M20" s="698">
        <f t="shared" si="12"/>
        <v>11.326244164504301</v>
      </c>
      <c r="N20" s="698">
        <f t="shared" si="12"/>
        <v>10.272583409160145</v>
      </c>
      <c r="O20" s="698">
        <f t="shared" si="12"/>
        <v>10.533567823263947</v>
      </c>
      <c r="P20" s="468">
        <f t="shared" si="12"/>
        <v>10.710798465642796</v>
      </c>
      <c r="Q20" s="469">
        <f t="shared" si="12"/>
        <v>11.096545225986889</v>
      </c>
      <c r="R20" s="469">
        <f t="shared" ref="R20:U20" si="13">AVERAGE(R10:R18)</f>
        <v>10.852038252448782</v>
      </c>
      <c r="S20" s="469">
        <f t="shared" si="13"/>
        <v>10.787947817711615</v>
      </c>
      <c r="T20" s="469">
        <f t="shared" si="13"/>
        <v>10.693106635300513</v>
      </c>
      <c r="U20" s="730">
        <f t="shared" si="13"/>
        <v>1.4679423219132572</v>
      </c>
    </row>
    <row r="21" spans="1:21">
      <c r="A21" s="79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40"/>
      <c r="N21" s="340"/>
      <c r="O21" s="340"/>
      <c r="P21" s="465"/>
      <c r="Q21" s="313"/>
      <c r="R21" s="313"/>
      <c r="S21" s="313"/>
      <c r="T21" s="313"/>
      <c r="U21" s="312"/>
    </row>
    <row r="22" spans="1:21" ht="14.25">
      <c r="A22" s="433" t="s">
        <v>76</v>
      </c>
      <c r="B22" s="433"/>
      <c r="C22" s="434">
        <v>9.16</v>
      </c>
      <c r="D22" s="434">
        <v>9.08</v>
      </c>
      <c r="E22" s="434">
        <v>10.46</v>
      </c>
      <c r="F22" s="434">
        <v>6.48</v>
      </c>
      <c r="G22" s="434">
        <v>10.08</v>
      </c>
      <c r="H22" s="434">
        <v>11.36</v>
      </c>
      <c r="I22" s="434">
        <v>11.42</v>
      </c>
      <c r="J22" s="434">
        <v>11.16</v>
      </c>
      <c r="K22" s="434">
        <v>11.09</v>
      </c>
      <c r="L22" s="435">
        <v>10.617660000000001</v>
      </c>
      <c r="M22" s="435">
        <v>10.77961</v>
      </c>
      <c r="N22" s="435">
        <v>10.623340000000001</v>
      </c>
      <c r="O22" s="435">
        <v>10.239100000000001</v>
      </c>
      <c r="P22" s="470">
        <f>AVERAGE(M22:O22)</f>
        <v>10.54735</v>
      </c>
      <c r="Q22" s="471">
        <f>AVERAGE(K22:O22)</f>
        <v>10.669942000000001</v>
      </c>
      <c r="R22" s="471">
        <f t="shared" ref="R22:T22" si="14">AVERAGE(L22:P22)</f>
        <v>10.561412000000001</v>
      </c>
      <c r="S22" s="471">
        <f t="shared" si="14"/>
        <v>10.5718684</v>
      </c>
      <c r="T22" s="471">
        <f t="shared" si="14"/>
        <v>10.528228799999999</v>
      </c>
      <c r="U22" s="733">
        <f t="shared" ref="U22" si="15">STDEV(G22:O22)</f>
        <v>0.47518167951853396</v>
      </c>
    </row>
    <row r="23" spans="1:21"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40"/>
      <c r="N23" s="340"/>
      <c r="O23" s="340"/>
      <c r="P23" s="465"/>
      <c r="Q23" s="313"/>
      <c r="R23" s="313"/>
      <c r="S23" s="313"/>
      <c r="T23" s="313"/>
      <c r="U23" s="312"/>
    </row>
    <row r="24" spans="1:21">
      <c r="A24" s="227" t="s">
        <v>334</v>
      </c>
      <c r="C24" s="336">
        <f>+C22-C20</f>
        <v>-1.2114285714285717</v>
      </c>
      <c r="D24" s="336">
        <f t="shared" ref="D24:Q24" si="16">+D22-D20</f>
        <v>-2.0342857142857138</v>
      </c>
      <c r="E24" s="336">
        <f t="shared" si="16"/>
        <v>7.4285714285716509E-2</v>
      </c>
      <c r="F24" s="336">
        <f t="shared" si="16"/>
        <v>-4.9342857142857142</v>
      </c>
      <c r="G24" s="336">
        <f t="shared" si="16"/>
        <v>-1.5533333333333328</v>
      </c>
      <c r="H24" s="336">
        <f t="shared" si="16"/>
        <v>-0.22888888888888914</v>
      </c>
      <c r="I24" s="336">
        <f t="shared" si="16"/>
        <v>-0.51333333333333186</v>
      </c>
      <c r="J24" s="336">
        <f t="shared" si="16"/>
        <v>-0.11777777777777843</v>
      </c>
      <c r="K24" s="336">
        <f t="shared" si="16"/>
        <v>-0.84333333333333371</v>
      </c>
      <c r="L24" s="338">
        <f t="shared" si="16"/>
        <v>-0.799337399672714</v>
      </c>
      <c r="M24" s="340">
        <f t="shared" si="16"/>
        <v>-0.54663416450430091</v>
      </c>
      <c r="N24" s="340">
        <f t="shared" si="16"/>
        <v>0.35075659083985578</v>
      </c>
      <c r="O24" s="340">
        <f t="shared" si="16"/>
        <v>-0.29446782326394683</v>
      </c>
      <c r="P24" s="155">
        <f t="shared" si="16"/>
        <v>-0.16344846564279614</v>
      </c>
      <c r="Q24" s="156">
        <f t="shared" si="16"/>
        <v>-0.42660322598688794</v>
      </c>
      <c r="R24" s="156">
        <f t="shared" ref="R24:U24" si="17">+R22-R20</f>
        <v>-0.29062625244878149</v>
      </c>
      <c r="S24" s="156">
        <f t="shared" si="17"/>
        <v>-0.21607941771161521</v>
      </c>
      <c r="T24" s="156">
        <f t="shared" si="17"/>
        <v>-0.16487783530051381</v>
      </c>
      <c r="U24" s="731">
        <f t="shared" si="17"/>
        <v>-0.99276064239472328</v>
      </c>
    </row>
    <row r="25" spans="1:21">
      <c r="U25" s="79"/>
    </row>
    <row r="26" spans="1:21">
      <c r="U26" s="79"/>
    </row>
    <row r="27" spans="1:21">
      <c r="U27" s="79"/>
    </row>
  </sheetData>
  <mergeCells count="4">
    <mergeCell ref="A3:S3"/>
    <mergeCell ref="A4:S4"/>
    <mergeCell ref="A5:S5"/>
    <mergeCell ref="A7:Q7"/>
  </mergeCells>
  <pageMargins left="0.7" right="0.7" top="0.75" bottom="0.75" header="0.3" footer="0.3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Normal="100" zoomScaleSheetLayoutView="100" workbookViewId="0">
      <selection activeCell="C9" sqref="C9"/>
    </sheetView>
  </sheetViews>
  <sheetFormatPr defaultRowHeight="12.75"/>
  <cols>
    <col min="1" max="1" width="5.5" style="6" customWidth="1"/>
    <col min="2" max="2" width="16.1640625" style="6" customWidth="1"/>
    <col min="3" max="3" width="14.83203125" style="6" customWidth="1"/>
    <col min="4" max="4" width="10.1640625" bestFit="1" customWidth="1"/>
    <col min="5" max="5" width="9.5" bestFit="1" customWidth="1"/>
  </cols>
  <sheetData>
    <row r="2" spans="2:6">
      <c r="B2"/>
      <c r="D2" s="6"/>
      <c r="F2" s="75"/>
    </row>
    <row r="3" spans="2:6">
      <c r="B3"/>
      <c r="D3" s="6"/>
      <c r="E3" s="6"/>
    </row>
    <row r="4" spans="2:6" ht="18.75">
      <c r="B4" s="76" t="s">
        <v>115</v>
      </c>
      <c r="C4" s="33"/>
      <c r="D4" s="33"/>
      <c r="E4" s="33"/>
    </row>
    <row r="5" spans="2:6">
      <c r="B5" s="29" t="s">
        <v>288</v>
      </c>
      <c r="C5" s="33"/>
      <c r="D5" s="33"/>
      <c r="E5" s="33"/>
    </row>
    <row r="6" spans="2:6">
      <c r="B6" s="29" t="s">
        <v>289</v>
      </c>
      <c r="C6" s="33"/>
      <c r="D6" s="33"/>
      <c r="E6" s="33"/>
    </row>
    <row r="7" spans="2:6">
      <c r="B7"/>
      <c r="D7" s="6"/>
      <c r="E7" s="6"/>
    </row>
    <row r="8" spans="2:6" ht="20.25">
      <c r="B8" s="77"/>
      <c r="C8" s="33"/>
      <c r="D8" s="33"/>
      <c r="E8" s="33"/>
    </row>
    <row r="9" spans="2:6">
      <c r="B9" s="78"/>
      <c r="D9" s="6"/>
      <c r="E9" s="6"/>
    </row>
    <row r="10" spans="2:6">
      <c r="B10"/>
      <c r="C10" s="60"/>
      <c r="D10" s="60" t="s">
        <v>116</v>
      </c>
      <c r="E10" s="60" t="s">
        <v>117</v>
      </c>
    </row>
    <row r="11" spans="2:6">
      <c r="B11"/>
      <c r="C11" s="60" t="s">
        <v>118</v>
      </c>
      <c r="D11" s="60" t="s">
        <v>119</v>
      </c>
      <c r="E11" s="60" t="s">
        <v>118</v>
      </c>
    </row>
    <row r="12" spans="2:6" ht="7.5" customHeight="1">
      <c r="B12"/>
      <c r="C12" s="11"/>
      <c r="D12" s="11"/>
      <c r="E12" s="11"/>
    </row>
    <row r="13" spans="2:6">
      <c r="B13" t="s">
        <v>120</v>
      </c>
      <c r="C13" s="6">
        <f>+'1.1 SR Summary'!H54</f>
        <v>9.4500000000000001E-2</v>
      </c>
      <c r="D13" s="6">
        <f>1-D15</f>
        <v>0.52069999999999994</v>
      </c>
      <c r="E13" s="6">
        <f>C13*D13</f>
        <v>4.9206149999999997E-2</v>
      </c>
    </row>
    <row r="14" spans="2:6" hidden="1">
      <c r="B14" t="s">
        <v>121</v>
      </c>
      <c r="C14" s="6">
        <v>0</v>
      </c>
      <c r="D14" s="6">
        <v>0</v>
      </c>
      <c r="E14" s="6">
        <f>C14*D14</f>
        <v>0</v>
      </c>
    </row>
    <row r="15" spans="2:6">
      <c r="B15" t="s">
        <v>122</v>
      </c>
      <c r="C15" s="84">
        <v>5.2499999999999998E-2</v>
      </c>
      <c r="D15" s="6">
        <v>0.4793</v>
      </c>
      <c r="E15" s="6">
        <f>C15*D15</f>
        <v>2.5163249999999998E-2</v>
      </c>
    </row>
    <row r="16" spans="2:6" ht="7.5" customHeight="1">
      <c r="B16"/>
      <c r="C16" s="11"/>
      <c r="D16" s="11"/>
      <c r="E16" s="11"/>
    </row>
    <row r="17" spans="2:5">
      <c r="B17" t="s">
        <v>123</v>
      </c>
      <c r="D17" s="6">
        <f>SUM(D13:D16)</f>
        <v>1</v>
      </c>
      <c r="E17" s="6">
        <f>SUM(E13:E16)</f>
        <v>7.4369400000000002E-2</v>
      </c>
    </row>
  </sheetData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="160" zoomScaleNormal="160" zoomScaleSheetLayoutView="100" workbookViewId="0">
      <selection activeCell="L16" sqref="L16"/>
    </sheetView>
  </sheetViews>
  <sheetFormatPr defaultRowHeight="12.75"/>
  <cols>
    <col min="1" max="1" width="22" customWidth="1"/>
    <col min="3" max="3" width="5.33203125" customWidth="1"/>
    <col min="4" max="4" width="0" hidden="1" customWidth="1"/>
    <col min="5" max="5" width="10.33203125" customWidth="1"/>
    <col min="6" max="7" width="10.6640625" bestFit="1" customWidth="1"/>
    <col min="8" max="8" width="5.33203125" customWidth="1"/>
  </cols>
  <sheetData>
    <row r="1" spans="1:11">
      <c r="J1" s="74"/>
    </row>
    <row r="3" spans="1:11" ht="20.25">
      <c r="A3" s="90" t="s">
        <v>86</v>
      </c>
      <c r="B3" s="90"/>
      <c r="C3" s="90"/>
      <c r="D3" s="90"/>
      <c r="E3" s="29"/>
      <c r="F3" s="90"/>
      <c r="G3" s="90"/>
      <c r="H3" s="90"/>
      <c r="I3" s="33"/>
      <c r="J3" s="29"/>
    </row>
    <row r="4" spans="1:11" ht="15.75">
      <c r="A4" s="91" t="s">
        <v>136</v>
      </c>
      <c r="B4" s="91"/>
      <c r="C4" s="91"/>
      <c r="D4" s="91"/>
      <c r="E4" s="29"/>
      <c r="F4" s="91"/>
      <c r="G4" s="91"/>
      <c r="H4" s="91"/>
      <c r="I4" s="91"/>
      <c r="J4" s="29"/>
    </row>
    <row r="5" spans="1:11" ht="15.75">
      <c r="A5" s="489">
        <v>41634</v>
      </c>
      <c r="B5" s="489"/>
      <c r="C5" s="489"/>
      <c r="D5" s="489"/>
      <c r="E5" s="490"/>
      <c r="F5" s="491"/>
      <c r="G5" s="491"/>
      <c r="H5" s="33"/>
      <c r="I5" s="33"/>
      <c r="J5" s="29"/>
    </row>
    <row r="6" spans="1:11">
      <c r="A6" s="38"/>
      <c r="B6" s="85"/>
      <c r="C6" s="85"/>
      <c r="D6" s="85"/>
      <c r="E6" s="85"/>
      <c r="F6" s="85"/>
      <c r="G6" s="85"/>
      <c r="H6" s="85"/>
      <c r="I6" s="85"/>
      <c r="J6" s="85"/>
    </row>
    <row r="7" spans="1:11">
      <c r="B7" s="261"/>
      <c r="C7" s="261"/>
      <c r="D7" s="261"/>
      <c r="E7" s="261"/>
      <c r="F7" s="765"/>
      <c r="G7" s="765"/>
      <c r="H7" s="261"/>
      <c r="I7" s="261"/>
      <c r="J7" s="261"/>
    </row>
    <row r="8" spans="1:11">
      <c r="B8" s="60"/>
      <c r="C8" s="60"/>
      <c r="D8" s="60"/>
      <c r="E8" s="60"/>
      <c r="F8" s="60"/>
      <c r="G8" s="60"/>
      <c r="H8" s="60"/>
      <c r="I8" s="60"/>
      <c r="J8" s="60"/>
    </row>
    <row r="9" spans="1:11">
      <c r="B9" s="60" t="s">
        <v>52</v>
      </c>
      <c r="C9" s="60"/>
      <c r="D9" s="60"/>
      <c r="E9" s="62"/>
      <c r="F9" s="60"/>
      <c r="G9" s="60" t="s">
        <v>31</v>
      </c>
      <c r="H9" s="60"/>
      <c r="I9" s="60"/>
      <c r="J9" s="60"/>
    </row>
    <row r="10" spans="1:11">
      <c r="A10" t="s">
        <v>3</v>
      </c>
      <c r="B10" s="60" t="s">
        <v>29</v>
      </c>
      <c r="C10" s="60"/>
      <c r="D10" s="60" t="s">
        <v>55</v>
      </c>
      <c r="E10" s="60" t="s">
        <v>33</v>
      </c>
      <c r="F10" s="60" t="s">
        <v>30</v>
      </c>
      <c r="G10" s="60" t="s">
        <v>32</v>
      </c>
      <c r="H10" s="60"/>
      <c r="I10" s="60" t="s">
        <v>38</v>
      </c>
      <c r="J10" s="60" t="s">
        <v>21</v>
      </c>
      <c r="K10" s="60"/>
    </row>
    <row r="11" spans="1:11">
      <c r="A11" s="3"/>
      <c r="B11" s="11"/>
      <c r="C11" s="11"/>
      <c r="D11" s="11"/>
      <c r="E11" s="11"/>
      <c r="F11" s="11"/>
      <c r="G11" s="11"/>
      <c r="H11" s="11"/>
      <c r="I11" s="11"/>
      <c r="J11" s="11"/>
    </row>
    <row r="12" spans="1:11">
      <c r="A12" s="36" t="s">
        <v>5</v>
      </c>
      <c r="B12" s="79">
        <f>+'Growth &amp; Beta'!B31</f>
        <v>0.75</v>
      </c>
      <c r="C12" s="79"/>
      <c r="D12" s="79"/>
      <c r="E12" s="79">
        <f>+'Growth &amp; Beta'!D31</f>
        <v>0.51</v>
      </c>
      <c r="F12" s="79">
        <f>+'Growth &amp; Beta'!E31</f>
        <v>0.42</v>
      </c>
      <c r="G12" s="79">
        <f>+'Growth &amp; Beta'!F31</f>
        <v>0.36</v>
      </c>
      <c r="H12" s="79"/>
      <c r="I12">
        <f>+AVERAGE(D12:G12)</f>
        <v>0.43</v>
      </c>
      <c r="J12">
        <f>+MEDIAN(D12:G12)</f>
        <v>0.42</v>
      </c>
    </row>
    <row r="13" spans="1:11">
      <c r="A13" s="36" t="s">
        <v>7</v>
      </c>
      <c r="B13" s="79">
        <f>+'Growth &amp; Beta'!B32</f>
        <v>0.7</v>
      </c>
      <c r="C13" s="79"/>
      <c r="D13" s="79"/>
      <c r="E13" s="79">
        <f>+'Growth &amp; Beta'!D32</f>
        <v>0.53</v>
      </c>
      <c r="F13" s="79">
        <f>+'Growth &amp; Beta'!E32</f>
        <v>0.51</v>
      </c>
      <c r="G13" s="79">
        <f>+'Growth &amp; Beta'!F32</f>
        <v>0.54</v>
      </c>
      <c r="H13" s="79"/>
      <c r="I13">
        <f t="shared" ref="I13:I19" si="0">+AVERAGE(D13:G13)</f>
        <v>0.52666666666666673</v>
      </c>
      <c r="J13">
        <f t="shared" ref="J13:J19" si="1">+MEDIAN(D13:G13)</f>
        <v>0.53</v>
      </c>
    </row>
    <row r="14" spans="1:11">
      <c r="A14" s="36" t="s">
        <v>10</v>
      </c>
      <c r="B14" s="79">
        <f>+'Growth &amp; Beta'!B33</f>
        <v>0.6</v>
      </c>
      <c r="C14" s="79"/>
      <c r="D14" s="79"/>
      <c r="E14" s="79">
        <f>+'Growth &amp; Beta'!D33</f>
        <v>0.28000000000000003</v>
      </c>
      <c r="F14" s="79">
        <f>+'Growth &amp; Beta'!E33</f>
        <v>0.15</v>
      </c>
      <c r="G14" s="79">
        <f>+'Growth &amp; Beta'!F33</f>
        <v>0.35</v>
      </c>
      <c r="H14" s="79"/>
      <c r="I14">
        <f t="shared" si="0"/>
        <v>0.26</v>
      </c>
      <c r="J14">
        <f t="shared" si="1"/>
        <v>0.28000000000000003</v>
      </c>
    </row>
    <row r="15" spans="1:11">
      <c r="A15" s="89" t="s">
        <v>12</v>
      </c>
      <c r="B15" s="79">
        <f>+'Growth &amp; Beta'!B34</f>
        <v>0.7</v>
      </c>
      <c r="C15" s="79"/>
      <c r="D15" s="79"/>
      <c r="E15" s="79">
        <f>+'Growth &amp; Beta'!D34</f>
        <v>0.43</v>
      </c>
      <c r="F15" s="79">
        <f>+'Growth &amp; Beta'!E34</f>
        <v>0.44</v>
      </c>
      <c r="G15" s="79">
        <f>+'Growth &amp; Beta'!F34</f>
        <v>0.57999999999999996</v>
      </c>
      <c r="H15" s="79"/>
      <c r="I15">
        <f t="shared" ref="I15" si="2">+AVERAGE(D15:G15)</f>
        <v>0.48333333333333334</v>
      </c>
      <c r="J15">
        <f t="shared" ref="J15" si="3">+MEDIAN(D15:G15)</f>
        <v>0.44</v>
      </c>
    </row>
    <row r="16" spans="1:11">
      <c r="A16" s="36" t="s">
        <v>14</v>
      </c>
      <c r="B16" s="79">
        <f>+'Growth &amp; Beta'!B35</f>
        <v>0.6</v>
      </c>
      <c r="C16" s="79"/>
      <c r="D16" s="79"/>
      <c r="E16" s="79">
        <f>+'Growth &amp; Beta'!D35</f>
        <v>0.36</v>
      </c>
      <c r="F16" s="79">
        <f>+'Growth &amp; Beta'!E35</f>
        <v>0.32</v>
      </c>
      <c r="G16" s="79">
        <f>+'Growth &amp; Beta'!F35</f>
        <v>0.27</v>
      </c>
      <c r="H16" s="79"/>
      <c r="I16">
        <f t="shared" si="0"/>
        <v>0.31666666666666665</v>
      </c>
      <c r="J16">
        <f t="shared" si="1"/>
        <v>0.32</v>
      </c>
    </row>
    <row r="17" spans="1:10">
      <c r="A17" s="36" t="s">
        <v>16</v>
      </c>
      <c r="B17" s="79">
        <f>+'Growth &amp; Beta'!B36</f>
        <v>0.7</v>
      </c>
      <c r="C17" s="79"/>
      <c r="D17" s="79"/>
      <c r="E17" s="79">
        <f>+'Growth &amp; Beta'!D36</f>
        <v>0.51</v>
      </c>
      <c r="F17" s="79">
        <f>+'Growth &amp; Beta'!E36</f>
        <v>0.39</v>
      </c>
      <c r="G17" s="79">
        <f>+'Growth &amp; Beta'!F36</f>
        <v>0.48</v>
      </c>
      <c r="H17" s="79"/>
      <c r="I17">
        <f t="shared" si="0"/>
        <v>0.45999999999999996</v>
      </c>
      <c r="J17">
        <f t="shared" si="1"/>
        <v>0.48</v>
      </c>
    </row>
    <row r="18" spans="1:10">
      <c r="A18" s="36" t="s">
        <v>18</v>
      </c>
      <c r="B18" s="79">
        <f>+'Growth &amp; Beta'!B37</f>
        <v>0.65</v>
      </c>
      <c r="C18" s="79"/>
      <c r="D18" s="79"/>
      <c r="E18" s="79">
        <f>+'Growth &amp; Beta'!D37</f>
        <v>0.35</v>
      </c>
      <c r="F18" s="79">
        <f>+'Growth &amp; Beta'!E37</f>
        <v>0.35</v>
      </c>
      <c r="G18" s="79">
        <f>+'Growth &amp; Beta'!F37</f>
        <v>0.7</v>
      </c>
      <c r="H18" s="79"/>
      <c r="I18">
        <f t="shared" si="0"/>
        <v>0.46666666666666662</v>
      </c>
      <c r="J18">
        <f t="shared" si="1"/>
        <v>0.35</v>
      </c>
    </row>
    <row r="19" spans="1:10">
      <c r="A19" s="36" t="s">
        <v>113</v>
      </c>
      <c r="B19" s="79">
        <f>+'Growth &amp; Beta'!B38</f>
        <v>0.75</v>
      </c>
      <c r="C19" s="79"/>
      <c r="D19" s="79"/>
      <c r="E19" s="79">
        <f>+'Growth &amp; Beta'!D38</f>
        <v>0.72</v>
      </c>
      <c r="F19" s="79">
        <f>+'Growth &amp; Beta'!E38</f>
        <v>0.72</v>
      </c>
      <c r="G19" s="79">
        <f>+'Growth &amp; Beta'!F38</f>
        <v>0.64</v>
      </c>
      <c r="H19" s="79"/>
      <c r="I19">
        <f t="shared" si="0"/>
        <v>0.69333333333333336</v>
      </c>
      <c r="J19">
        <f t="shared" si="1"/>
        <v>0.72</v>
      </c>
    </row>
    <row r="20" spans="1:10">
      <c r="A20" s="89" t="s">
        <v>104</v>
      </c>
      <c r="B20" s="79">
        <f>+'Growth &amp; Beta'!B39</f>
        <v>0.65</v>
      </c>
      <c r="C20" s="79"/>
      <c r="D20" s="79"/>
      <c r="E20" s="79">
        <f>+'Growth &amp; Beta'!D39</f>
        <v>0.41</v>
      </c>
      <c r="F20" s="79">
        <f>+'Growth &amp; Beta'!E39</f>
        <v>0.42</v>
      </c>
      <c r="G20" s="79">
        <f>+'Growth &amp; Beta'!F39</f>
        <v>0.46</v>
      </c>
      <c r="H20" s="79"/>
      <c r="I20">
        <f t="shared" ref="I20" si="4">+AVERAGE(D20:G20)</f>
        <v>0.43</v>
      </c>
      <c r="J20">
        <f t="shared" ref="J20" si="5">+MEDIAN(D20:G20)</f>
        <v>0.42</v>
      </c>
    </row>
    <row r="21" spans="1:10">
      <c r="A21" s="36"/>
    </row>
    <row r="22" spans="1:10">
      <c r="A22" s="5" t="s">
        <v>77</v>
      </c>
      <c r="B22">
        <f>AVERAGE(B12:B20)</f>
        <v>0.67777777777777781</v>
      </c>
      <c r="E22">
        <f t="shared" ref="E22:G22" si="6">AVERAGE(E12:E20)</f>
        <v>0.4555555555555556</v>
      </c>
      <c r="F22">
        <f t="shared" si="6"/>
        <v>0.41333333333333333</v>
      </c>
      <c r="G22">
        <f t="shared" si="6"/>
        <v>0.48666666666666675</v>
      </c>
      <c r="I22">
        <f>AVERAGE(I12:I20)</f>
        <v>0.45185185185185184</v>
      </c>
      <c r="J22">
        <f>AVERAGE(J12:J20)</f>
        <v>0.44</v>
      </c>
    </row>
    <row r="23" spans="1:10">
      <c r="A23" s="5" t="s">
        <v>21</v>
      </c>
      <c r="B23">
        <f>MEDIAN(B12:B20)</f>
        <v>0.7</v>
      </c>
      <c r="E23">
        <f t="shared" ref="E23:G23" si="7">MEDIAN(E12:E20)</f>
        <v>0.43</v>
      </c>
      <c r="F23">
        <f t="shared" si="7"/>
        <v>0.42</v>
      </c>
      <c r="G23">
        <f t="shared" si="7"/>
        <v>0.48</v>
      </c>
      <c r="I23">
        <f>MEDIAN(I12:I20)</f>
        <v>0.45999999999999996</v>
      </c>
      <c r="J23">
        <f>MEDIAN(J12:J20)</f>
        <v>0.42</v>
      </c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">
    <mergeCell ref="F7:G7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CE50"/>
  <sheetViews>
    <sheetView view="pageBreakPreview" zoomScale="110" zoomScaleNormal="100" zoomScaleSheetLayoutView="110" workbookViewId="0">
      <pane xSplit="1" topLeftCell="B1" activePane="topRight" state="frozen"/>
      <selection pane="topRight" activeCell="BK22" sqref="BK22"/>
    </sheetView>
  </sheetViews>
  <sheetFormatPr defaultRowHeight="12.75"/>
  <cols>
    <col min="1" max="1" width="21.1640625" customWidth="1"/>
    <col min="2" max="2" width="8.1640625" customWidth="1"/>
    <col min="3" max="3" width="7.6640625" hidden="1" customWidth="1"/>
    <col min="5" max="5" width="8.6640625" hidden="1" customWidth="1"/>
    <col min="6" max="6" width="8.33203125" customWidth="1"/>
    <col min="8" max="11" width="8.83203125" hidden="1" customWidth="1"/>
    <col min="12" max="12" width="9.1640625" customWidth="1"/>
    <col min="13" max="17" width="8.83203125" customWidth="1"/>
    <col min="18" max="19" width="9.83203125" customWidth="1"/>
    <col min="20" max="22" width="10.83203125" hidden="1" customWidth="1"/>
    <col min="23" max="25" width="10.83203125" customWidth="1"/>
    <col min="26" max="27" width="10.83203125" hidden="1" customWidth="1"/>
    <col min="28" max="28" width="11.33203125" hidden="1" customWidth="1"/>
    <col min="29" max="30" width="11.33203125" customWidth="1"/>
    <col min="31" max="31" width="13.5" hidden="1" customWidth="1"/>
    <col min="32" max="34" width="14.33203125" hidden="1" customWidth="1"/>
    <col min="35" max="35" width="14.33203125" customWidth="1"/>
    <col min="36" max="38" width="10.5" hidden="1" customWidth="1"/>
    <col min="39" max="40" width="10.5" customWidth="1"/>
    <col min="41" max="43" width="10.33203125" hidden="1" customWidth="1"/>
    <col min="44" max="45" width="10.33203125" customWidth="1"/>
    <col min="46" max="46" width="10.5" hidden="1" customWidth="1"/>
    <col min="47" max="48" width="9.83203125" hidden="1" customWidth="1"/>
    <col min="49" max="50" width="9.83203125" customWidth="1"/>
    <col min="51" max="51" width="10.6640625" hidden="1" customWidth="1"/>
    <col min="52" max="53" width="9.5" hidden="1" customWidth="1"/>
    <col min="54" max="55" width="9.5" customWidth="1"/>
    <col min="56" max="56" width="11.33203125" hidden="1" customWidth="1"/>
    <col min="57" max="58" width="11.1640625" hidden="1" customWidth="1"/>
    <col min="59" max="61" width="11.1640625" customWidth="1"/>
    <col min="62" max="62" width="11.1640625" hidden="1" customWidth="1"/>
    <col min="63" max="63" width="10.83203125" customWidth="1"/>
    <col min="64" max="64" width="11.33203125" customWidth="1"/>
    <col min="65" max="69" width="9.83203125" hidden="1" customWidth="1"/>
    <col min="70" max="70" width="9.83203125" customWidth="1"/>
    <col min="71" max="71" width="9.83203125" style="98" customWidth="1"/>
    <col min="72" max="78" width="9.1640625" style="98" customWidth="1"/>
    <col min="79" max="79" width="9.1640625" customWidth="1"/>
    <col min="80" max="81" width="11.83203125" customWidth="1"/>
    <col min="82" max="83" width="10.1640625" bestFit="1" customWidth="1"/>
  </cols>
  <sheetData>
    <row r="2" spans="1:83">
      <c r="L2" s="38"/>
      <c r="M2" s="38"/>
      <c r="N2" s="38"/>
      <c r="O2" s="38"/>
      <c r="P2" s="38"/>
      <c r="Q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V2" s="538"/>
      <c r="AW2" s="538"/>
      <c r="AX2" s="538"/>
      <c r="BF2" s="540"/>
      <c r="BG2" s="540"/>
      <c r="BH2" s="540"/>
      <c r="BI2" s="540"/>
      <c r="BJ2" s="540"/>
      <c r="BK2" s="540"/>
      <c r="BL2" s="540"/>
    </row>
    <row r="3" spans="1:83" ht="18.75">
      <c r="B3" s="736" t="s">
        <v>86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 t="s">
        <v>86</v>
      </c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736"/>
      <c r="AO3" s="736"/>
      <c r="AP3" s="736"/>
      <c r="AQ3" s="342"/>
      <c r="AR3" s="342"/>
      <c r="AS3" s="342"/>
      <c r="AT3" s="736" t="s">
        <v>86</v>
      </c>
      <c r="AU3" s="736"/>
      <c r="AV3" s="736"/>
      <c r="AW3" s="736"/>
      <c r="AX3" s="736"/>
      <c r="AY3" s="736"/>
      <c r="AZ3" s="736"/>
      <c r="BA3" s="736"/>
      <c r="BB3" s="736"/>
      <c r="BC3" s="736"/>
      <c r="BD3" s="736"/>
      <c r="BE3" s="736"/>
      <c r="BF3" s="736"/>
      <c r="BG3" s="736"/>
      <c r="BH3" s="736"/>
      <c r="BI3" s="736"/>
      <c r="BJ3" s="736"/>
      <c r="BK3" s="736"/>
      <c r="BL3" s="736"/>
      <c r="BM3" s="736"/>
      <c r="BN3" s="736"/>
      <c r="BO3" s="342"/>
      <c r="BP3" s="342"/>
      <c r="BQ3" s="342"/>
      <c r="BR3" s="342"/>
      <c r="BS3" s="382"/>
    </row>
    <row r="4" spans="1:83" ht="15.75">
      <c r="B4" s="737" t="s">
        <v>324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 t="s">
        <v>324</v>
      </c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343"/>
      <c r="AR4" s="343"/>
      <c r="AS4" s="343"/>
      <c r="AT4" s="737" t="s">
        <v>324</v>
      </c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343"/>
      <c r="BP4" s="343"/>
      <c r="BQ4" s="343"/>
      <c r="BR4" s="343"/>
      <c r="BS4" s="383"/>
    </row>
    <row r="5" spans="1:83" ht="15.75">
      <c r="A5" s="133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344"/>
      <c r="AR5" s="344"/>
      <c r="AS5" s="344"/>
      <c r="AT5" s="537"/>
      <c r="AU5" s="537"/>
      <c r="AV5" s="537"/>
      <c r="AW5" s="537"/>
      <c r="AX5" s="537"/>
      <c r="AY5" s="537"/>
      <c r="AZ5" s="537"/>
      <c r="BA5" s="537"/>
      <c r="BB5" s="537"/>
      <c r="BC5" s="537"/>
      <c r="BD5" s="537"/>
      <c r="BE5" s="537"/>
      <c r="BF5" s="537"/>
      <c r="BG5" s="537"/>
      <c r="BH5" s="537"/>
      <c r="BI5" s="537"/>
      <c r="BJ5" s="537"/>
      <c r="BK5" s="537"/>
      <c r="BL5" s="537"/>
      <c r="BM5" s="537"/>
      <c r="BN5" s="537"/>
      <c r="BO5" s="344"/>
      <c r="BP5" s="344"/>
      <c r="BQ5" s="344"/>
      <c r="BR5" s="344"/>
      <c r="BS5" s="384"/>
      <c r="BT5" s="385"/>
      <c r="BU5" s="385"/>
      <c r="BV5" s="385"/>
      <c r="BW5" s="385"/>
      <c r="BX5" s="385"/>
      <c r="BY5" s="385"/>
      <c r="BZ5" s="385"/>
      <c r="CA5" s="79"/>
      <c r="CB5" s="79"/>
      <c r="CC5" s="79"/>
      <c r="CD5" s="79"/>
    </row>
    <row r="6" spans="1:83" ht="15.75">
      <c r="A6" s="133"/>
      <c r="B6" s="47"/>
      <c r="C6" s="79"/>
      <c r="D6" s="79"/>
      <c r="E6" s="79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322" t="s">
        <v>139</v>
      </c>
      <c r="T6" s="47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Q6" s="322"/>
      <c r="AR6" s="322"/>
      <c r="AS6" s="322" t="s">
        <v>138</v>
      </c>
      <c r="AT6" s="47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79"/>
      <c r="BN6" s="5" t="s">
        <v>137</v>
      </c>
      <c r="BO6" s="5"/>
      <c r="BP6" s="5"/>
      <c r="BQ6" s="5"/>
      <c r="BR6" s="5"/>
      <c r="BS6" s="386"/>
      <c r="BT6" s="385"/>
      <c r="BU6" s="385"/>
      <c r="BV6" s="385"/>
      <c r="BW6" s="385"/>
      <c r="BX6" s="385"/>
      <c r="BY6" s="385"/>
      <c r="BZ6" s="385"/>
      <c r="CA6" s="79"/>
      <c r="CB6" s="79"/>
      <c r="CC6" s="79"/>
      <c r="CD6" s="79"/>
    </row>
    <row r="7" spans="1:83" ht="15.75">
      <c r="A7" s="133"/>
      <c r="B7" s="47"/>
      <c r="C7" s="79"/>
      <c r="D7" s="79"/>
      <c r="E7" s="79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47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O7" s="133"/>
      <c r="AP7" s="133"/>
      <c r="AQ7" s="133"/>
      <c r="AR7" s="133"/>
      <c r="AS7" s="133"/>
      <c r="AT7" s="47"/>
      <c r="AU7" s="133"/>
      <c r="AY7" s="133"/>
      <c r="AZ7" s="133"/>
      <c r="BA7" s="133"/>
      <c r="BB7" s="133"/>
      <c r="BC7" s="133"/>
      <c r="BD7" s="133"/>
      <c r="BE7" s="133"/>
      <c r="BM7" s="79"/>
      <c r="BT7" s="385"/>
      <c r="BU7" s="385"/>
      <c r="BV7" s="385"/>
      <c r="BW7" s="385"/>
      <c r="BX7" s="385"/>
      <c r="BY7" s="385"/>
      <c r="BZ7" s="385"/>
      <c r="CA7" s="79"/>
      <c r="CB7" s="79"/>
      <c r="CC7" s="79"/>
      <c r="CD7" s="79"/>
    </row>
    <row r="8" spans="1:83">
      <c r="B8" s="239"/>
      <c r="C8" s="202"/>
      <c r="D8" s="240"/>
      <c r="E8" s="3"/>
      <c r="F8" s="240"/>
      <c r="G8" s="202"/>
      <c r="H8" s="239"/>
      <c r="I8" s="3"/>
      <c r="J8" s="286"/>
      <c r="K8" s="287"/>
      <c r="L8" s="286"/>
      <c r="M8" s="286"/>
      <c r="N8" s="286"/>
      <c r="O8" s="286"/>
      <c r="P8" s="286"/>
      <c r="Q8" s="286"/>
      <c r="R8" s="783" t="s">
        <v>140</v>
      </c>
      <c r="S8" s="784"/>
      <c r="T8" s="239"/>
      <c r="U8" s="3"/>
      <c r="V8" s="3"/>
      <c r="W8" s="3"/>
      <c r="X8" s="3"/>
      <c r="Y8" s="202"/>
      <c r="Z8" s="292"/>
      <c r="AA8" s="202"/>
      <c r="AB8" s="3"/>
      <c r="AC8" s="3"/>
      <c r="AD8" s="202"/>
      <c r="AE8" s="239"/>
      <c r="AF8" s="202"/>
      <c r="AG8" s="239"/>
      <c r="AH8" s="3"/>
      <c r="AI8" s="202"/>
      <c r="AJ8" s="239"/>
      <c r="AK8" s="202"/>
      <c r="AL8" s="3"/>
      <c r="AM8" s="3"/>
      <c r="AN8" s="202"/>
      <c r="AO8" s="239"/>
      <c r="AP8" s="202"/>
      <c r="AQ8" s="3"/>
      <c r="AR8" s="3"/>
      <c r="AS8" s="3"/>
      <c r="AT8" s="239"/>
      <c r="AU8" s="202"/>
      <c r="AV8" s="3"/>
      <c r="AW8" s="3"/>
      <c r="AX8" s="3"/>
      <c r="AY8" s="239"/>
      <c r="AZ8" s="202"/>
      <c r="BA8" s="3"/>
      <c r="BB8" s="3"/>
      <c r="BC8" s="3"/>
      <c r="BD8" s="786"/>
      <c r="BE8" s="787"/>
      <c r="BF8" s="787"/>
      <c r="BG8" s="787"/>
      <c r="BH8" s="787"/>
      <c r="BI8" s="787"/>
      <c r="BJ8" s="787"/>
      <c r="BK8" s="787"/>
      <c r="BL8" s="788"/>
      <c r="BM8" s="239"/>
      <c r="BN8" s="202"/>
      <c r="BO8" s="36"/>
      <c r="BP8" s="36"/>
      <c r="BQ8" s="36"/>
      <c r="BR8" s="36"/>
      <c r="BS8" s="387"/>
    </row>
    <row r="9" spans="1:83">
      <c r="B9" s="152"/>
      <c r="C9" s="313"/>
      <c r="D9" s="237" t="s">
        <v>54</v>
      </c>
      <c r="E9" s="288" t="s">
        <v>55</v>
      </c>
      <c r="F9" s="237" t="s">
        <v>55</v>
      </c>
      <c r="G9" s="289" t="s">
        <v>81</v>
      </c>
      <c r="H9" s="780" t="s">
        <v>231</v>
      </c>
      <c r="I9" s="781"/>
      <c r="J9" s="781"/>
      <c r="K9" s="781"/>
      <c r="L9" s="781"/>
      <c r="M9" s="781"/>
      <c r="N9" s="781"/>
      <c r="O9" s="781"/>
      <c r="P9" s="781"/>
      <c r="Q9" s="782"/>
      <c r="R9" s="766" t="s">
        <v>80</v>
      </c>
      <c r="S9" s="785"/>
      <c r="T9" s="775" t="s">
        <v>182</v>
      </c>
      <c r="U9" s="776"/>
      <c r="V9" s="776"/>
      <c r="W9" s="776"/>
      <c r="X9" s="776"/>
      <c r="Y9" s="777"/>
      <c r="Z9" s="775" t="s">
        <v>183</v>
      </c>
      <c r="AA9" s="776"/>
      <c r="AB9" s="776"/>
      <c r="AC9" s="776"/>
      <c r="AD9" s="777"/>
      <c r="AE9" s="766" t="s">
        <v>184</v>
      </c>
      <c r="AF9" s="767"/>
      <c r="AG9" s="767"/>
      <c r="AH9" s="767"/>
      <c r="AI9" s="785"/>
      <c r="AJ9" s="766" t="s">
        <v>185</v>
      </c>
      <c r="AK9" s="767"/>
      <c r="AL9" s="767"/>
      <c r="AM9" s="767"/>
      <c r="AN9" s="785"/>
      <c r="AO9" s="766" t="s">
        <v>186</v>
      </c>
      <c r="AP9" s="767"/>
      <c r="AQ9" s="767"/>
      <c r="AR9" s="767"/>
      <c r="AS9" s="785"/>
      <c r="AT9" s="766" t="s">
        <v>266</v>
      </c>
      <c r="AU9" s="767"/>
      <c r="AV9" s="767"/>
      <c r="AW9" s="767"/>
      <c r="AX9" s="785"/>
      <c r="AY9" s="766" t="s">
        <v>267</v>
      </c>
      <c r="AZ9" s="767"/>
      <c r="BA9" s="767"/>
      <c r="BB9" s="767"/>
      <c r="BC9" s="785"/>
      <c r="BE9" s="369"/>
      <c r="BF9" s="369"/>
      <c r="BG9" s="766" t="s">
        <v>216</v>
      </c>
      <c r="BH9" s="767"/>
      <c r="BI9" s="767"/>
      <c r="BJ9" s="412"/>
      <c r="BK9" s="369"/>
      <c r="BL9" s="368"/>
      <c r="BM9" s="778" t="s">
        <v>239</v>
      </c>
      <c r="BN9" s="779"/>
      <c r="BO9" s="779"/>
      <c r="BP9" s="779"/>
      <c r="BQ9" s="779"/>
      <c r="BR9" s="232"/>
      <c r="BS9" s="768" t="s">
        <v>107</v>
      </c>
      <c r="BT9" s="769"/>
      <c r="BU9" s="769"/>
      <c r="BV9" s="770"/>
      <c r="BW9" s="771" t="s">
        <v>124</v>
      </c>
      <c r="BX9" s="772"/>
      <c r="BY9" s="772"/>
      <c r="BZ9" s="773"/>
      <c r="CA9" s="249"/>
      <c r="CB9" s="232" t="s">
        <v>196</v>
      </c>
      <c r="CC9" s="232" t="s">
        <v>85</v>
      </c>
    </row>
    <row r="10" spans="1:83">
      <c r="B10" s="314" t="s">
        <v>20</v>
      </c>
      <c r="C10" s="313"/>
      <c r="D10" s="237" t="s">
        <v>35</v>
      </c>
      <c r="E10" s="288" t="s">
        <v>168</v>
      </c>
      <c r="F10" s="237" t="s">
        <v>56</v>
      </c>
      <c r="G10" s="289" t="s">
        <v>56</v>
      </c>
      <c r="H10" s="793">
        <v>2008</v>
      </c>
      <c r="I10" s="789"/>
      <c r="J10" s="789">
        <v>2009</v>
      </c>
      <c r="K10" s="789"/>
      <c r="L10" s="789">
        <f>+J10+1</f>
        <v>2010</v>
      </c>
      <c r="M10" s="789"/>
      <c r="N10" s="789">
        <f>+L10+1</f>
        <v>2011</v>
      </c>
      <c r="O10" s="789"/>
      <c r="P10" s="789">
        <f>+N10+1</f>
        <v>2012</v>
      </c>
      <c r="Q10" s="789"/>
      <c r="R10" s="237" t="s">
        <v>152</v>
      </c>
      <c r="S10" s="237" t="s">
        <v>23</v>
      </c>
      <c r="T10" s="254">
        <v>2008</v>
      </c>
      <c r="U10" s="255">
        <v>2009</v>
      </c>
      <c r="V10" s="255">
        <v>2010</v>
      </c>
      <c r="W10" s="255">
        <v>2011</v>
      </c>
      <c r="X10" s="255">
        <v>2012</v>
      </c>
      <c r="Y10" s="256" t="s">
        <v>232</v>
      </c>
      <c r="Z10" s="514">
        <v>2008</v>
      </c>
      <c r="AA10" s="138">
        <v>2009</v>
      </c>
      <c r="AB10" s="512">
        <f>+AA10+1</f>
        <v>2010</v>
      </c>
      <c r="AC10" s="512">
        <f>+AB10+1</f>
        <v>2011</v>
      </c>
      <c r="AD10" s="138">
        <f>+AC10+1</f>
        <v>2012</v>
      </c>
      <c r="AE10" s="514">
        <v>2008</v>
      </c>
      <c r="AF10" s="138">
        <v>2009</v>
      </c>
      <c r="AG10" s="254">
        <f>+AF10+1</f>
        <v>2010</v>
      </c>
      <c r="AH10" s="512">
        <f>+AG10+1</f>
        <v>2011</v>
      </c>
      <c r="AI10" s="138">
        <f>+AH10+1</f>
        <v>2012</v>
      </c>
      <c r="AJ10" s="514">
        <v>2008</v>
      </c>
      <c r="AK10" s="138">
        <v>2009</v>
      </c>
      <c r="AL10" s="512">
        <f>+AK10+1</f>
        <v>2010</v>
      </c>
      <c r="AM10" s="512">
        <f>+AL10+1</f>
        <v>2011</v>
      </c>
      <c r="AN10" s="138">
        <f>+AM10+1</f>
        <v>2012</v>
      </c>
      <c r="AO10" s="137">
        <v>2008</v>
      </c>
      <c r="AP10" s="138">
        <v>2009</v>
      </c>
      <c r="AQ10" s="254">
        <f>+AP10+1</f>
        <v>2010</v>
      </c>
      <c r="AR10" s="341">
        <f>+AQ10+1</f>
        <v>2011</v>
      </c>
      <c r="AS10" s="341">
        <f>+AR10+1</f>
        <v>2012</v>
      </c>
      <c r="AT10" s="783" t="s">
        <v>265</v>
      </c>
      <c r="AU10" s="792"/>
      <c r="AV10" s="792"/>
      <c r="AW10" s="792"/>
      <c r="AX10" s="784"/>
      <c r="AY10" s="783" t="s">
        <v>265</v>
      </c>
      <c r="AZ10" s="792"/>
      <c r="BA10" s="792"/>
      <c r="BB10" s="792"/>
      <c r="BC10" s="784"/>
      <c r="BD10" s="790"/>
      <c r="BE10" s="791"/>
      <c r="BF10" s="68"/>
      <c r="BG10" s="68"/>
      <c r="BH10" s="68"/>
      <c r="BI10" s="513" t="s">
        <v>278</v>
      </c>
      <c r="BJ10" s="416" t="s">
        <v>276</v>
      </c>
      <c r="BK10" s="233" t="s">
        <v>240</v>
      </c>
      <c r="BL10" s="234" t="s">
        <v>241</v>
      </c>
      <c r="BM10" s="239"/>
      <c r="BN10" s="202"/>
      <c r="BO10" s="36"/>
      <c r="BP10" s="36"/>
      <c r="BQ10" s="36"/>
      <c r="BR10" s="36"/>
      <c r="BS10" s="388"/>
      <c r="BT10" s="389"/>
      <c r="BU10" s="389"/>
      <c r="BV10" s="390"/>
      <c r="BW10" s="391"/>
      <c r="BX10" s="389"/>
      <c r="BY10" s="389"/>
      <c r="BZ10" s="390"/>
      <c r="CA10" s="249"/>
      <c r="CB10" s="232" t="s">
        <v>197</v>
      </c>
      <c r="CC10" s="232" t="s">
        <v>197</v>
      </c>
    </row>
    <row r="11" spans="1:83">
      <c r="A11" s="2" t="s">
        <v>3</v>
      </c>
      <c r="B11" s="314" t="s">
        <v>73</v>
      </c>
      <c r="C11" s="156" t="s">
        <v>160</v>
      </c>
      <c r="D11" s="238" t="s">
        <v>36</v>
      </c>
      <c r="E11" s="290" t="s">
        <v>36</v>
      </c>
      <c r="F11" s="238" t="s">
        <v>57</v>
      </c>
      <c r="G11" s="291" t="s">
        <v>57</v>
      </c>
      <c r="H11" s="139" t="s">
        <v>78</v>
      </c>
      <c r="I11" s="140" t="s">
        <v>127</v>
      </c>
      <c r="J11" s="140" t="s">
        <v>78</v>
      </c>
      <c r="K11" s="140" t="s">
        <v>127</v>
      </c>
      <c r="L11" s="140" t="s">
        <v>151</v>
      </c>
      <c r="M11" s="140" t="s">
        <v>127</v>
      </c>
      <c r="N11" s="140" t="s">
        <v>151</v>
      </c>
      <c r="O11" s="140" t="s">
        <v>127</v>
      </c>
      <c r="P11" s="140" t="s">
        <v>151</v>
      </c>
      <c r="Q11" s="140" t="s">
        <v>127</v>
      </c>
      <c r="R11" s="238" t="s">
        <v>26</v>
      </c>
      <c r="S11" s="238" t="s">
        <v>26</v>
      </c>
      <c r="T11" s="775" t="s">
        <v>90</v>
      </c>
      <c r="U11" s="776"/>
      <c r="V11" s="776"/>
      <c r="W11" s="776"/>
      <c r="X11" s="776"/>
      <c r="Y11" s="228" t="s">
        <v>233</v>
      </c>
      <c r="Z11" s="775" t="s">
        <v>90</v>
      </c>
      <c r="AA11" s="776"/>
      <c r="AB11" s="776"/>
      <c r="AC11" s="776"/>
      <c r="AD11" s="777"/>
      <c r="AE11" s="775" t="s">
        <v>90</v>
      </c>
      <c r="AF11" s="776"/>
      <c r="AG11" s="776"/>
      <c r="AH11" s="776"/>
      <c r="AI11" s="777"/>
      <c r="AJ11" s="155"/>
      <c r="AK11" s="156"/>
      <c r="AL11" s="290"/>
      <c r="AM11" s="290"/>
      <c r="AN11" s="156"/>
      <c r="AO11" s="155"/>
      <c r="AP11" s="156"/>
      <c r="AQ11" s="155"/>
      <c r="AR11" s="290"/>
      <c r="AS11" s="290"/>
      <c r="AT11" s="229">
        <v>2008</v>
      </c>
      <c r="AU11" s="230">
        <v>2009</v>
      </c>
      <c r="AV11" s="366">
        <f>+AU11+1</f>
        <v>2010</v>
      </c>
      <c r="AW11" s="366">
        <f>+AV11+1</f>
        <v>2011</v>
      </c>
      <c r="AX11" s="366">
        <f>+AW11+1</f>
        <v>2012</v>
      </c>
      <c r="AY11" s="229">
        <v>2008</v>
      </c>
      <c r="AZ11" s="230">
        <v>2009</v>
      </c>
      <c r="BA11" s="366">
        <f>+AZ11+1</f>
        <v>2010</v>
      </c>
      <c r="BB11" s="366">
        <f>+BA11+1</f>
        <v>2011</v>
      </c>
      <c r="BC11" s="366">
        <f>+BB11+1</f>
        <v>2012</v>
      </c>
      <c r="BD11" s="229">
        <v>2008</v>
      </c>
      <c r="BE11" s="230">
        <v>2009</v>
      </c>
      <c r="BF11" s="366">
        <f>+BE11+1</f>
        <v>2010</v>
      </c>
      <c r="BG11" s="366">
        <f>+BF11+1</f>
        <v>2011</v>
      </c>
      <c r="BH11" s="366">
        <f>+BG11+1</f>
        <v>2012</v>
      </c>
      <c r="BI11" s="541" t="s">
        <v>277</v>
      </c>
      <c r="BJ11" s="417" t="s">
        <v>277</v>
      </c>
      <c r="BK11" s="235" t="s">
        <v>157</v>
      </c>
      <c r="BL11" s="236" t="s">
        <v>242</v>
      </c>
      <c r="BM11" s="229">
        <v>2008</v>
      </c>
      <c r="BN11" s="230">
        <v>2009</v>
      </c>
      <c r="BO11" s="341">
        <f>+BN11+1</f>
        <v>2010</v>
      </c>
      <c r="BP11" s="341">
        <f>+BO11+1</f>
        <v>2011</v>
      </c>
      <c r="BQ11" s="341">
        <f>+BP11+1</f>
        <v>2012</v>
      </c>
      <c r="BR11" s="341"/>
      <c r="BS11" s="403">
        <v>2009</v>
      </c>
      <c r="BT11" s="404">
        <f>+BS11+1</f>
        <v>2010</v>
      </c>
      <c r="BU11" s="404">
        <f>+BT11+1</f>
        <v>2011</v>
      </c>
      <c r="BV11" s="405">
        <f>+BU11+1</f>
        <v>2012</v>
      </c>
      <c r="BW11" s="403">
        <f>+BS11</f>
        <v>2009</v>
      </c>
      <c r="BX11" s="404">
        <f>+BW11+1</f>
        <v>2010</v>
      </c>
      <c r="BY11" s="404">
        <f>+BX11+1</f>
        <v>2011</v>
      </c>
      <c r="BZ11" s="405">
        <f>+BY11+1</f>
        <v>2012</v>
      </c>
      <c r="CA11" s="381"/>
      <c r="CB11" s="232" t="s">
        <v>198</v>
      </c>
      <c r="CC11" s="232" t="s">
        <v>198</v>
      </c>
      <c r="CD11" s="381"/>
      <c r="CE11" s="381"/>
    </row>
    <row r="12" spans="1:83">
      <c r="A12" s="3"/>
      <c r="B12" s="239"/>
      <c r="C12" s="151"/>
      <c r="D12" s="307"/>
      <c r="E12" s="3"/>
      <c r="F12" s="19"/>
      <c r="G12" s="308"/>
      <c r="H12" s="141"/>
      <c r="I12" s="56"/>
      <c r="J12" s="56"/>
      <c r="K12" s="56"/>
      <c r="L12" s="56"/>
      <c r="M12" s="56"/>
      <c r="N12" s="141"/>
      <c r="O12" s="56"/>
      <c r="P12" s="141"/>
      <c r="Q12" s="56"/>
      <c r="R12" s="240"/>
      <c r="S12" s="240"/>
      <c r="T12" s="257"/>
      <c r="U12" s="253"/>
      <c r="V12" s="253"/>
      <c r="W12" s="253"/>
      <c r="X12" s="253"/>
      <c r="Y12" s="258"/>
      <c r="Z12" s="41"/>
      <c r="AA12" s="151"/>
      <c r="AB12" s="36"/>
      <c r="AC12" s="36"/>
      <c r="AD12" s="36"/>
      <c r="AE12" s="152"/>
      <c r="AF12" s="151"/>
      <c r="AG12" s="239"/>
      <c r="AH12" s="36"/>
      <c r="AI12" s="36"/>
      <c r="AJ12" s="152"/>
      <c r="AK12" s="151"/>
      <c r="AL12" s="36"/>
      <c r="AM12" s="36"/>
      <c r="AN12" s="36"/>
      <c r="AO12" s="153"/>
      <c r="AP12" s="154"/>
      <c r="AQ12" s="429"/>
      <c r="AR12" s="365"/>
      <c r="AS12" s="365"/>
      <c r="AT12" s="152"/>
      <c r="AU12" s="151"/>
      <c r="AV12" s="36"/>
      <c r="AW12" s="36"/>
      <c r="AX12" s="36"/>
      <c r="AY12" s="152"/>
      <c r="AZ12" s="151"/>
      <c r="BA12" s="36"/>
      <c r="BB12" s="36"/>
      <c r="BC12" s="36"/>
      <c r="BD12" s="152"/>
      <c r="BE12" s="36"/>
      <c r="BF12" s="36"/>
      <c r="BG12" s="36"/>
      <c r="BH12" s="36"/>
      <c r="BI12" s="89"/>
      <c r="BJ12" s="418"/>
      <c r="BK12" s="239"/>
      <c r="BL12" s="202"/>
      <c r="BM12" s="239"/>
      <c r="BN12" s="202"/>
      <c r="BO12" s="36"/>
      <c r="BP12" s="36"/>
      <c r="BQ12" s="36"/>
      <c r="BR12" s="36"/>
      <c r="BS12" s="388"/>
      <c r="BT12" s="387"/>
      <c r="BU12" s="387"/>
      <c r="BV12" s="392"/>
      <c r="BW12" s="388"/>
      <c r="BX12" s="387"/>
      <c r="BY12" s="387"/>
      <c r="BZ12" s="392"/>
    </row>
    <row r="13" spans="1:83">
      <c r="A13" s="79" t="s">
        <v>5</v>
      </c>
      <c r="B13" s="152" t="s">
        <v>99</v>
      </c>
      <c r="C13" s="315">
        <v>8</v>
      </c>
      <c r="D13" s="309" t="str">
        <f>+'Value Line'!E20</f>
        <v>A</v>
      </c>
      <c r="E13" s="411">
        <v>68</v>
      </c>
      <c r="F13" s="311" t="str">
        <f>+Comps!K12</f>
        <v>BBB+</v>
      </c>
      <c r="G13" s="312" t="str">
        <f>+Comps!L12</f>
        <v>Baa1</v>
      </c>
      <c r="H13" s="142">
        <v>0.63</v>
      </c>
      <c r="I13" s="143">
        <v>0.71</v>
      </c>
      <c r="J13" s="143">
        <v>0.63959999999999995</v>
      </c>
      <c r="K13" s="143">
        <v>0.67200000000000004</v>
      </c>
      <c r="L13" s="410">
        <f>1349/2373</f>
        <v>0.56847871892119684</v>
      </c>
      <c r="M13" s="410">
        <f>352/499</f>
        <v>0.70541082164328661</v>
      </c>
      <c r="N13" s="455">
        <f>1451/2338</f>
        <v>0.62061591103507274</v>
      </c>
      <c r="O13" s="410">
        <f>412/447</f>
        <v>0.92170022371364657</v>
      </c>
      <c r="P13" s="455">
        <f>2710/3922</f>
        <v>0.69097399286078531</v>
      </c>
      <c r="Q13" s="410">
        <f>532/634</f>
        <v>0.83911671924290221</v>
      </c>
      <c r="R13" s="241">
        <f>+'Growth &amp; Beta'!B12</f>
        <v>0.09</v>
      </c>
      <c r="S13" s="241">
        <f>+Dividends!L24</f>
        <v>4.4999999999999998E-2</v>
      </c>
      <c r="T13" s="145">
        <v>2800</v>
      </c>
      <c r="U13" s="252">
        <v>2317</v>
      </c>
      <c r="V13" s="165">
        <v>2373</v>
      </c>
      <c r="W13" s="165">
        <v>2338</v>
      </c>
      <c r="X13" s="165">
        <v>3922</v>
      </c>
      <c r="Y13" s="259">
        <f>(+X13-W13)/W13</f>
        <v>0.67750213857998287</v>
      </c>
      <c r="Z13" s="165">
        <v>3816</v>
      </c>
      <c r="AA13" s="158">
        <v>4146</v>
      </c>
      <c r="AB13" s="165">
        <v>4405</v>
      </c>
      <c r="AC13" s="165">
        <v>7900</v>
      </c>
      <c r="AD13" s="165">
        <v>8347</v>
      </c>
      <c r="AE13" s="157">
        <v>2410.8000000000002</v>
      </c>
      <c r="AF13" s="163">
        <v>2826.4</v>
      </c>
      <c r="AG13" s="427">
        <v>2800</v>
      </c>
      <c r="AH13" s="367">
        <v>4946.3</v>
      </c>
      <c r="AI13" s="377">
        <v>5038.3</v>
      </c>
      <c r="AJ13" s="160">
        <v>2.84</v>
      </c>
      <c r="AK13" s="159">
        <v>2.88</v>
      </c>
      <c r="AL13" s="376">
        <v>3.02</v>
      </c>
      <c r="AM13" s="376">
        <v>2.14</v>
      </c>
      <c r="AN13" s="376">
        <v>2.3199999999999998</v>
      </c>
      <c r="AO13" s="370">
        <f>1.68/2.84</f>
        <v>0.59154929577464788</v>
      </c>
      <c r="AP13" s="371">
        <f>1.72/2.88</f>
        <v>0.59722222222222221</v>
      </c>
      <c r="AQ13" s="370">
        <f>+Dividends!H5/'Comp Detail'!AL13</f>
        <v>0.58278145695364236</v>
      </c>
      <c r="AR13" s="372">
        <f>+Dividends!I5/'Comp Detail'!AM13</f>
        <v>0.88738317757009344</v>
      </c>
      <c r="AS13" s="372">
        <f>+Dividends!J5/'Comp Detail'!AN13</f>
        <v>0.75043103448275861</v>
      </c>
      <c r="AT13" s="161">
        <f>1675/3327</f>
        <v>0.50345656747820855</v>
      </c>
      <c r="AU13" s="162">
        <f>1974/3754</f>
        <v>0.52583910495471498</v>
      </c>
      <c r="AV13" s="164">
        <f>1671/(1671+1813)</f>
        <v>0.47962112514351318</v>
      </c>
      <c r="AW13" s="164">
        <f>3561/(3561+3318)</f>
        <v>0.5176624509376363</v>
      </c>
      <c r="AX13" s="164">
        <f>3327/(3327+3413)</f>
        <v>0.49362017804154301</v>
      </c>
      <c r="AY13" s="161">
        <f>1682/3327</f>
        <v>0.50556056507363989</v>
      </c>
      <c r="AZ13" s="162">
        <f>1819/3754</f>
        <v>0.48454981353223231</v>
      </c>
      <c r="BA13" s="164">
        <f>1-AV13</f>
        <v>0.52037887485648682</v>
      </c>
      <c r="BB13" s="164">
        <f>1-AW13</f>
        <v>0.4823375490623637</v>
      </c>
      <c r="BC13" s="164">
        <f>1-AX13</f>
        <v>0.50637982195845699</v>
      </c>
      <c r="BD13" s="161">
        <f>217/1652</f>
        <v>0.13135593220338984</v>
      </c>
      <c r="BE13" s="164">
        <f>+BS13/BW13</f>
        <v>0.12204507971412865</v>
      </c>
      <c r="BF13" s="164">
        <f t="shared" ref="BF13:BH20" si="0">+BT13/BX13</f>
        <v>0.12745098039215685</v>
      </c>
      <c r="BG13" s="164">
        <f t="shared" si="0"/>
        <v>5.151242887091944E-2</v>
      </c>
      <c r="BH13" s="164">
        <f t="shared" si="0"/>
        <v>7.889374090247453E-2</v>
      </c>
      <c r="BI13" s="164">
        <f>AVERAGE(BF13:BH13)</f>
        <v>8.5952383388516948E-2</v>
      </c>
      <c r="BJ13" s="378">
        <f>AVERAGE(BD13:BH13)</f>
        <v>0.10225163241661388</v>
      </c>
      <c r="BK13" s="407">
        <v>10.42</v>
      </c>
      <c r="BL13" s="408">
        <v>40897</v>
      </c>
      <c r="BM13" s="306">
        <f t="shared" ref="BM13:BN20" si="1">1-AO13</f>
        <v>0.40845070422535212</v>
      </c>
      <c r="BN13" s="259">
        <f>1-AP13</f>
        <v>0.40277777777777779</v>
      </c>
      <c r="BO13" s="259">
        <f t="shared" ref="BO13:BQ20" si="2">1-AQ13</f>
        <v>0.41721854304635764</v>
      </c>
      <c r="BP13" s="259">
        <f t="shared" si="2"/>
        <v>0.11261682242990656</v>
      </c>
      <c r="BQ13" s="259">
        <f t="shared" si="2"/>
        <v>0.24956896551724139</v>
      </c>
      <c r="BR13" s="198"/>
      <c r="BS13" s="388">
        <v>222</v>
      </c>
      <c r="BT13" s="387">
        <v>234</v>
      </c>
      <c r="BU13" s="387">
        <v>172</v>
      </c>
      <c r="BV13" s="392">
        <v>271</v>
      </c>
      <c r="BW13" s="388">
        <v>1819</v>
      </c>
      <c r="BX13" s="387">
        <v>1836</v>
      </c>
      <c r="BY13" s="387">
        <v>3339</v>
      </c>
      <c r="BZ13" s="392">
        <v>3435</v>
      </c>
      <c r="CB13">
        <f t="shared" ref="CB13:CB20" si="3">+AE13/AE$26</f>
        <v>3.1948051948051948</v>
      </c>
      <c r="CC13">
        <f t="shared" ref="CC13:CC20" si="4">+Z13/Z$26</f>
        <v>3.8564931783729155</v>
      </c>
      <c r="CD13" s="6"/>
    </row>
    <row r="14" spans="1:83">
      <c r="A14" s="79" t="s">
        <v>7</v>
      </c>
      <c r="B14" s="152" t="s">
        <v>8</v>
      </c>
      <c r="C14" s="406">
        <v>8</v>
      </c>
      <c r="D14" s="309" t="str">
        <f>+'Value Line'!E21</f>
        <v>B++</v>
      </c>
      <c r="E14" s="411">
        <v>67</v>
      </c>
      <c r="F14" s="311" t="str">
        <f>+Comps!K13</f>
        <v>A-</v>
      </c>
      <c r="G14" s="312" t="str">
        <f>+Comps!L13</f>
        <v>Baa1</v>
      </c>
      <c r="H14" s="142">
        <f>0.5062+0.0271</f>
        <v>0.5333</v>
      </c>
      <c r="I14" s="143">
        <f>0.5138+0.2297</f>
        <v>0.74350000000000005</v>
      </c>
      <c r="J14" s="144">
        <f>0.6007+0.0422</f>
        <v>0.64290000000000003</v>
      </c>
      <c r="K14" s="143">
        <f>0.6116+0.215</f>
        <v>0.8266</v>
      </c>
      <c r="L14" s="410">
        <f>2783863/4661060</f>
        <v>0.59725963622008726</v>
      </c>
      <c r="M14" s="410">
        <f>125949/205839</f>
        <v>0.61188113039802949</v>
      </c>
      <c r="N14" s="455">
        <f>2470664/4286435</f>
        <v>0.57639133685685195</v>
      </c>
      <c r="O14" s="410">
        <f>162718/207601</f>
        <v>0.7838016194527001</v>
      </c>
      <c r="P14" s="455">
        <f>2144376/3438483</f>
        <v>0.62364013432667842</v>
      </c>
      <c r="Q14" s="410">
        <f>148369/216717</f>
        <v>0.68462095728530759</v>
      </c>
      <c r="R14" s="241">
        <f>+'Growth &amp; Beta'!B13</f>
        <v>5.5E-2</v>
      </c>
      <c r="S14" s="241">
        <f>+Dividends!L25</f>
        <v>1.4999999999999999E-2</v>
      </c>
      <c r="T14" s="145">
        <v>7221.3</v>
      </c>
      <c r="U14" s="252">
        <v>4839.1109999999999</v>
      </c>
      <c r="V14" s="165">
        <v>4661.0600000000004</v>
      </c>
      <c r="W14" s="165">
        <v>4286.4350000000004</v>
      </c>
      <c r="X14" s="165">
        <v>3438.4830000000002</v>
      </c>
      <c r="Y14" s="259">
        <f t="shared" ref="Y14:Y20" si="5">(+X14-W14)/W14</f>
        <v>-0.19782219956677288</v>
      </c>
      <c r="Z14" s="165">
        <v>4136.8590000000004</v>
      </c>
      <c r="AA14" s="158">
        <v>4439.1030000000001</v>
      </c>
      <c r="AB14" s="165">
        <v>4793.0749999999998</v>
      </c>
      <c r="AC14" s="165">
        <v>5147.9179999999997</v>
      </c>
      <c r="AD14" s="165">
        <v>5475.6040000000003</v>
      </c>
      <c r="AE14" s="157">
        <v>4172.2839999999997</v>
      </c>
      <c r="AF14" s="163">
        <v>4346.1610000000001</v>
      </c>
      <c r="AG14" s="428"/>
      <c r="AH14" s="409"/>
      <c r="AI14" s="377">
        <v>3888.6</v>
      </c>
      <c r="AJ14" s="160">
        <v>2</v>
      </c>
      <c r="AK14" s="159">
        <v>2.08</v>
      </c>
      <c r="AL14" s="376">
        <v>2.2000000000000002</v>
      </c>
      <c r="AM14" s="376">
        <v>2.27</v>
      </c>
      <c r="AN14" s="376">
        <v>2.37</v>
      </c>
      <c r="AO14" s="161">
        <f>117.288/180.331</f>
        <v>0.65040397934908589</v>
      </c>
      <c r="AP14" s="162">
        <f>121.46/190.978</f>
        <v>0.63598948569992353</v>
      </c>
      <c r="AQ14" s="370">
        <f>+Dividends!H6/'Comp Detail'!AL14</f>
        <v>0.61136363636363644</v>
      </c>
      <c r="AR14" s="372">
        <f>+Dividends!I6/'Comp Detail'!AM14</f>
        <v>0.60132158590308371</v>
      </c>
      <c r="AS14" s="372">
        <f>+Dividends!J6/'Comp Detail'!AN14</f>
        <v>0.5843881856540083</v>
      </c>
      <c r="AT14" s="161">
        <f>2119.792/4172.284</f>
        <v>0.50806512691849359</v>
      </c>
      <c r="AU14" s="162">
        <f>2169.4/4346.161</f>
        <v>0.49915316068594789</v>
      </c>
      <c r="AV14" s="164">
        <f>1809551/3987899</f>
        <v>0.45376048891910253</v>
      </c>
      <c r="AW14" s="164">
        <f>2206117/4461538</f>
        <v>0.4944745511525398</v>
      </c>
      <c r="AX14" s="164">
        <f>1956305/4315548</f>
        <v>0.45331554648447892</v>
      </c>
      <c r="AY14" s="161">
        <f>2052.492/4172.284</f>
        <v>0.49193487308150652</v>
      </c>
      <c r="AZ14" s="162">
        <f>2176.761/4346.161</f>
        <v>0.50084683931405205</v>
      </c>
      <c r="BA14" s="164">
        <f t="shared" ref="BA14:BA20" si="6">1-AV14</f>
        <v>0.54623951108089752</v>
      </c>
      <c r="BB14" s="164">
        <f t="shared" ref="BB14:BB20" si="7">1-AW14</f>
        <v>0.5055254488474602</v>
      </c>
      <c r="BC14" s="164">
        <f t="shared" ref="BC14:BC20" si="8">1-AX14</f>
        <v>0.54668445351552108</v>
      </c>
      <c r="BD14" s="161">
        <f>180.331/2052.492</f>
        <v>8.785953855118557E-2</v>
      </c>
      <c r="BE14" s="164">
        <f t="shared" ref="BE14:BE20" si="9">+BS14/BW14</f>
        <v>8.7734941961933349E-2</v>
      </c>
      <c r="BF14" s="164">
        <f t="shared" si="0"/>
        <v>9.4493166381129187E-2</v>
      </c>
      <c r="BG14" s="164">
        <f t="shared" si="0"/>
        <v>9.2045343197567117E-2</v>
      </c>
      <c r="BH14" s="164">
        <f t="shared" si="0"/>
        <v>9.1858702134540615E-2</v>
      </c>
      <c r="BI14" s="164">
        <f t="shared" ref="BI14:BI20" si="10">AVERAGE(BF14:BH14)</f>
        <v>9.2799070571078987E-2</v>
      </c>
      <c r="BJ14" s="378">
        <f t="shared" ref="BJ14:BJ20" si="11">AVERAGE(BD14:BH14)</f>
        <v>9.0798338445271173E-2</v>
      </c>
      <c r="BK14" s="407">
        <v>10.292999999999999</v>
      </c>
      <c r="BL14" s="408">
        <v>41247</v>
      </c>
      <c r="BM14" s="306">
        <f t="shared" si="1"/>
        <v>0.34959602065091411</v>
      </c>
      <c r="BN14" s="259">
        <f t="shared" si="1"/>
        <v>0.36401051430007647</v>
      </c>
      <c r="BO14" s="259">
        <f t="shared" si="2"/>
        <v>0.38863636363636356</v>
      </c>
      <c r="BP14" s="259">
        <f t="shared" si="2"/>
        <v>0.39867841409691629</v>
      </c>
      <c r="BQ14" s="259">
        <f t="shared" si="2"/>
        <v>0.4156118143459917</v>
      </c>
      <c r="BR14" s="198"/>
      <c r="BS14" s="388">
        <v>190.97800000000001</v>
      </c>
      <c r="BT14" s="387">
        <v>205.839</v>
      </c>
      <c r="BU14" s="387">
        <v>207.601</v>
      </c>
      <c r="BV14" s="392">
        <v>216.71700000000001</v>
      </c>
      <c r="BW14" s="388">
        <v>2176.761</v>
      </c>
      <c r="BX14" s="387">
        <v>2178.348</v>
      </c>
      <c r="BY14" s="387">
        <v>2255.4209999999998</v>
      </c>
      <c r="BZ14" s="392">
        <v>2359.2429999999999</v>
      </c>
      <c r="CB14">
        <f t="shared" si="3"/>
        <v>5.5291333156639269</v>
      </c>
      <c r="CC14">
        <f t="shared" si="4"/>
        <v>4.1807569479535118</v>
      </c>
    </row>
    <row r="15" spans="1:83">
      <c r="A15" s="79" t="s">
        <v>10</v>
      </c>
      <c r="B15" s="152" t="s">
        <v>11</v>
      </c>
      <c r="C15" s="315">
        <v>5</v>
      </c>
      <c r="D15" s="309" t="str">
        <f>+'Value Line'!E22</f>
        <v>B++</v>
      </c>
      <c r="E15" s="411">
        <v>73</v>
      </c>
      <c r="F15" s="311" t="str">
        <f>+Comps!K14</f>
        <v>A-</v>
      </c>
      <c r="G15" s="312" t="str">
        <f>+Comps!L14</f>
        <v>Baa2</v>
      </c>
      <c r="H15" s="142">
        <v>0.51</v>
      </c>
      <c r="I15" s="143">
        <v>0.68</v>
      </c>
      <c r="J15" s="143">
        <v>0.56000000000000005</v>
      </c>
      <c r="K15" s="143">
        <v>0.52</v>
      </c>
      <c r="L15" s="410">
        <f>864297/1735029</f>
        <v>0.49814556413754468</v>
      </c>
      <c r="M15" s="410">
        <f>36141/56165</f>
        <v>0.6434790349862014</v>
      </c>
      <c r="N15" s="455">
        <f>913190/1603307</f>
        <v>0.56956652718412626</v>
      </c>
      <c r="O15" s="410">
        <f>46952/62410</f>
        <v>0.75231533408107676</v>
      </c>
      <c r="P15" s="455">
        <f>763447/1125475</f>
        <v>0.67833314822630442</v>
      </c>
      <c r="Q15" s="410">
        <f>48089/62612</f>
        <v>0.76804765859579638</v>
      </c>
      <c r="R15" s="241">
        <f>+'Growth &amp; Beta'!B14</f>
        <v>0.06</v>
      </c>
      <c r="S15" s="241">
        <f>+Dividends!L26</f>
        <v>3.5000000000000003E-2</v>
      </c>
      <c r="T15" s="145">
        <v>2209</v>
      </c>
      <c r="U15" s="252">
        <v>1895.2</v>
      </c>
      <c r="V15" s="252">
        <v>1735.029</v>
      </c>
      <c r="W15" s="252">
        <v>1603.307</v>
      </c>
      <c r="X15" s="252">
        <v>1125.4749999999999</v>
      </c>
      <c r="Y15" s="259">
        <f t="shared" si="5"/>
        <v>-0.29802901128729564</v>
      </c>
      <c r="Z15" s="165">
        <v>823.197</v>
      </c>
      <c r="AA15" s="158">
        <v>855.92899999999997</v>
      </c>
      <c r="AB15" s="165">
        <v>884.08399999999995</v>
      </c>
      <c r="AC15" s="165">
        <v>928.68299999999999</v>
      </c>
      <c r="AD15" s="165">
        <v>1019.299</v>
      </c>
      <c r="AE15" s="157">
        <v>876.12699999999995</v>
      </c>
      <c r="AF15" s="163">
        <v>906.27</v>
      </c>
      <c r="AG15" s="428"/>
      <c r="AH15" s="409"/>
      <c r="AI15" s="377">
        <v>998.2</v>
      </c>
      <c r="AJ15" s="160">
        <v>2.64</v>
      </c>
      <c r="AK15" s="159">
        <v>2.92</v>
      </c>
      <c r="AL15" s="376">
        <v>2.4300000000000002</v>
      </c>
      <c r="AM15" s="376">
        <v>2.87</v>
      </c>
      <c r="AN15" s="376">
        <v>2.8</v>
      </c>
      <c r="AO15" s="161">
        <f>32.43/57.526</f>
        <v>0.56374508917706767</v>
      </c>
      <c r="AP15" s="162">
        <f>33.806/64.247</f>
        <v>0.52618799321369092</v>
      </c>
      <c r="AQ15" s="370">
        <f>+Dividends!H7/'Comp Detail'!AL15</f>
        <v>0.65432098765432101</v>
      </c>
      <c r="AR15" s="372">
        <f>+Dividends!I7/'Comp Detail'!AM15</f>
        <v>0.56794425087108014</v>
      </c>
      <c r="AS15" s="372">
        <f>+Dividends!J7/'Comp Detail'!AN15</f>
        <v>0.59642857142857142</v>
      </c>
      <c r="AT15" s="161">
        <f>389.181/876.127</f>
        <v>0.44420614819541004</v>
      </c>
      <c r="AU15" s="162">
        <f>389.24/906.27</f>
        <v>0.42949672834806407</v>
      </c>
      <c r="AV15" s="164">
        <f>364298/899875</f>
        <v>0.40483178219197113</v>
      </c>
      <c r="AW15" s="164">
        <f>364357/937688</f>
        <v>0.38856954552047163</v>
      </c>
      <c r="AX15" s="164">
        <f>339416/941027</f>
        <v>0.36068678156949802</v>
      </c>
      <c r="AY15" s="161">
        <f>486.479/876.127</f>
        <v>0.55526082405861255</v>
      </c>
      <c r="AZ15" s="162">
        <f>517.03/906.27</f>
        <v>0.57050327165193593</v>
      </c>
      <c r="BA15" s="164">
        <f t="shared" si="6"/>
        <v>0.59516821780802887</v>
      </c>
      <c r="BB15" s="164">
        <f t="shared" si="7"/>
        <v>0.61143045447952837</v>
      </c>
      <c r="BC15" s="164">
        <f t="shared" si="8"/>
        <v>0.63931321843050193</v>
      </c>
      <c r="BD15" s="161">
        <f>57.526/486.479</f>
        <v>0.11824970862051601</v>
      </c>
      <c r="BE15" s="164">
        <f t="shared" si="9"/>
        <v>0.12426164826025569</v>
      </c>
      <c r="BF15" s="164">
        <f t="shared" si="0"/>
        <v>0.10090052410764465</v>
      </c>
      <c r="BG15" s="164">
        <f t="shared" si="0"/>
        <v>0.11132312747784438</v>
      </c>
      <c r="BH15" s="164">
        <f t="shared" si="0"/>
        <v>0.10412043662765474</v>
      </c>
      <c r="BI15" s="164">
        <f t="shared" si="10"/>
        <v>0.10544802940438125</v>
      </c>
      <c r="BJ15" s="378">
        <f t="shared" si="11"/>
        <v>0.1117710890187831</v>
      </c>
      <c r="BK15" s="407" t="s">
        <v>187</v>
      </c>
      <c r="BL15" s="408">
        <v>41346</v>
      </c>
      <c r="BM15" s="306">
        <f t="shared" si="1"/>
        <v>0.43625491082293233</v>
      </c>
      <c r="BN15" s="259">
        <f t="shared" si="1"/>
        <v>0.47381200678630908</v>
      </c>
      <c r="BO15" s="259">
        <f t="shared" si="2"/>
        <v>0.34567901234567899</v>
      </c>
      <c r="BP15" s="259">
        <f t="shared" si="2"/>
        <v>0.43205574912891986</v>
      </c>
      <c r="BQ15" s="259">
        <f t="shared" si="2"/>
        <v>0.40357142857142858</v>
      </c>
      <c r="BR15" s="198"/>
      <c r="BS15" s="388">
        <v>64.247</v>
      </c>
      <c r="BT15" s="387">
        <v>54.04</v>
      </c>
      <c r="BU15" s="387">
        <v>63.825000000000003</v>
      </c>
      <c r="BV15" s="392">
        <v>62.64</v>
      </c>
      <c r="BW15" s="388">
        <v>517.03</v>
      </c>
      <c r="BX15" s="387">
        <v>535.577</v>
      </c>
      <c r="BY15" s="387">
        <v>573.33100000000002</v>
      </c>
      <c r="BZ15" s="392">
        <v>601.61099999999999</v>
      </c>
      <c r="CB15">
        <f t="shared" si="3"/>
        <v>1.1610482374768087</v>
      </c>
      <c r="CC15">
        <f t="shared" si="4"/>
        <v>0.83193228903486605</v>
      </c>
    </row>
    <row r="16" spans="1:83">
      <c r="A16" s="79" t="s">
        <v>12</v>
      </c>
      <c r="B16" s="152" t="s">
        <v>190</v>
      </c>
      <c r="C16" s="315"/>
      <c r="D16" s="309" t="str">
        <f>+'Value Line'!E23</f>
        <v>A</v>
      </c>
      <c r="E16" s="411">
        <v>73</v>
      </c>
      <c r="F16" s="311">
        <f>+Comps!K15</f>
        <v>0</v>
      </c>
      <c r="G16" s="312">
        <f>+Comps!L15</f>
        <v>0</v>
      </c>
      <c r="H16" s="142"/>
      <c r="I16" s="143"/>
      <c r="J16" s="143"/>
      <c r="K16" s="143"/>
      <c r="L16" s="410"/>
      <c r="M16" s="410"/>
      <c r="N16" s="455"/>
      <c r="O16" s="410"/>
      <c r="P16" s="455"/>
      <c r="Q16" s="410"/>
      <c r="R16" s="241">
        <f>+'Growth &amp; Beta'!B15</f>
        <v>5.5E-2</v>
      </c>
      <c r="S16" s="241">
        <f>+Dividends!L27</f>
        <v>0.03</v>
      </c>
      <c r="T16" s="145"/>
      <c r="U16" s="252"/>
      <c r="V16" s="252"/>
      <c r="W16" s="252"/>
      <c r="X16" s="252"/>
      <c r="Y16" s="259"/>
      <c r="Z16" s="165"/>
      <c r="AA16" s="158"/>
      <c r="AB16" s="165"/>
      <c r="AC16" s="165"/>
      <c r="AD16" s="165"/>
      <c r="AE16" s="157"/>
      <c r="AF16" s="163"/>
      <c r="AG16" s="428"/>
      <c r="AH16" s="409"/>
      <c r="AI16" s="377"/>
      <c r="AJ16" s="160"/>
      <c r="AK16" s="159"/>
      <c r="AL16" s="376"/>
      <c r="AM16" s="376"/>
      <c r="AN16" s="376"/>
      <c r="AO16" s="161"/>
      <c r="AP16" s="162"/>
      <c r="AQ16" s="370"/>
      <c r="AR16" s="372"/>
      <c r="AS16" s="372"/>
      <c r="AT16" s="161"/>
      <c r="AU16" s="162"/>
      <c r="AV16" s="164"/>
      <c r="AW16" s="164"/>
      <c r="AX16" s="164"/>
      <c r="AY16" s="161"/>
      <c r="AZ16" s="162"/>
      <c r="BA16" s="164"/>
      <c r="BB16" s="164"/>
      <c r="BC16" s="164"/>
      <c r="BD16" s="161"/>
      <c r="BE16" s="164"/>
      <c r="BF16" s="164"/>
      <c r="BG16" s="164"/>
      <c r="BH16" s="164"/>
      <c r="BI16" s="164"/>
      <c r="BJ16" s="378"/>
      <c r="BK16" s="407"/>
      <c r="BL16" s="408"/>
      <c r="BM16" s="306"/>
      <c r="BN16" s="259"/>
      <c r="BO16" s="259"/>
      <c r="BP16" s="259"/>
      <c r="BQ16" s="259"/>
      <c r="BR16" s="198"/>
      <c r="BS16" s="388"/>
      <c r="BT16" s="387"/>
      <c r="BU16" s="387"/>
      <c r="BV16" s="392"/>
      <c r="BW16" s="388"/>
      <c r="BX16" s="387"/>
      <c r="BY16" s="387"/>
      <c r="BZ16" s="392"/>
    </row>
    <row r="17" spans="1:81" s="101" customFormat="1">
      <c r="A17" s="349" t="s">
        <v>14</v>
      </c>
      <c r="B17" s="350" t="s">
        <v>15</v>
      </c>
      <c r="C17" s="351">
        <v>7</v>
      </c>
      <c r="D17" s="352" t="str">
        <f>+'Value Line'!E24</f>
        <v>A</v>
      </c>
      <c r="E17" s="411">
        <v>65</v>
      </c>
      <c r="F17" s="536" t="str">
        <f>+Comps!K16</f>
        <v>A+</v>
      </c>
      <c r="G17" s="467" t="str">
        <f>+Comps!L16</f>
        <v>A3</v>
      </c>
      <c r="H17" s="353">
        <f>337596/356215</f>
        <v>0.94773100515138331</v>
      </c>
      <c r="I17" s="354">
        <f>58739/69525</f>
        <v>0.84486156058971595</v>
      </c>
      <c r="J17" s="354">
        <f>357005/376887</f>
        <v>0.94724678749864022</v>
      </c>
      <c r="K17" s="354">
        <f>65960/75122</f>
        <v>0.8780383908841618</v>
      </c>
      <c r="L17" s="354">
        <f>770642/792115</f>
        <v>0.97289156246252118</v>
      </c>
      <c r="M17" s="354">
        <f>66.262/72.667</f>
        <v>0.91185820248530969</v>
      </c>
      <c r="N17" s="353">
        <f>801478/828055</f>
        <v>0.96790430587340215</v>
      </c>
      <c r="O17" s="354">
        <f>60.527/63.898</f>
        <v>0.94724404519703276</v>
      </c>
      <c r="P17" s="353">
        <f>699862/730607</f>
        <v>0.95791855265553161</v>
      </c>
      <c r="Q17" s="354">
        <f>55.125/59.855</f>
        <v>0.92097569125386358</v>
      </c>
      <c r="R17" s="355">
        <f>+'Growth &amp; Beta'!B16</f>
        <v>4.4999999999999998E-2</v>
      </c>
      <c r="S17" s="355">
        <f>+Dividends!L28</f>
        <v>2.5000000000000001E-2</v>
      </c>
      <c r="T17" s="356">
        <v>1037.9000000000001</v>
      </c>
      <c r="U17" s="357">
        <v>1012.711</v>
      </c>
      <c r="V17" s="357">
        <v>792.11500000000001</v>
      </c>
      <c r="W17" s="357">
        <v>828.05499999999995</v>
      </c>
      <c r="X17" s="357">
        <v>730.60699999999997</v>
      </c>
      <c r="Y17" s="358">
        <f t="shared" si="5"/>
        <v>-0.11768300414827515</v>
      </c>
      <c r="Z17" s="357">
        <v>1549.057</v>
      </c>
      <c r="AA17" s="359">
        <v>1670.134</v>
      </c>
      <c r="AB17" s="357">
        <v>1854.163</v>
      </c>
      <c r="AC17" s="357">
        <v>1893.876</v>
      </c>
      <c r="AD17" s="357">
        <v>1973.6120000000001</v>
      </c>
      <c r="AE17" s="356">
        <v>1140.373</v>
      </c>
      <c r="AF17" s="360">
        <v>1261.8050000000001</v>
      </c>
      <c r="AG17" s="428"/>
      <c r="AH17" s="409"/>
      <c r="AI17" s="539">
        <v>1188.8</v>
      </c>
      <c r="AJ17" s="350">
        <v>2.61</v>
      </c>
      <c r="AK17" s="361">
        <v>2.83</v>
      </c>
      <c r="AL17" s="423">
        <v>2.73</v>
      </c>
      <c r="AM17" s="423">
        <v>2.39</v>
      </c>
      <c r="AN17" s="423">
        <v>2.2200000000000002</v>
      </c>
      <c r="AO17" s="362">
        <f>40.178/69.525</f>
        <v>0.57789284430061116</v>
      </c>
      <c r="AP17" s="358">
        <f>42.415/75.122</f>
        <v>0.56461489310721225</v>
      </c>
      <c r="AQ17" s="430">
        <f>+Dividends!H9/'Comp Detail'!AL17</f>
        <v>0.61538461538461542</v>
      </c>
      <c r="AR17" s="380">
        <f>+Dividends!I9/'Comp Detail'!AM17</f>
        <v>0.73221757322175729</v>
      </c>
      <c r="AS17" s="380">
        <f>+Dividends!J9/'Comp Detail'!AN17</f>
        <v>0.80630630630630629</v>
      </c>
      <c r="AT17" s="362">
        <f>512/1140.373</f>
        <v>0.4489759052520535</v>
      </c>
      <c r="AU17" s="358">
        <f>601.7/1261.805</f>
        <v>0.47685656658516967</v>
      </c>
      <c r="AV17" s="363">
        <f>591700/1284801</f>
        <v>0.46053824677907318</v>
      </c>
      <c r="AW17" s="363">
        <f>641700/(641700+714488)</f>
        <v>0.47316448751942947</v>
      </c>
      <c r="AX17" s="363">
        <f>691700/(671700+733033)</f>
        <v>0.49240674206415025</v>
      </c>
      <c r="AY17" s="362">
        <f>628.373/1140.373</f>
        <v>0.55102409474794656</v>
      </c>
      <c r="AZ17" s="358">
        <f>660.105/1261.805</f>
        <v>0.52314343341483038</v>
      </c>
      <c r="BA17" s="363">
        <f t="shared" si="6"/>
        <v>0.53946175322092682</v>
      </c>
      <c r="BB17" s="363">
        <f t="shared" si="7"/>
        <v>0.52683551248057059</v>
      </c>
      <c r="BC17" s="363">
        <f t="shared" si="8"/>
        <v>0.50759325793584975</v>
      </c>
      <c r="BD17" s="362">
        <f>69.525/628.373</f>
        <v>0.11064288249176843</v>
      </c>
      <c r="BE17" s="363">
        <f t="shared" si="9"/>
        <v>0.11380310708144915</v>
      </c>
      <c r="BF17" s="363">
        <f t="shared" si="0"/>
        <v>0.10484330566540807</v>
      </c>
      <c r="BG17" s="363">
        <f t="shared" si="0"/>
        <v>8.9431872893596526E-2</v>
      </c>
      <c r="BH17" s="363">
        <f t="shared" si="0"/>
        <v>8.1653895527213638E-2</v>
      </c>
      <c r="BI17" s="363">
        <f t="shared" si="10"/>
        <v>9.1976358028739422E-2</v>
      </c>
      <c r="BJ17" s="363">
        <f t="shared" si="11"/>
        <v>0.10007501273188715</v>
      </c>
      <c r="BK17" s="677" t="s">
        <v>280</v>
      </c>
      <c r="BL17" s="542">
        <v>41208</v>
      </c>
      <c r="BM17" s="362">
        <f>1-AO17</f>
        <v>0.42210715569938884</v>
      </c>
      <c r="BN17" s="358">
        <f t="shared" si="1"/>
        <v>0.43538510689278775</v>
      </c>
      <c r="BO17" s="358">
        <f t="shared" si="2"/>
        <v>0.38461538461538458</v>
      </c>
      <c r="BP17" s="358">
        <f t="shared" si="2"/>
        <v>0.26778242677824271</v>
      </c>
      <c r="BQ17" s="358">
        <f t="shared" si="2"/>
        <v>0.19369369369369371</v>
      </c>
      <c r="BR17" s="363"/>
      <c r="BS17" s="393">
        <v>75.122</v>
      </c>
      <c r="BT17" s="394">
        <v>72.667000000000002</v>
      </c>
      <c r="BU17" s="394">
        <v>63.898000000000003</v>
      </c>
      <c r="BV17" s="395">
        <v>59.854999999999997</v>
      </c>
      <c r="BW17" s="396">
        <v>660.10500000000002</v>
      </c>
      <c r="BX17" s="394">
        <v>693.101</v>
      </c>
      <c r="BY17" s="394">
        <v>714.48800000000006</v>
      </c>
      <c r="BZ17" s="395">
        <v>733.03300000000002</v>
      </c>
      <c r="CB17" s="101">
        <f t="shared" si="3"/>
        <v>1.5112284654121388</v>
      </c>
      <c r="CC17" s="101">
        <f t="shared" si="4"/>
        <v>1.5654946942900454</v>
      </c>
    </row>
    <row r="18" spans="1:81" s="101" customFormat="1">
      <c r="A18" s="349" t="s">
        <v>16</v>
      </c>
      <c r="B18" s="350" t="s">
        <v>17</v>
      </c>
      <c r="C18" s="351">
        <v>7</v>
      </c>
      <c r="D18" s="352" t="str">
        <f>+'Value Line'!E25</f>
        <v>B++</v>
      </c>
      <c r="E18" s="411">
        <v>83</v>
      </c>
      <c r="F18" s="536" t="str">
        <f>+Comps!K17</f>
        <v>A</v>
      </c>
      <c r="G18" s="467" t="str">
        <f>+Comps!L17</f>
        <v>A3</v>
      </c>
      <c r="H18" s="353">
        <v>1</v>
      </c>
      <c r="I18" s="354">
        <v>1</v>
      </c>
      <c r="J18" s="354">
        <v>1</v>
      </c>
      <c r="K18" s="354">
        <v>0.84</v>
      </c>
      <c r="L18" s="354">
        <v>1</v>
      </c>
      <c r="M18" s="354">
        <v>1</v>
      </c>
      <c r="N18" s="353">
        <v>1</v>
      </c>
      <c r="O18" s="354">
        <v>1</v>
      </c>
      <c r="P18" s="353">
        <v>1</v>
      </c>
      <c r="Q18" s="354">
        <v>1</v>
      </c>
      <c r="R18" s="355">
        <f>+'Growth &amp; Beta'!B17</f>
        <v>4.4999999999999998E-2</v>
      </c>
      <c r="S18" s="355">
        <f>+Dividends!L29</f>
        <v>0.03</v>
      </c>
      <c r="T18" s="356">
        <v>2089.1</v>
      </c>
      <c r="U18" s="357">
        <v>1638.1</v>
      </c>
      <c r="V18" s="357">
        <v>1552.2950000000001</v>
      </c>
      <c r="W18" s="357">
        <v>1433.905</v>
      </c>
      <c r="X18" s="357">
        <v>1122.78</v>
      </c>
      <c r="Y18" s="358">
        <f t="shared" si="5"/>
        <v>-0.21697741482176294</v>
      </c>
      <c r="Z18" s="357">
        <v>2240.8339999999998</v>
      </c>
      <c r="AA18" s="359">
        <v>2304.3919999999998</v>
      </c>
      <c r="AB18" s="357">
        <v>2437.6640000000002</v>
      </c>
      <c r="AC18" s="357">
        <v>2627.2620000000002</v>
      </c>
      <c r="AD18" s="357">
        <v>3105.0859999999998</v>
      </c>
      <c r="AE18" s="356">
        <v>1681.5050000000001</v>
      </c>
      <c r="AF18" s="360">
        <v>1660.46</v>
      </c>
      <c r="AG18" s="428"/>
      <c r="AH18" s="409"/>
      <c r="AI18" s="539">
        <v>2465.4</v>
      </c>
      <c r="AJ18" s="350">
        <v>1.49</v>
      </c>
      <c r="AK18" s="361">
        <v>1.67</v>
      </c>
      <c r="AL18" s="423">
        <v>1.96</v>
      </c>
      <c r="AM18" s="423">
        <v>1.57</v>
      </c>
      <c r="AN18" s="423">
        <v>1.66</v>
      </c>
      <c r="AO18" s="362">
        <f>75.513/110.007</f>
        <v>0.68643813575499746</v>
      </c>
      <c r="AP18" s="358">
        <f>78.37/122.824</f>
        <v>0.6380674786686642</v>
      </c>
      <c r="AQ18" s="430">
        <f>+Dividends!H10/'Comp Detail'!AL18</f>
        <v>0.57142857142857151</v>
      </c>
      <c r="AR18" s="380">
        <f>+Dividends!I10/'Comp Detail'!AM18</f>
        <v>0.73248407643312097</v>
      </c>
      <c r="AS18" s="380">
        <f>+Dividends!J10/'Comp Detail'!AN18</f>
        <v>0.72289156626506024</v>
      </c>
      <c r="AT18" s="362">
        <f>794.261/1681.505</f>
        <v>0.47235125676105627</v>
      </c>
      <c r="AU18" s="358">
        <f>732.512/1660.46</f>
        <v>0.44115004275923536</v>
      </c>
      <c r="AV18" s="363">
        <f>671922/1636863</f>
        <v>0.41049373099642428</v>
      </c>
      <c r="AW18" s="363">
        <f>675000/1671923</f>
        <v>0.40372672664949283</v>
      </c>
      <c r="AX18" s="363">
        <f>975000/2002004</f>
        <v>0.48701201396201005</v>
      </c>
      <c r="AY18" s="362">
        <f>887.244/1681.505</f>
        <v>0.52764874323894362</v>
      </c>
      <c r="AZ18" s="358">
        <f>927.948/1600.46</f>
        <v>0.5798008072679105</v>
      </c>
      <c r="BA18" s="363">
        <f t="shared" si="6"/>
        <v>0.58950626900357572</v>
      </c>
      <c r="BB18" s="363">
        <f t="shared" si="7"/>
        <v>0.59627327335050717</v>
      </c>
      <c r="BC18" s="363">
        <f t="shared" si="8"/>
        <v>0.51298798603799001</v>
      </c>
      <c r="BD18" s="362">
        <f>110.007/887.244</f>
        <v>0.12398731352367556</v>
      </c>
      <c r="BE18" s="363">
        <f t="shared" si="9"/>
        <v>0.13236086504847255</v>
      </c>
      <c r="BF18" s="363">
        <f t="shared" si="0"/>
        <v>0.14711158506064101</v>
      </c>
      <c r="BG18" s="363">
        <f t="shared" si="0"/>
        <v>0.11391852730852833</v>
      </c>
      <c r="BH18" s="363">
        <f t="shared" si="0"/>
        <v>0.11669574802045563</v>
      </c>
      <c r="BI18" s="363">
        <f t="shared" si="10"/>
        <v>0.125908620129875</v>
      </c>
      <c r="BJ18" s="363">
        <f t="shared" si="11"/>
        <v>0.12681480779235463</v>
      </c>
      <c r="BK18" s="407">
        <v>10.199999999999999</v>
      </c>
      <c r="BL18" s="542">
        <v>40931</v>
      </c>
      <c r="BM18" s="362">
        <f>1-AO18</f>
        <v>0.31356186424500254</v>
      </c>
      <c r="BN18" s="358">
        <f>1-AP18</f>
        <v>0.3619325213313358</v>
      </c>
      <c r="BO18" s="358">
        <f t="shared" si="2"/>
        <v>0.42857142857142849</v>
      </c>
      <c r="BP18" s="358">
        <f t="shared" si="2"/>
        <v>0.26751592356687903</v>
      </c>
      <c r="BQ18" s="358">
        <f t="shared" si="2"/>
        <v>0.27710843373493976</v>
      </c>
      <c r="BR18" s="363"/>
      <c r="BS18" s="393">
        <v>122.824</v>
      </c>
      <c r="BT18" s="394">
        <v>141.95400000000001</v>
      </c>
      <c r="BU18" s="394">
        <v>113.568</v>
      </c>
      <c r="BV18" s="395">
        <v>119.84699999999999</v>
      </c>
      <c r="BW18" s="396">
        <v>927.94799999999998</v>
      </c>
      <c r="BX18" s="394">
        <v>964.94100000000003</v>
      </c>
      <c r="BY18" s="394">
        <v>996.923</v>
      </c>
      <c r="BZ18" s="395">
        <v>1027.0039999999999</v>
      </c>
      <c r="CB18" s="101">
        <f t="shared" si="3"/>
        <v>2.2283395176252321</v>
      </c>
      <c r="CC18" s="101">
        <f t="shared" si="4"/>
        <v>2.2646124305204647</v>
      </c>
    </row>
    <row r="19" spans="1:81">
      <c r="A19" s="79" t="s">
        <v>18</v>
      </c>
      <c r="B19" s="152" t="s">
        <v>19</v>
      </c>
      <c r="C19" s="315">
        <v>4</v>
      </c>
      <c r="D19" s="309" t="str">
        <f>+'Value Line'!E26</f>
        <v>B++</v>
      </c>
      <c r="E19" s="411">
        <v>74</v>
      </c>
      <c r="F19" s="311" t="str">
        <f>+Comps!K18</f>
        <v>BBB+</v>
      </c>
      <c r="G19" s="312" t="str">
        <f>+Comps!L18</f>
        <v>N/A</v>
      </c>
      <c r="H19" s="142">
        <v>0.59</v>
      </c>
      <c r="I19" s="143">
        <v>0.55000000000000004</v>
      </c>
      <c r="J19" s="143">
        <f>480264/845444</f>
        <v>0.56806127904391068</v>
      </c>
      <c r="K19" s="143">
        <f>81.439/111.11</f>
        <v>0.73295832958329576</v>
      </c>
      <c r="L19" s="410">
        <f>475982/925067</f>
        <v>0.51453786590592898</v>
      </c>
      <c r="M19" s="410">
        <f>90700/116492</f>
        <v>0.77859423823095153</v>
      </c>
      <c r="N19" s="455">
        <f>412449/828560</f>
        <v>0.4977901419329922</v>
      </c>
      <c r="O19" s="410">
        <f>102663/121607</f>
        <v>0.84421949394360518</v>
      </c>
      <c r="P19" s="455">
        <f>421874/706280</f>
        <v>0.59731834399954697</v>
      </c>
      <c r="Q19" s="410">
        <f>101762/109898</f>
        <v>0.92596771551802581</v>
      </c>
      <c r="R19" s="241">
        <f>+'Growth &amp; Beta'!B18</f>
        <v>7.4999999999999997E-2</v>
      </c>
      <c r="S19" s="241">
        <f>+Dividends!L30</f>
        <v>8.5000000000000006E-2</v>
      </c>
      <c r="T19" s="145">
        <v>962</v>
      </c>
      <c r="U19" s="252">
        <v>845.44399999999996</v>
      </c>
      <c r="V19" s="252">
        <v>925.06700000000001</v>
      </c>
      <c r="W19" s="252">
        <v>828.56</v>
      </c>
      <c r="X19" s="252">
        <v>706.28</v>
      </c>
      <c r="Y19" s="259">
        <f t="shared" si="5"/>
        <v>-0.14758134594959929</v>
      </c>
      <c r="Z19" s="165">
        <v>982.60799999999995</v>
      </c>
      <c r="AA19" s="158">
        <v>1073.0719999999999</v>
      </c>
      <c r="AB19" s="165">
        <v>1193.2550000000001</v>
      </c>
      <c r="AC19" s="165">
        <v>1352.393</v>
      </c>
      <c r="AD19" s="165">
        <v>1578.021</v>
      </c>
      <c r="AE19" s="157">
        <v>849.23199999999997</v>
      </c>
      <c r="AF19" s="163">
        <v>857.35699999999997</v>
      </c>
      <c r="AG19" s="428"/>
      <c r="AH19" s="409"/>
      <c r="AI19" s="377">
        <v>1820.4</v>
      </c>
      <c r="AJ19" s="160">
        <v>2.59</v>
      </c>
      <c r="AK19" s="159">
        <v>1.96</v>
      </c>
      <c r="AL19" s="376">
        <v>2.25</v>
      </c>
      <c r="AM19" s="376">
        <v>2.99</v>
      </c>
      <c r="AN19" s="376">
        <v>3.01</v>
      </c>
      <c r="AO19" s="161">
        <f>32.914/76.931</f>
        <v>0.42783793269293269</v>
      </c>
      <c r="AP19" s="162">
        <f>36.426/58.301</f>
        <v>0.62479202758100205</v>
      </c>
      <c r="AQ19" s="370">
        <f>+Dividends!H11/'Comp Detail'!AL19</f>
        <v>0.60222222222222221</v>
      </c>
      <c r="AR19" s="372">
        <f>+Dividends!I11/'Comp Detail'!AM19</f>
        <v>0.50100334448160533</v>
      </c>
      <c r="AS19" s="372">
        <f>+Dividends!J11/'Comp Detail'!AN19</f>
        <v>0.54883720930232571</v>
      </c>
      <c r="AT19" s="161">
        <f>332.784/849.232</f>
        <v>0.3918646494715225</v>
      </c>
      <c r="AU19" s="162">
        <f>312.793/857.357</f>
        <v>0.3648340189675946</v>
      </c>
      <c r="AV19" s="164">
        <f>340000/910097</f>
        <v>0.37358655176316369</v>
      </c>
      <c r="AW19" s="164">
        <f>424213/1048327</f>
        <v>0.40465713465359571</v>
      </c>
      <c r="AX19" s="164">
        <f>601400/1337614</f>
        <v>0.44960653820907975</v>
      </c>
      <c r="AY19" s="161">
        <f>516.448/849.232</f>
        <v>0.60813535052847745</v>
      </c>
      <c r="AZ19" s="162">
        <f>544.564/857.357</f>
        <v>0.6351659810324054</v>
      </c>
      <c r="BA19" s="164">
        <f t="shared" si="6"/>
        <v>0.62641344823683631</v>
      </c>
      <c r="BB19" s="164">
        <f t="shared" si="7"/>
        <v>0.59534286534640435</v>
      </c>
      <c r="BC19" s="164">
        <f t="shared" si="8"/>
        <v>0.5503934617909203</v>
      </c>
      <c r="BD19" s="161">
        <f>76.931/516.448</f>
        <v>0.14896175413594398</v>
      </c>
      <c r="BE19" s="164">
        <f t="shared" si="9"/>
        <v>0.10627584636516554</v>
      </c>
      <c r="BF19" s="164">
        <f t="shared" si="0"/>
        <v>0.11691343753782252</v>
      </c>
      <c r="BG19" s="164">
        <f t="shared" si="0"/>
        <v>0.14306841378337931</v>
      </c>
      <c r="BH19" s="164">
        <f t="shared" si="0"/>
        <v>0.12443121157706862</v>
      </c>
      <c r="BI19" s="164">
        <f t="shared" si="10"/>
        <v>0.12813768763275682</v>
      </c>
      <c r="BJ19" s="378">
        <f t="shared" si="11"/>
        <v>0.12793013267987602</v>
      </c>
      <c r="BK19" s="407">
        <v>10.3</v>
      </c>
      <c r="BL19" s="408"/>
      <c r="BM19" s="306">
        <f>1-AO19</f>
        <v>0.57216206730706731</v>
      </c>
      <c r="BN19" s="259">
        <f t="shared" si="1"/>
        <v>0.37520797241899795</v>
      </c>
      <c r="BO19" s="259">
        <f t="shared" si="2"/>
        <v>0.39777777777777779</v>
      </c>
      <c r="BP19" s="259">
        <f t="shared" si="2"/>
        <v>0.49899665551839467</v>
      </c>
      <c r="BQ19" s="259">
        <f t="shared" si="2"/>
        <v>0.45116279069767429</v>
      </c>
      <c r="BR19" s="198"/>
      <c r="BS19" s="388">
        <v>57.874000000000002</v>
      </c>
      <c r="BT19" s="387">
        <v>66.652000000000001</v>
      </c>
      <c r="BU19" s="387">
        <v>89.290999999999997</v>
      </c>
      <c r="BV19" s="392">
        <v>91.608000000000004</v>
      </c>
      <c r="BW19" s="388">
        <v>544.56399999999996</v>
      </c>
      <c r="BX19" s="387">
        <v>570.09699999999998</v>
      </c>
      <c r="BY19" s="387">
        <v>624.11400000000003</v>
      </c>
      <c r="BZ19" s="392">
        <v>736.21400000000006</v>
      </c>
      <c r="CB19">
        <f t="shared" si="3"/>
        <v>1.1254068380598992</v>
      </c>
      <c r="CC19">
        <f t="shared" si="4"/>
        <v>0.99303486609398683</v>
      </c>
    </row>
    <row r="20" spans="1:81">
      <c r="A20" s="79" t="s">
        <v>113</v>
      </c>
      <c r="B20" s="160" t="s">
        <v>114</v>
      </c>
      <c r="C20" s="406">
        <v>9</v>
      </c>
      <c r="D20" s="425" t="str">
        <f>+'Value Line'!E27</f>
        <v>B+</v>
      </c>
      <c r="E20" s="411">
        <v>84</v>
      </c>
      <c r="F20" s="311" t="str">
        <f>+Comps!K19</f>
        <v>A-</v>
      </c>
      <c r="G20" s="312" t="str">
        <f>+Comps!L19</f>
        <v>Baa1</v>
      </c>
      <c r="H20" s="353">
        <v>0.81</v>
      </c>
      <c r="I20" s="354">
        <v>0.93</v>
      </c>
      <c r="J20" s="379">
        <f>1614843/1893824</f>
        <v>0.85268905663884287</v>
      </c>
      <c r="K20" s="354">
        <f>79420/87482</f>
        <v>0.90784389931643084</v>
      </c>
      <c r="L20" s="410">
        <f>1511907/1830371</f>
        <v>0.82601122941742411</v>
      </c>
      <c r="M20" s="410">
        <f>91382/103877</f>
        <v>0.87971350732115872</v>
      </c>
      <c r="N20" s="455">
        <f>1403366/1887188</f>
        <v>0.74362808580809114</v>
      </c>
      <c r="O20" s="410">
        <f>91420/112287</f>
        <v>0.81416370550464434</v>
      </c>
      <c r="P20" s="455">
        <f>1321728/1927778</f>
        <v>0.68562251462564672</v>
      </c>
      <c r="Q20" s="410">
        <f>116619/133331</f>
        <v>0.87465780651161396</v>
      </c>
      <c r="R20" s="426">
        <f>+'Growth &amp; Beta'!B19</f>
        <v>0.08</v>
      </c>
      <c r="S20" s="426">
        <f>+Dividends!L31</f>
        <v>7.0000000000000007E-2</v>
      </c>
      <c r="T20" s="157">
        <v>2144.6999999999998</v>
      </c>
      <c r="U20" s="165">
        <v>1893.8240000000001</v>
      </c>
      <c r="V20" s="165">
        <v>1830.3710000000001</v>
      </c>
      <c r="W20" s="165">
        <v>1887.1880000000001</v>
      </c>
      <c r="X20" s="165">
        <v>1927.778</v>
      </c>
      <c r="Y20" s="162">
        <f t="shared" si="5"/>
        <v>2.1508191022833929E-2</v>
      </c>
      <c r="Z20" s="165">
        <v>2983.3069999999998</v>
      </c>
      <c r="AA20" s="158">
        <v>3034.5030000000002</v>
      </c>
      <c r="AB20" s="165">
        <v>3072.4360000000001</v>
      </c>
      <c r="AC20" s="165">
        <v>3218.944</v>
      </c>
      <c r="AD20" s="165">
        <v>3343.7939999999999</v>
      </c>
      <c r="AE20" s="157">
        <v>2323.3150000000001</v>
      </c>
      <c r="AF20" s="163">
        <v>2371.4430000000002</v>
      </c>
      <c r="AG20" s="428"/>
      <c r="AH20" s="409"/>
      <c r="AI20" s="377">
        <v>2244.6999999999998</v>
      </c>
      <c r="AJ20" s="350">
        <v>1.39</v>
      </c>
      <c r="AK20" s="361">
        <v>1.94</v>
      </c>
      <c r="AL20" s="376">
        <v>2.27</v>
      </c>
      <c r="AM20" s="376">
        <v>2.4300000000000002</v>
      </c>
      <c r="AN20" s="376">
        <v>2.86</v>
      </c>
      <c r="AO20" s="161">
        <f>38.705/60.973</f>
        <v>0.63478916897643223</v>
      </c>
      <c r="AP20" s="162">
        <f>41950/87118</f>
        <v>0.48153079730939646</v>
      </c>
      <c r="AQ20" s="370">
        <f>+Dividends!H12/'Comp Detail'!AL20</f>
        <v>0.4352422907488987</v>
      </c>
      <c r="AR20" s="372">
        <f>+Dividends!I12/'Comp Detail'!AM20</f>
        <v>0.43004115226337442</v>
      </c>
      <c r="AS20" s="372">
        <f>+Dividends!J12/'Comp Detail'!AN20</f>
        <v>0.40209790209790208</v>
      </c>
      <c r="AT20" s="161">
        <f>1185.474/2323.315</f>
        <v>0.51025108519507678</v>
      </c>
      <c r="AU20" s="162">
        <f>1169357/2371443</f>
        <v>0.49309934921480297</v>
      </c>
      <c r="AV20" s="164">
        <f>1124681/2291677</f>
        <v>0.49076767799301557</v>
      </c>
      <c r="AW20" s="164">
        <f>930858/2155889</f>
        <v>0.43177454868965887</v>
      </c>
      <c r="AX20" s="164">
        <f>1268373/2576871</f>
        <v>0.49221439489986113</v>
      </c>
      <c r="AY20" s="161">
        <f>1137.841/2323.315</f>
        <v>0.48974891480492311</v>
      </c>
      <c r="AZ20" s="162">
        <f>1202.127/2371.443</f>
        <v>0.50691793983663103</v>
      </c>
      <c r="BA20" s="164">
        <f t="shared" si="6"/>
        <v>0.50923232200698443</v>
      </c>
      <c r="BB20" s="164">
        <f t="shared" si="7"/>
        <v>0.56822545131034108</v>
      </c>
      <c r="BC20" s="164">
        <f t="shared" si="8"/>
        <v>0.50778560510013881</v>
      </c>
      <c r="BD20" s="161">
        <f>60.973/1037.841</f>
        <v>5.8749847038226478E-2</v>
      </c>
      <c r="BE20" s="164">
        <f t="shared" si="9"/>
        <v>7.9048277539139414E-2</v>
      </c>
      <c r="BF20" s="164">
        <f t="shared" si="0"/>
        <v>8.8648975660584953E-2</v>
      </c>
      <c r="BG20" s="164">
        <f t="shared" si="0"/>
        <v>9.1232793292577913E-2</v>
      </c>
      <c r="BH20" s="164">
        <f t="shared" si="0"/>
        <v>0.10136736930434743</v>
      </c>
      <c r="BI20" s="164">
        <f t="shared" si="10"/>
        <v>9.3749712752503433E-2</v>
      </c>
      <c r="BJ20" s="378">
        <f t="shared" si="11"/>
        <v>8.3809452566975223E-2</v>
      </c>
      <c r="BK20" s="407">
        <v>9.9139999999999997</v>
      </c>
      <c r="BL20" s="408">
        <v>41213</v>
      </c>
      <c r="BM20" s="362">
        <f>1-AO20</f>
        <v>0.36521083102356777</v>
      </c>
      <c r="BN20" s="358">
        <f t="shared" si="1"/>
        <v>0.51846920269060348</v>
      </c>
      <c r="BO20" s="162">
        <f t="shared" si="2"/>
        <v>0.56475770925110136</v>
      </c>
      <c r="BP20" s="162">
        <f t="shared" si="2"/>
        <v>0.56995884773662553</v>
      </c>
      <c r="BQ20" s="162">
        <f t="shared" si="2"/>
        <v>0.59790209790209792</v>
      </c>
      <c r="BR20" s="198"/>
      <c r="BS20" s="388">
        <v>87.117999999999995</v>
      </c>
      <c r="BT20" s="387">
        <v>103.453</v>
      </c>
      <c r="BU20" s="387">
        <v>111.76300000000001</v>
      </c>
      <c r="BV20" s="392">
        <v>132.63900000000001</v>
      </c>
      <c r="BW20" s="388">
        <v>1102.086</v>
      </c>
      <c r="BX20" s="387">
        <v>1166.9960000000001</v>
      </c>
      <c r="BY20" s="387">
        <v>1225.0309999999999</v>
      </c>
      <c r="BZ20" s="392">
        <v>1308.498</v>
      </c>
      <c r="CB20">
        <f t="shared" si="3"/>
        <v>3.0788695997879669</v>
      </c>
      <c r="CC20">
        <f t="shared" si="4"/>
        <v>3.0149641232945932</v>
      </c>
    </row>
    <row r="21" spans="1:81">
      <c r="A21" s="79" t="s">
        <v>104</v>
      </c>
      <c r="B21" s="160" t="s">
        <v>101</v>
      </c>
      <c r="C21" s="715"/>
      <c r="D21" s="309" t="str">
        <f>+'Value Line'!E28</f>
        <v>A</v>
      </c>
      <c r="E21" s="411">
        <v>73</v>
      </c>
      <c r="F21" s="311" t="str">
        <f>+Comps!K20</f>
        <v>A+</v>
      </c>
      <c r="G21" s="312" t="str">
        <f>+Comps!L20</f>
        <v>N/A</v>
      </c>
      <c r="H21" s="354"/>
      <c r="I21" s="354"/>
      <c r="J21" s="379"/>
      <c r="K21" s="354"/>
      <c r="L21" s="410"/>
      <c r="M21" s="410"/>
      <c r="N21" s="410"/>
      <c r="O21" s="410"/>
      <c r="P21" s="410"/>
      <c r="Q21" s="410"/>
      <c r="R21" s="241">
        <f>+'Growth &amp; Beta'!B20</f>
        <v>3.5000000000000003E-2</v>
      </c>
      <c r="S21" s="241">
        <f>+Dividends!L32</f>
        <v>2.5000000000000001E-2</v>
      </c>
      <c r="T21" s="165"/>
      <c r="U21" s="165"/>
      <c r="V21" s="165"/>
      <c r="W21" s="165"/>
      <c r="X21" s="165"/>
      <c r="Y21" s="164"/>
      <c r="Z21" s="165"/>
      <c r="AA21" s="165"/>
      <c r="AB21" s="165"/>
      <c r="AC21" s="165"/>
      <c r="AD21" s="165"/>
      <c r="AE21" s="165"/>
      <c r="AF21" s="367"/>
      <c r="AG21" s="409"/>
      <c r="AH21" s="409"/>
      <c r="AI21" s="377"/>
      <c r="AJ21" s="716"/>
      <c r="AK21" s="716"/>
      <c r="AL21" s="376"/>
      <c r="AM21" s="376"/>
      <c r="AN21" s="376"/>
      <c r="AO21" s="164"/>
      <c r="AP21" s="164"/>
      <c r="AQ21" s="372"/>
      <c r="AR21" s="372"/>
      <c r="AS21" s="372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378"/>
      <c r="BK21" s="717"/>
      <c r="BL21" s="718"/>
      <c r="BM21" s="363"/>
      <c r="BN21" s="363"/>
      <c r="BO21" s="164"/>
      <c r="BP21" s="164"/>
      <c r="BQ21" s="164"/>
      <c r="BR21" s="198"/>
      <c r="BS21" s="388"/>
      <c r="BT21" s="387"/>
      <c r="BU21" s="387"/>
      <c r="BV21" s="392"/>
      <c r="BW21" s="388"/>
      <c r="BX21" s="387"/>
      <c r="BY21" s="387"/>
      <c r="BZ21" s="392"/>
    </row>
    <row r="22" spans="1:81">
      <c r="C22" s="73"/>
      <c r="D22" s="21"/>
      <c r="E22" s="102"/>
      <c r="F22" s="21"/>
      <c r="G22" s="117"/>
      <c r="H22" s="71"/>
      <c r="I22" s="71"/>
      <c r="J22" s="71"/>
      <c r="K22" s="71"/>
      <c r="L22" s="144"/>
      <c r="M22" s="144"/>
      <c r="N22" s="144"/>
      <c r="O22" s="144"/>
      <c r="P22" s="144"/>
      <c r="Q22" s="144"/>
      <c r="T22" s="252"/>
      <c r="U22" s="252"/>
      <c r="V22" s="252"/>
      <c r="W22" s="252"/>
      <c r="X22" s="252"/>
      <c r="Y22" s="175"/>
      <c r="Z22" s="165"/>
      <c r="AA22" s="166"/>
      <c r="AB22" s="166"/>
      <c r="AC22" s="166"/>
      <c r="AD22" s="166"/>
      <c r="AE22" s="166"/>
      <c r="AF22" s="79"/>
      <c r="AG22" s="79"/>
      <c r="AH22" s="79"/>
      <c r="AI22" s="79"/>
      <c r="AJ22" s="79"/>
      <c r="AK22" s="79"/>
      <c r="AL22" s="377"/>
      <c r="AM22" s="377"/>
      <c r="AN22" s="377"/>
      <c r="AO22" s="127"/>
      <c r="AP22" s="127"/>
      <c r="AQ22" s="127"/>
      <c r="AR22" s="127"/>
      <c r="AS22" s="127"/>
      <c r="AT22" s="167"/>
      <c r="AU22" s="167"/>
      <c r="AV22" s="167"/>
      <c r="AW22" s="167"/>
      <c r="AX22" s="167"/>
      <c r="AY22" s="167"/>
      <c r="AZ22" s="79"/>
      <c r="BA22" s="79"/>
      <c r="BB22" s="79"/>
      <c r="BC22" s="79"/>
      <c r="BD22" s="168"/>
      <c r="BE22" s="168"/>
      <c r="BF22" s="168"/>
      <c r="BG22" s="168"/>
      <c r="BH22" s="168"/>
      <c r="BI22" s="168"/>
      <c r="BJ22" s="419"/>
      <c r="BK22" s="169"/>
      <c r="BL22" s="103"/>
      <c r="BM22" s="103"/>
      <c r="BS22" s="397"/>
      <c r="BT22" s="398"/>
      <c r="BU22" s="398"/>
      <c r="BV22" s="399"/>
      <c r="BW22" s="397"/>
      <c r="BX22" s="398"/>
      <c r="BY22" s="398"/>
      <c r="BZ22" s="399"/>
    </row>
    <row r="23" spans="1:81">
      <c r="A23" s="135" t="s">
        <v>77</v>
      </c>
      <c r="B23" s="2"/>
      <c r="C23" s="112"/>
      <c r="D23" s="69"/>
      <c r="E23" s="111">
        <f>AVERAGE(E13:E20)</f>
        <v>73.375</v>
      </c>
      <c r="F23" s="69"/>
      <c r="G23" s="130"/>
      <c r="H23" s="55">
        <f t="shared" ref="H23:AM23" si="12">AVERAGE(H13:H20)</f>
        <v>0.71729014359305487</v>
      </c>
      <c r="I23" s="55">
        <f t="shared" si="12"/>
        <v>0.7797659372271023</v>
      </c>
      <c r="J23" s="55">
        <f t="shared" si="12"/>
        <v>0.74435673188305618</v>
      </c>
      <c r="K23" s="55">
        <f t="shared" si="12"/>
        <v>0.76820580282626971</v>
      </c>
      <c r="L23" s="55">
        <f t="shared" si="12"/>
        <v>0.71104636815210043</v>
      </c>
      <c r="M23" s="55">
        <f t="shared" si="12"/>
        <v>0.79013384786641971</v>
      </c>
      <c r="N23" s="55">
        <f t="shared" si="12"/>
        <v>0.71084232981293383</v>
      </c>
      <c r="O23" s="55">
        <f t="shared" si="12"/>
        <v>0.86620634598467217</v>
      </c>
      <c r="P23" s="55">
        <f t="shared" si="12"/>
        <v>0.74768666952778473</v>
      </c>
      <c r="Q23" s="55">
        <f t="shared" si="12"/>
        <v>0.85905522120107292</v>
      </c>
      <c r="R23" s="231">
        <f t="shared" si="12"/>
        <v>6.3125000000000001E-2</v>
      </c>
      <c r="S23" s="231">
        <f t="shared" si="12"/>
        <v>4.1875000000000002E-2</v>
      </c>
      <c r="T23" s="148">
        <f t="shared" si="12"/>
        <v>2637.7142857142858</v>
      </c>
      <c r="U23" s="148">
        <f t="shared" si="12"/>
        <v>2063.0557142857142</v>
      </c>
      <c r="V23" s="148">
        <f t="shared" si="12"/>
        <v>1981.276714285714</v>
      </c>
      <c r="W23" s="148">
        <f t="shared" si="12"/>
        <v>1886.4928571428572</v>
      </c>
      <c r="X23" s="148">
        <f t="shared" si="12"/>
        <v>1853.3432857142859</v>
      </c>
      <c r="Y23" s="247">
        <f t="shared" si="12"/>
        <v>-3.9868949452984158E-2</v>
      </c>
      <c r="Z23" s="170">
        <f t="shared" si="12"/>
        <v>2361.6945714285716</v>
      </c>
      <c r="AA23" s="170">
        <f t="shared" si="12"/>
        <v>2503.304714285714</v>
      </c>
      <c r="AB23" s="170">
        <f t="shared" si="12"/>
        <v>2662.8110000000006</v>
      </c>
      <c r="AC23" s="170">
        <f t="shared" si="12"/>
        <v>3295.5822857142853</v>
      </c>
      <c r="AD23" s="170">
        <f t="shared" si="12"/>
        <v>3548.9165714285709</v>
      </c>
      <c r="AE23" s="170">
        <f t="shared" si="12"/>
        <v>1921.9480000000001</v>
      </c>
      <c r="AF23" s="170">
        <f t="shared" si="12"/>
        <v>2032.8422857142857</v>
      </c>
      <c r="AG23" s="170">
        <f t="shared" si="12"/>
        <v>2800</v>
      </c>
      <c r="AH23" s="170">
        <f t="shared" si="12"/>
        <v>4946.3</v>
      </c>
      <c r="AI23" s="170">
        <f t="shared" si="12"/>
        <v>2520.6285714285709</v>
      </c>
      <c r="AJ23" s="171">
        <f t="shared" si="12"/>
        <v>2.2228571428571429</v>
      </c>
      <c r="AK23" s="171">
        <f t="shared" si="12"/>
        <v>2.3257142857142861</v>
      </c>
      <c r="AL23" s="171">
        <f t="shared" si="12"/>
        <v>2.4085714285714284</v>
      </c>
      <c r="AM23" s="171">
        <f t="shared" si="12"/>
        <v>2.38</v>
      </c>
      <c r="AN23" s="171">
        <f t="shared" ref="AN23:BH23" si="13">AVERAGE(AN13:AN20)</f>
        <v>2.4628571428571426</v>
      </c>
      <c r="AO23" s="172">
        <f t="shared" si="13"/>
        <v>0.59037949228939646</v>
      </c>
      <c r="AP23" s="172">
        <f t="shared" si="13"/>
        <v>0.58120069968601595</v>
      </c>
      <c r="AQ23" s="172">
        <f t="shared" si="13"/>
        <v>0.58182054010798689</v>
      </c>
      <c r="AR23" s="172">
        <f t="shared" si="13"/>
        <v>0.63605645153487367</v>
      </c>
      <c r="AS23" s="172">
        <f t="shared" si="13"/>
        <v>0.63019725364813339</v>
      </c>
      <c r="AT23" s="172">
        <f t="shared" si="13"/>
        <v>0.46845296275311732</v>
      </c>
      <c r="AU23" s="172">
        <f t="shared" si="13"/>
        <v>0.46148985307364704</v>
      </c>
      <c r="AV23" s="172">
        <f t="shared" si="13"/>
        <v>0.43908565768375191</v>
      </c>
      <c r="AW23" s="172">
        <f t="shared" si="13"/>
        <v>0.44486134930326066</v>
      </c>
      <c r="AX23" s="172">
        <f t="shared" si="13"/>
        <v>0.46126602789008869</v>
      </c>
      <c r="AY23" s="172">
        <f t="shared" si="13"/>
        <v>0.53275905221914999</v>
      </c>
      <c r="AZ23" s="172">
        <f t="shared" si="13"/>
        <v>0.54298972657857103</v>
      </c>
      <c r="BA23" s="172">
        <f t="shared" si="13"/>
        <v>0.56091434231624804</v>
      </c>
      <c r="BB23" s="172">
        <f t="shared" si="13"/>
        <v>0.5551386506967394</v>
      </c>
      <c r="BC23" s="172">
        <f t="shared" si="13"/>
        <v>0.53873397210991125</v>
      </c>
      <c r="BD23" s="420">
        <f t="shared" si="13"/>
        <v>0.11140099665210083</v>
      </c>
      <c r="BE23" s="420">
        <f t="shared" si="13"/>
        <v>0.10936139513864919</v>
      </c>
      <c r="BF23" s="421">
        <f t="shared" si="13"/>
        <v>0.11148028211505533</v>
      </c>
      <c r="BG23" s="421">
        <f t="shared" si="13"/>
        <v>9.8933215260630439E-2</v>
      </c>
      <c r="BH23" s="421">
        <f t="shared" si="13"/>
        <v>9.9860157727679311E-2</v>
      </c>
      <c r="BI23" s="421">
        <f>AVERAGE(BF13:BH20)</f>
        <v>0.10342455170112171</v>
      </c>
      <c r="BJ23" s="422">
        <f>AVERAGE(BD13:BH20)</f>
        <v>0.10620720937882304</v>
      </c>
      <c r="BK23" s="415">
        <f>AVERAGE(BK13,BK14,BK18,BK19,BK20,9.5,10.1)</f>
        <v>10.103857142857143</v>
      </c>
      <c r="BL23" s="110"/>
      <c r="BM23" s="247">
        <f>AVERAGE(BM13:BM20)</f>
        <v>0.40962050771060354</v>
      </c>
      <c r="BN23" s="247">
        <f>AVERAGE(BN13:BN20)</f>
        <v>0.41879930031398399</v>
      </c>
      <c r="BO23" s="247">
        <f>AVERAGE(BO13:BO20)</f>
        <v>0.41817945989201316</v>
      </c>
      <c r="BP23" s="247">
        <f>AVERAGE(BP13:BP20)</f>
        <v>0.36394354846512639</v>
      </c>
      <c r="BQ23" s="247">
        <f>AVERAGE(BQ13:BQ20)</f>
        <v>0.36980274635186677</v>
      </c>
      <c r="BR23" s="247"/>
      <c r="BS23" s="400"/>
      <c r="CB23" s="2">
        <f>AVERAGE(CB13:CB20)</f>
        <v>2.546975881261595</v>
      </c>
      <c r="CC23" s="2">
        <f>AVERAGE(CC13:CC20)</f>
        <v>2.3867555042229118</v>
      </c>
    </row>
    <row r="24" spans="1:81">
      <c r="A24" s="135" t="s">
        <v>21</v>
      </c>
      <c r="B24" s="2"/>
      <c r="C24" s="73"/>
      <c r="D24" s="135"/>
      <c r="E24" s="102"/>
      <c r="F24" s="16"/>
      <c r="G24" s="132"/>
      <c r="H24" s="55">
        <f t="shared" ref="H24:AM24" si="14">MEDIAN(H13:H20)</f>
        <v>0.63</v>
      </c>
      <c r="I24" s="55">
        <f t="shared" si="14"/>
        <v>0.74350000000000005</v>
      </c>
      <c r="J24" s="55">
        <f t="shared" si="14"/>
        <v>0.64290000000000003</v>
      </c>
      <c r="K24" s="55">
        <f t="shared" si="14"/>
        <v>0.8266</v>
      </c>
      <c r="L24" s="55">
        <f t="shared" si="14"/>
        <v>0.59725963622008726</v>
      </c>
      <c r="M24" s="55">
        <f t="shared" si="14"/>
        <v>0.77859423823095153</v>
      </c>
      <c r="N24" s="55">
        <f t="shared" si="14"/>
        <v>0.62061591103507274</v>
      </c>
      <c r="O24" s="55">
        <f t="shared" si="14"/>
        <v>0.84421949394360518</v>
      </c>
      <c r="P24" s="55">
        <f t="shared" si="14"/>
        <v>0.68562251462564672</v>
      </c>
      <c r="Q24" s="55">
        <f t="shared" si="14"/>
        <v>0.87465780651161396</v>
      </c>
      <c r="R24" s="104">
        <f t="shared" si="14"/>
        <v>5.7499999999999996E-2</v>
      </c>
      <c r="S24" s="104">
        <f t="shared" si="14"/>
        <v>3.2500000000000001E-2</v>
      </c>
      <c r="T24" s="150">
        <f t="shared" si="14"/>
        <v>2144.6999999999998</v>
      </c>
      <c r="U24" s="150">
        <f t="shared" si="14"/>
        <v>1893.8240000000001</v>
      </c>
      <c r="V24" s="150">
        <f t="shared" si="14"/>
        <v>1735.029</v>
      </c>
      <c r="W24" s="150">
        <f t="shared" si="14"/>
        <v>1603.307</v>
      </c>
      <c r="X24" s="150">
        <f t="shared" si="14"/>
        <v>1125.4749999999999</v>
      </c>
      <c r="Y24" s="247">
        <f t="shared" si="14"/>
        <v>-0.14758134594959929</v>
      </c>
      <c r="Z24" s="173">
        <f t="shared" si="14"/>
        <v>2240.8339999999998</v>
      </c>
      <c r="AA24" s="173">
        <f t="shared" si="14"/>
        <v>2304.3919999999998</v>
      </c>
      <c r="AB24" s="173">
        <f t="shared" si="14"/>
        <v>2437.6640000000002</v>
      </c>
      <c r="AC24" s="173">
        <f t="shared" si="14"/>
        <v>2627.2620000000002</v>
      </c>
      <c r="AD24" s="173">
        <f t="shared" si="14"/>
        <v>3105.0859999999998</v>
      </c>
      <c r="AE24" s="173">
        <f t="shared" si="14"/>
        <v>1681.5050000000001</v>
      </c>
      <c r="AF24" s="173">
        <f t="shared" si="14"/>
        <v>1660.46</v>
      </c>
      <c r="AG24" s="173">
        <f t="shared" si="14"/>
        <v>2800</v>
      </c>
      <c r="AH24" s="173">
        <f t="shared" si="14"/>
        <v>4946.3</v>
      </c>
      <c r="AI24" s="173">
        <f t="shared" si="14"/>
        <v>2244.6999999999998</v>
      </c>
      <c r="AJ24" s="174">
        <f t="shared" si="14"/>
        <v>2.59</v>
      </c>
      <c r="AK24" s="174">
        <f t="shared" si="14"/>
        <v>2.08</v>
      </c>
      <c r="AL24" s="174">
        <f t="shared" si="14"/>
        <v>2.27</v>
      </c>
      <c r="AM24" s="174">
        <f t="shared" si="14"/>
        <v>2.39</v>
      </c>
      <c r="AN24" s="174">
        <f t="shared" ref="AN24:BH24" si="15">MEDIAN(AN13:AN20)</f>
        <v>2.37</v>
      </c>
      <c r="AO24" s="175">
        <f t="shared" si="15"/>
        <v>0.59154929577464788</v>
      </c>
      <c r="AP24" s="175">
        <f t="shared" si="15"/>
        <v>0.59722222222222221</v>
      </c>
      <c r="AQ24" s="175">
        <f t="shared" si="15"/>
        <v>0.60222222222222221</v>
      </c>
      <c r="AR24" s="175">
        <f t="shared" si="15"/>
        <v>0.60132158590308371</v>
      </c>
      <c r="AS24" s="175">
        <f t="shared" si="15"/>
        <v>0.59642857142857142</v>
      </c>
      <c r="AT24" s="175">
        <f t="shared" si="15"/>
        <v>0.47235125676105627</v>
      </c>
      <c r="AU24" s="175">
        <f t="shared" si="15"/>
        <v>0.47685656658516967</v>
      </c>
      <c r="AV24" s="175">
        <f t="shared" si="15"/>
        <v>0.45376048891910253</v>
      </c>
      <c r="AW24" s="175">
        <f t="shared" si="15"/>
        <v>0.43177454868965887</v>
      </c>
      <c r="AX24" s="175">
        <f t="shared" si="15"/>
        <v>0.48701201396201005</v>
      </c>
      <c r="AY24" s="175">
        <f t="shared" si="15"/>
        <v>0.52764874323894362</v>
      </c>
      <c r="AZ24" s="175">
        <f t="shared" si="15"/>
        <v>0.52314343341483038</v>
      </c>
      <c r="BA24" s="175">
        <f t="shared" si="15"/>
        <v>0.54623951108089752</v>
      </c>
      <c r="BB24" s="175">
        <f t="shared" si="15"/>
        <v>0.56822545131034108</v>
      </c>
      <c r="BC24" s="175">
        <f t="shared" si="15"/>
        <v>0.51298798603799001</v>
      </c>
      <c r="BD24" s="421">
        <f t="shared" si="15"/>
        <v>0.11824970862051601</v>
      </c>
      <c r="BE24" s="421">
        <f t="shared" si="15"/>
        <v>0.11380310708144915</v>
      </c>
      <c r="BF24" s="421">
        <f t="shared" si="15"/>
        <v>0.10484330566540807</v>
      </c>
      <c r="BG24" s="421">
        <f t="shared" si="15"/>
        <v>9.2045343197567117E-2</v>
      </c>
      <c r="BH24" s="421">
        <f t="shared" si="15"/>
        <v>0.10136736930434743</v>
      </c>
      <c r="BI24" s="421">
        <f>MEDIAN(BF13:BH20)</f>
        <v>0.10136736930434743</v>
      </c>
      <c r="BJ24" s="422">
        <f>MEDIAN(BD13:BH20)</f>
        <v>0.10627584636516554</v>
      </c>
      <c r="BK24" s="415">
        <f>MEDIAN(BK13,BK14,BK18,BK19,BK20,9.5,10.1)</f>
        <v>10.199999999999999</v>
      </c>
      <c r="BM24" s="175">
        <f>MEDIAN(BM13:BM20)</f>
        <v>0.40845070422535212</v>
      </c>
      <c r="BN24" s="175">
        <f>MEDIAN(BN13:BN20)</f>
        <v>0.40277777777777779</v>
      </c>
      <c r="BO24" s="175">
        <f>MEDIAN(BO13:BO20)</f>
        <v>0.39777777777777779</v>
      </c>
      <c r="BP24" s="175">
        <f>MEDIAN(BP13:BP20)</f>
        <v>0.39867841409691629</v>
      </c>
      <c r="BQ24" s="175">
        <f>MEDIAN(BQ13:BQ20)</f>
        <v>0.40357142857142858</v>
      </c>
      <c r="BR24" s="175"/>
      <c r="BS24" s="401"/>
      <c r="CB24" s="174">
        <f>MEDIAN(CB13:CB20)</f>
        <v>2.2283395176252321</v>
      </c>
      <c r="CC24" s="174">
        <f>MEDIAN(CC13:CC20)</f>
        <v>2.2646124305204647</v>
      </c>
    </row>
    <row r="25" spans="1:81">
      <c r="A25" s="134"/>
      <c r="C25" s="73"/>
      <c r="D25" s="20"/>
      <c r="E25" s="102"/>
      <c r="F25" s="35"/>
      <c r="G25" s="131"/>
      <c r="H25" s="59"/>
      <c r="I25" s="59"/>
      <c r="J25" s="59"/>
      <c r="K25" s="59"/>
      <c r="L25" s="59"/>
      <c r="M25" s="59"/>
      <c r="N25" s="59"/>
      <c r="O25" s="59"/>
      <c r="P25" s="59"/>
      <c r="Q25" s="59"/>
      <c r="T25" s="97"/>
      <c r="U25" s="149"/>
      <c r="V25" s="149"/>
      <c r="W25" s="149"/>
      <c r="X25" s="149"/>
      <c r="Y25" s="149"/>
      <c r="Z25" s="166"/>
      <c r="AA25" s="166"/>
      <c r="AB25" s="166"/>
      <c r="AC25" s="166"/>
      <c r="AD25" s="166"/>
      <c r="AE25" s="79"/>
      <c r="AF25" s="166"/>
      <c r="AG25" s="166"/>
      <c r="AH25" s="166"/>
      <c r="AI25" s="166"/>
      <c r="AJ25" s="79"/>
      <c r="AK25" s="79"/>
      <c r="AL25" s="79"/>
      <c r="AM25" s="79"/>
      <c r="AN25" s="79"/>
      <c r="AO25" s="127"/>
      <c r="AP25" s="127"/>
      <c r="AQ25" s="127"/>
      <c r="AR25" s="127"/>
      <c r="AS25" s="127"/>
      <c r="AT25" s="167"/>
      <c r="AU25" s="167"/>
      <c r="AV25" s="167"/>
      <c r="AW25" s="167"/>
      <c r="AX25" s="167"/>
      <c r="AY25" s="167"/>
      <c r="AZ25" s="79"/>
      <c r="BA25" s="79"/>
      <c r="BB25" s="79"/>
      <c r="BC25" s="79"/>
      <c r="BD25" s="84"/>
      <c r="BE25" s="84"/>
      <c r="BF25" s="84"/>
      <c r="BG25" s="84"/>
      <c r="BH25" s="84"/>
      <c r="BI25" s="84"/>
      <c r="BJ25" s="113"/>
      <c r="BK25" s="79"/>
      <c r="BM25" s="103"/>
    </row>
    <row r="26" spans="1:81" s="243" customFormat="1" ht="15.75">
      <c r="A26" s="516" t="s">
        <v>76</v>
      </c>
      <c r="B26" s="2"/>
      <c r="C26" s="2"/>
      <c r="D26" s="516"/>
      <c r="E26" s="516"/>
      <c r="F26" s="516" t="s">
        <v>181</v>
      </c>
      <c r="G26" s="132" t="s">
        <v>82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>
        <v>1</v>
      </c>
      <c r="Q26" s="55">
        <v>1</v>
      </c>
      <c r="R26" s="2"/>
      <c r="S26" s="2"/>
      <c r="T26" s="105">
        <v>1000.3</v>
      </c>
      <c r="U26" s="105">
        <v>919.86800000000005</v>
      </c>
      <c r="V26" s="105">
        <v>902.9</v>
      </c>
      <c r="W26" s="105">
        <v>968.8</v>
      </c>
      <c r="X26" s="105">
        <v>862.2</v>
      </c>
      <c r="Y26" s="339">
        <f>(+X26-W26)/W26</f>
        <v>-0.11003303055326168</v>
      </c>
      <c r="Z26" s="543">
        <v>989.5</v>
      </c>
      <c r="AA26" s="543">
        <v>1031.5</v>
      </c>
      <c r="AB26" s="543">
        <v>1096.3</v>
      </c>
      <c r="AC26" s="543">
        <v>1177.4000000000001</v>
      </c>
      <c r="AD26" s="543">
        <v>1278.0999999999999</v>
      </c>
      <c r="AE26" s="544">
        <f>384.6+370</f>
        <v>754.6</v>
      </c>
      <c r="AF26" s="543">
        <f>370.764+399.041</f>
        <v>769.80500000000006</v>
      </c>
      <c r="AG26" s="543"/>
      <c r="AH26" s="543"/>
      <c r="AI26" s="543"/>
      <c r="AJ26" s="544"/>
      <c r="AK26" s="544"/>
      <c r="AL26" s="132" t="s">
        <v>110</v>
      </c>
      <c r="AM26" s="132" t="s">
        <v>110</v>
      </c>
      <c r="AN26" s="132" t="s">
        <v>110</v>
      </c>
      <c r="AO26" s="172">
        <f>27.5/40.2</f>
        <v>0.68407960199004969</v>
      </c>
      <c r="AP26" s="172">
        <f>28.2/41.567</f>
        <v>0.67842278730723893</v>
      </c>
      <c r="AQ26" s="172">
        <v>0.6560364464692483</v>
      </c>
      <c r="AR26" s="172">
        <v>0.65726681127982645</v>
      </c>
      <c r="AS26" s="172">
        <v>0.70063694267515919</v>
      </c>
      <c r="AT26" s="172">
        <f>370/754.6</f>
        <v>0.49032600053008213</v>
      </c>
      <c r="AU26" s="172">
        <v>0.48114434330299088</v>
      </c>
      <c r="AV26" s="172">
        <v>0.46968730057434588</v>
      </c>
      <c r="AW26" s="172">
        <v>0.37933872959253667</v>
      </c>
      <c r="AX26" s="172">
        <v>0.45123811759183197</v>
      </c>
      <c r="AY26" s="172">
        <f>384.6/754.6</f>
        <v>0.50967399946991787</v>
      </c>
      <c r="AZ26" s="172">
        <f>1-AU26</f>
        <v>0.51885565669700906</v>
      </c>
      <c r="BA26" s="172">
        <f>1-AV26</f>
        <v>0.53031269942565418</v>
      </c>
      <c r="BB26" s="172">
        <f>1-AW26</f>
        <v>0.62066127040746333</v>
      </c>
      <c r="BC26" s="172">
        <f>1-AX26</f>
        <v>0.54876188240816803</v>
      </c>
      <c r="BD26" s="420">
        <v>0.111</v>
      </c>
      <c r="BE26" s="420">
        <v>0.1061</v>
      </c>
      <c r="BF26" s="420">
        <v>0.10780000000000001</v>
      </c>
      <c r="BG26" s="420">
        <v>0.1062</v>
      </c>
      <c r="BH26" s="420">
        <v>0.1024</v>
      </c>
      <c r="BI26" s="420">
        <f>AVERAGE(BF26:BH26)</f>
        <v>0.10546666666666667</v>
      </c>
      <c r="BJ26" s="321">
        <f>AVERAGE(BD26:BH26)</f>
        <v>0.10670000000000002</v>
      </c>
      <c r="BK26" s="132">
        <v>10.35</v>
      </c>
      <c r="BL26" s="545"/>
      <c r="BM26" s="110">
        <f>1-AO26</f>
        <v>0.31592039800995031</v>
      </c>
      <c r="BN26" s="110">
        <f>1-AP26</f>
        <v>0.32157721269276107</v>
      </c>
      <c r="BO26" s="110">
        <f>1-AQ26</f>
        <v>0.3439635535307517</v>
      </c>
      <c r="BP26" s="110">
        <f>1-AR26</f>
        <v>0.34273318872017355</v>
      </c>
      <c r="BQ26" s="110">
        <f>1-AS26</f>
        <v>0.29936305732484081</v>
      </c>
      <c r="BR26" s="110"/>
      <c r="BS26" s="402"/>
      <c r="BT26" s="402"/>
      <c r="BU26" s="402"/>
      <c r="BV26" s="402"/>
      <c r="BW26" s="402"/>
      <c r="BX26" s="402"/>
      <c r="BY26" s="402"/>
      <c r="BZ26" s="402"/>
      <c r="CA26" s="4"/>
    </row>
    <row r="27" spans="1:81">
      <c r="BD27" s="6"/>
      <c r="BE27" s="6"/>
      <c r="BF27" s="6"/>
      <c r="BG27" s="6"/>
      <c r="BH27" s="6"/>
      <c r="BI27" s="84"/>
      <c r="BJ27" s="113"/>
      <c r="BM27" s="103"/>
    </row>
    <row r="28" spans="1:81" s="2" customFormat="1">
      <c r="A28" s="45" t="s">
        <v>220</v>
      </c>
      <c r="T28" s="110"/>
      <c r="U28" s="110"/>
      <c r="V28" s="110"/>
      <c r="W28" s="110"/>
      <c r="X28" s="110"/>
      <c r="Y28" s="247"/>
      <c r="Z28" s="110"/>
      <c r="AA28" s="110"/>
      <c r="AB28" s="110"/>
      <c r="AC28" s="110"/>
      <c r="AD28" s="110"/>
      <c r="AE28" s="110"/>
      <c r="AF28" s="110"/>
      <c r="AJ28" s="231"/>
      <c r="AO28" s="110">
        <f t="shared" ref="AO28:AT28" si="16">+AO26-AO23</f>
        <v>9.3700109700653234E-2</v>
      </c>
      <c r="AP28" s="110">
        <f t="shared" si="16"/>
        <v>9.7222087621222975E-2</v>
      </c>
      <c r="AQ28" s="110">
        <f t="shared" si="16"/>
        <v>7.4215906361261408E-2</v>
      </c>
      <c r="AR28" s="110">
        <f t="shared" si="16"/>
        <v>2.1210359744952778E-2</v>
      </c>
      <c r="AS28" s="110">
        <f t="shared" si="16"/>
        <v>7.0439689027025798E-2</v>
      </c>
      <c r="AT28" s="172">
        <f t="shared" si="16"/>
        <v>2.187303777696481E-2</v>
      </c>
      <c r="AU28" s="172">
        <f t="shared" ref="AU28:BC28" si="17">+AU26-AU23</f>
        <v>1.9654490229343846E-2</v>
      </c>
      <c r="AV28" s="172">
        <f t="shared" si="17"/>
        <v>3.0601642890593972E-2</v>
      </c>
      <c r="AW28" s="172">
        <f t="shared" si="17"/>
        <v>-6.5522619710723984E-2</v>
      </c>
      <c r="AX28" s="172">
        <f t="shared" si="17"/>
        <v>-1.0027910298256726E-2</v>
      </c>
      <c r="AY28" s="172">
        <f t="shared" si="17"/>
        <v>-2.3085052749232116E-2</v>
      </c>
      <c r="AZ28" s="172">
        <f t="shared" si="17"/>
        <v>-2.413406988156197E-2</v>
      </c>
      <c r="BA28" s="172">
        <f t="shared" si="17"/>
        <v>-3.0601642890593861E-2</v>
      </c>
      <c r="BB28" s="172">
        <f t="shared" si="17"/>
        <v>6.5522619710723928E-2</v>
      </c>
      <c r="BC28" s="172">
        <f t="shared" si="17"/>
        <v>1.0027910298256781E-2</v>
      </c>
      <c r="BD28" s="420">
        <f>(+BD26-BD23)</f>
        <v>-4.0099665210083235E-4</v>
      </c>
      <c r="BE28" s="420">
        <f t="shared" ref="BE28:BK28" si="18">(+BE26-BE23)</f>
        <v>-3.2613951386491896E-3</v>
      </c>
      <c r="BF28" s="420">
        <f t="shared" si="18"/>
        <v>-3.6802821150553194E-3</v>
      </c>
      <c r="BG28" s="420">
        <f t="shared" si="18"/>
        <v>7.2667847393695639E-3</v>
      </c>
      <c r="BH28" s="420">
        <f t="shared" si="18"/>
        <v>2.5398422723206943E-3</v>
      </c>
      <c r="BI28" s="420">
        <f t="shared" si="18"/>
        <v>2.0421149655449611E-3</v>
      </c>
      <c r="BJ28" s="321">
        <f t="shared" si="18"/>
        <v>4.9279062117697781E-4</v>
      </c>
      <c r="BK28" s="414">
        <f t="shared" si="18"/>
        <v>0.246142857142857</v>
      </c>
      <c r="BL28" s="244"/>
      <c r="BM28" s="172">
        <f>+BM26-BM23</f>
        <v>-9.3700109700653234E-2</v>
      </c>
      <c r="BN28" s="172">
        <f>+BN26-BN23</f>
        <v>-9.7222087621222919E-2</v>
      </c>
      <c r="BO28" s="172">
        <f>+BO26-BO23</f>
        <v>-7.4215906361261463E-2</v>
      </c>
      <c r="BP28" s="172">
        <f>+BP26-BP23</f>
        <v>-2.1210359744952834E-2</v>
      </c>
      <c r="BQ28" s="172">
        <f>+BQ26-BQ23</f>
        <v>-7.0439689027025965E-2</v>
      </c>
      <c r="BR28" s="110"/>
      <c r="BS28" s="107"/>
      <c r="BT28" s="107"/>
      <c r="BU28" s="107"/>
      <c r="BV28" s="107"/>
      <c r="BW28" s="107"/>
      <c r="BX28" s="107"/>
      <c r="BY28" s="107"/>
      <c r="BZ28" s="107"/>
    </row>
    <row r="29" spans="1:81">
      <c r="A29" s="2"/>
      <c r="BI29" s="79"/>
      <c r="BJ29" s="101"/>
    </row>
    <row r="30" spans="1:81">
      <c r="F30" s="136"/>
      <c r="G30" s="136"/>
      <c r="BI30" s="79"/>
      <c r="BJ30" s="101"/>
      <c r="BK30" s="330"/>
    </row>
    <row r="31" spans="1:81" hidden="1">
      <c r="A31" t="s">
        <v>284</v>
      </c>
      <c r="F31" s="136"/>
      <c r="G31" s="136"/>
      <c r="H31" s="99">
        <f>(+H17+H18+H20)/3</f>
        <v>0.91924366838379445</v>
      </c>
      <c r="I31" s="99">
        <f>(+I17+I18+I20)/3</f>
        <v>0.92495385352990533</v>
      </c>
      <c r="J31" s="99">
        <f>(+J17+J18+J20)/3</f>
        <v>0.93331194804582773</v>
      </c>
      <c r="K31" s="99">
        <f>(+K17+K18+K20)/3</f>
        <v>0.87529409673353087</v>
      </c>
      <c r="L31" s="99">
        <f>(+L17+L18)/2</f>
        <v>0.98644578123126059</v>
      </c>
      <c r="M31" s="99">
        <f>(+M17+M18)/2</f>
        <v>0.95592910124265484</v>
      </c>
      <c r="N31" s="99">
        <f t="shared" ref="N31:S31" si="19">(+N17+N18)/2</f>
        <v>0.98395215293670102</v>
      </c>
      <c r="O31" s="99">
        <f t="shared" si="19"/>
        <v>0.97362202259851638</v>
      </c>
      <c r="P31" s="99">
        <f t="shared" si="19"/>
        <v>0.9789592763277658</v>
      </c>
      <c r="Q31" s="99">
        <f t="shared" si="19"/>
        <v>0.96048784562693179</v>
      </c>
      <c r="R31" s="95">
        <f t="shared" si="19"/>
        <v>4.4999999999999998E-2</v>
      </c>
      <c r="S31" s="95">
        <f t="shared" si="19"/>
        <v>2.75E-2</v>
      </c>
      <c r="T31" s="334">
        <f>(+T17+T18+T20)/3</f>
        <v>1757.2333333333333</v>
      </c>
      <c r="U31" s="334">
        <f>(+U17+U18+U20)/3</f>
        <v>1514.8783333333333</v>
      </c>
      <c r="V31" s="97">
        <f t="shared" ref="V31:AF31" si="20">(+V17+V18)/2</f>
        <v>1172.2049999999999</v>
      </c>
      <c r="W31" s="97">
        <f t="shared" si="20"/>
        <v>1130.98</v>
      </c>
      <c r="X31" s="97">
        <f t="shared" si="20"/>
        <v>926.69349999999997</v>
      </c>
      <c r="Y31" s="97">
        <f t="shared" si="20"/>
        <v>-0.16733020948501903</v>
      </c>
      <c r="Z31" s="97">
        <f t="shared" si="20"/>
        <v>1894.9454999999998</v>
      </c>
      <c r="AA31" s="97">
        <f t="shared" si="20"/>
        <v>1987.2629999999999</v>
      </c>
      <c r="AB31" s="97">
        <f t="shared" si="20"/>
        <v>2145.9135000000001</v>
      </c>
      <c r="AC31" s="97">
        <f t="shared" si="20"/>
        <v>2260.569</v>
      </c>
      <c r="AD31" s="97">
        <f t="shared" si="20"/>
        <v>2539.3490000000002</v>
      </c>
      <c r="AE31" s="97">
        <f t="shared" si="20"/>
        <v>1410.9390000000001</v>
      </c>
      <c r="AF31" s="97">
        <f t="shared" si="20"/>
        <v>1461.1325000000002</v>
      </c>
      <c r="AG31" s="97"/>
      <c r="AH31" s="334"/>
      <c r="AI31" s="334"/>
      <c r="AJ31" s="334">
        <f>(+AJ17+AJ18+AJ20)/3</f>
        <v>1.8299999999999998</v>
      </c>
      <c r="AK31" s="334">
        <f>(+AK17+AK18+AK20)/3</f>
        <v>2.1466666666666665</v>
      </c>
      <c r="AL31" s="459">
        <f>(+AL17+AL18)/2</f>
        <v>2.3449999999999998</v>
      </c>
      <c r="AM31" s="459">
        <f>(+AM17+AM18+AM20)/3</f>
        <v>2.1300000000000003</v>
      </c>
      <c r="AN31" s="459">
        <f>(+AN17+AN18+AN20)/3</f>
        <v>2.2466666666666666</v>
      </c>
      <c r="AO31" s="100">
        <f>(+AO17+AO18+AO20)/3</f>
        <v>0.63304004967734695</v>
      </c>
      <c r="AP31" s="100">
        <f>(+AP17+AP18+AP20)/3</f>
        <v>0.56140438969509099</v>
      </c>
      <c r="AQ31" s="100">
        <f>(+AQ17+AQ18)/2</f>
        <v>0.59340659340659352</v>
      </c>
      <c r="AR31" s="100">
        <f>(+AR17+AR18)/2</f>
        <v>0.73235082482743907</v>
      </c>
      <c r="AS31" s="100">
        <f>(+AS17+AS18)/2</f>
        <v>0.76459893628568332</v>
      </c>
      <c r="AT31" s="100">
        <f>(+AT17+AT18+AT20)/3</f>
        <v>0.47719274906939552</v>
      </c>
      <c r="AU31" s="100">
        <f>(+AU17+AU18+AU20)/3</f>
        <v>0.47036865285306934</v>
      </c>
      <c r="AV31" s="100">
        <f>(+AV17+AV18)/2</f>
        <v>0.43551598888774873</v>
      </c>
      <c r="AW31" s="100">
        <f t="shared" ref="AW31:BG31" si="21">(+AW17+AW18)/2</f>
        <v>0.43844560708446112</v>
      </c>
      <c r="AX31" s="100">
        <f t="shared" si="21"/>
        <v>0.48970937801308012</v>
      </c>
      <c r="AY31" s="100">
        <f t="shared" si="21"/>
        <v>0.53933641899344509</v>
      </c>
      <c r="AZ31" s="100">
        <f t="shared" si="21"/>
        <v>0.55147212034137039</v>
      </c>
      <c r="BA31" s="100">
        <f t="shared" si="21"/>
        <v>0.56448401111225133</v>
      </c>
      <c r="BB31" s="100">
        <f t="shared" si="21"/>
        <v>0.56155439291553888</v>
      </c>
      <c r="BC31" s="100">
        <f t="shared" si="21"/>
        <v>0.51029062198691988</v>
      </c>
      <c r="BD31" s="100">
        <f t="shared" si="21"/>
        <v>0.117315098007722</v>
      </c>
      <c r="BE31" s="100">
        <f t="shared" si="21"/>
        <v>0.12308198606496085</v>
      </c>
      <c r="BF31" s="100">
        <f t="shared" si="21"/>
        <v>0.12597744536302455</v>
      </c>
      <c r="BG31" s="100">
        <f t="shared" si="21"/>
        <v>0.10167520010106243</v>
      </c>
      <c r="BH31" s="100">
        <f>(+BH17+BH18)/2</f>
        <v>9.9174821773834632E-2</v>
      </c>
      <c r="BI31" s="167">
        <f>(+BI17+BI18)/2</f>
        <v>0.1089424890793072</v>
      </c>
      <c r="BJ31" s="348">
        <f>(+BJ17+BJ18+BJ20)/3</f>
        <v>0.10356642436373902</v>
      </c>
      <c r="BK31" s="335">
        <f>(9.5+10.1+BK18)/3</f>
        <v>9.9333333333333336</v>
      </c>
      <c r="BM31" s="100">
        <f>(+BM17+BM18+BM20)/3</f>
        <v>0.36695995032265305</v>
      </c>
      <c r="BN31" s="100">
        <f>(+BN17+BN18+BN20)/3</f>
        <v>0.43859561030490896</v>
      </c>
      <c r="BO31" s="100">
        <f>(+BO17+BO18)/2</f>
        <v>0.40659340659340654</v>
      </c>
      <c r="BP31" s="100">
        <f>(+BP17+BP18)/2</f>
        <v>0.26764917517256087</v>
      </c>
      <c r="BQ31" s="100">
        <f>(+BQ17+BQ18)/2</f>
        <v>0.23540106371431674</v>
      </c>
      <c r="BR31" s="100"/>
    </row>
    <row r="32" spans="1:81">
      <c r="F32" s="136"/>
      <c r="G32" s="136"/>
      <c r="BI32" s="79"/>
      <c r="BJ32" s="101"/>
      <c r="BK32" s="330"/>
    </row>
    <row r="33" spans="20:70" hidden="1">
      <c r="T33" s="100">
        <f>+T26/T31</f>
        <v>0.56924711193732569</v>
      </c>
      <c r="U33" s="100">
        <f>+U26/U31</f>
        <v>0.60722236219190329</v>
      </c>
      <c r="V33" s="100">
        <f>(V31-V26)/V26</f>
        <v>0.29826669620112967</v>
      </c>
      <c r="W33" s="100">
        <f>(W31-W26)/W26</f>
        <v>0.16740297274979363</v>
      </c>
      <c r="X33" s="100">
        <f>(X31-X26)/X26</f>
        <v>7.4801090234284301E-2</v>
      </c>
      <c r="Z33" s="100">
        <f>+Z26/Z31</f>
        <v>0.52217860619210421</v>
      </c>
      <c r="AA33" s="100">
        <f>+AA26/AA31</f>
        <v>0.5190556056244191</v>
      </c>
      <c r="AB33" s="100">
        <f>(AB31-AB26)/AB26</f>
        <v>0.9574144850861992</v>
      </c>
      <c r="AC33" s="100">
        <f>(AC31-AC26)/AC26</f>
        <v>0.91996687616782724</v>
      </c>
      <c r="AD33" s="100">
        <f>(AD31-AD26)/AD26</f>
        <v>0.98681558563492711</v>
      </c>
      <c r="AE33" s="100">
        <f>(AE31-AE26)/AE26</f>
        <v>0.86978399151868546</v>
      </c>
      <c r="AF33" s="100">
        <f>(AF31-AF26)/AF26</f>
        <v>0.89805535167997097</v>
      </c>
      <c r="AG33" s="100"/>
      <c r="AH33" s="100"/>
      <c r="AI33" s="100"/>
      <c r="AO33" s="100">
        <f t="shared" ref="AO33:AU33" si="22">+AO26/AO31</f>
        <v>1.0806261031015605</v>
      </c>
      <c r="AP33" s="100">
        <f t="shared" si="22"/>
        <v>1.2084386936762337</v>
      </c>
      <c r="AQ33" s="100"/>
      <c r="AR33" s="100"/>
      <c r="AS33" s="100"/>
      <c r="AT33" s="100">
        <f t="shared" si="22"/>
        <v>1.0275219007126546</v>
      </c>
      <c r="AU33" s="100">
        <f t="shared" si="22"/>
        <v>1.022909031850997</v>
      </c>
      <c r="AV33" s="100">
        <f t="shared" ref="AV33:BC33" si="23">+AV26-AV31</f>
        <v>3.417131168659715E-2</v>
      </c>
      <c r="AW33" s="100">
        <f t="shared" si="23"/>
        <v>-5.9106877491924448E-2</v>
      </c>
      <c r="AX33" s="100">
        <f t="shared" si="23"/>
        <v>-3.8471260421248155E-2</v>
      </c>
      <c r="AY33" s="100">
        <f t="shared" si="23"/>
        <v>-2.9662419523527217E-2</v>
      </c>
      <c r="AZ33" s="100">
        <f t="shared" si="23"/>
        <v>-3.2616463644361327E-2</v>
      </c>
      <c r="BA33" s="100">
        <f t="shared" si="23"/>
        <v>-3.417131168659715E-2</v>
      </c>
      <c r="BB33" s="100">
        <f t="shared" si="23"/>
        <v>5.9106877491924448E-2</v>
      </c>
      <c r="BC33" s="100">
        <f t="shared" si="23"/>
        <v>3.8471260421248155E-2</v>
      </c>
      <c r="BD33" s="100">
        <f t="shared" ref="BD33:BK33" si="24">+BD26-BD31</f>
        <v>-6.3150980077219948E-3</v>
      </c>
      <c r="BE33" s="100">
        <f t="shared" si="24"/>
        <v>-1.6981986064960847E-2</v>
      </c>
      <c r="BF33" s="100">
        <f t="shared" si="24"/>
        <v>-1.8177445363024541E-2</v>
      </c>
      <c r="BG33" s="100">
        <f t="shared" si="24"/>
        <v>4.5247998989375732E-3</v>
      </c>
      <c r="BH33" s="100">
        <f t="shared" si="24"/>
        <v>3.2251782261653733E-3</v>
      </c>
      <c r="BI33" s="348">
        <f t="shared" si="24"/>
        <v>-3.4758224126405363E-3</v>
      </c>
      <c r="BJ33" s="348">
        <f t="shared" si="24"/>
        <v>3.1335756362610018E-3</v>
      </c>
      <c r="BK33" s="413">
        <f t="shared" si="24"/>
        <v>0.41666666666666607</v>
      </c>
      <c r="BM33" s="100">
        <f>+BM31-BM26</f>
        <v>5.1039552312702741E-2</v>
      </c>
      <c r="BN33" s="100">
        <f>+BN31-BN26</f>
        <v>0.11701839761214788</v>
      </c>
      <c r="BO33" s="100">
        <f>+BO31-BO26</f>
        <v>6.2629853062654839E-2</v>
      </c>
      <c r="BP33" s="100">
        <f>+BP31-BP26</f>
        <v>-7.5084013547612682E-2</v>
      </c>
      <c r="BQ33" s="100">
        <f>+BQ31-BQ26</f>
        <v>-6.3961993610524071E-2</v>
      </c>
      <c r="BR33" s="100"/>
    </row>
    <row r="35" spans="20:70" hidden="1"/>
    <row r="36" spans="20:70" hidden="1">
      <c r="AE36">
        <v>5</v>
      </c>
      <c r="AF36">
        <v>5</v>
      </c>
      <c r="BH36" t="s">
        <v>279</v>
      </c>
      <c r="BK36" s="456">
        <v>9.16</v>
      </c>
    </row>
    <row r="37" spans="20:70">
      <c r="AE37">
        <v>5</v>
      </c>
      <c r="AF37">
        <v>4</v>
      </c>
      <c r="AZ37" t="s">
        <v>272</v>
      </c>
    </row>
    <row r="38" spans="20:70">
      <c r="AE38">
        <v>8</v>
      </c>
      <c r="AF38">
        <v>8</v>
      </c>
      <c r="BF38" t="s">
        <v>309</v>
      </c>
      <c r="BH38" s="6">
        <f>STDEV(BH13:BH20)</f>
        <v>1.7042482997045718E-2</v>
      </c>
      <c r="BI38" s="6">
        <f>STDEV(BI13:BI20)</f>
        <v>1.7142578785638286E-2</v>
      </c>
    </row>
    <row r="39" spans="20:70">
      <c r="AE39">
        <v>7</v>
      </c>
    </row>
    <row r="40" spans="20:70">
      <c r="AE40">
        <v>8</v>
      </c>
      <c r="BH40" s="95">
        <f>+BH23-BH38</f>
        <v>8.2817674730633589E-2</v>
      </c>
      <c r="BI40" s="95">
        <f>+BI23-BI38</f>
        <v>8.6281972915483424E-2</v>
      </c>
    </row>
    <row r="41" spans="20:70">
      <c r="AE41">
        <v>7</v>
      </c>
      <c r="AF41">
        <v>7</v>
      </c>
      <c r="BH41" s="95">
        <f>+BH23+BH38</f>
        <v>0.11690264072472503</v>
      </c>
      <c r="BI41" s="95">
        <f>+BI23+BI38</f>
        <v>0.12056713048675999</v>
      </c>
    </row>
    <row r="42" spans="20:70">
      <c r="AE42">
        <v>8</v>
      </c>
    </row>
    <row r="43" spans="20:70">
      <c r="AE43">
        <v>6</v>
      </c>
    </row>
    <row r="44" spans="20:70">
      <c r="AE44">
        <v>7</v>
      </c>
      <c r="AF44">
        <v>7</v>
      </c>
      <c r="BE44" s="73"/>
      <c r="BF44" s="98"/>
      <c r="BG44" s="98"/>
      <c r="BH44" s="98"/>
      <c r="BI44" s="98"/>
      <c r="BJ44" s="98"/>
    </row>
    <row r="48" spans="20:70">
      <c r="BE48" s="100"/>
      <c r="BF48" s="100"/>
      <c r="BG48" s="100"/>
      <c r="BH48" s="100"/>
      <c r="BI48" s="100"/>
      <c r="BJ48" s="100"/>
    </row>
    <row r="50" spans="57:62">
      <c r="BE50" s="100"/>
      <c r="BF50" s="100"/>
      <c r="BG50" s="100"/>
      <c r="BH50" s="100"/>
      <c r="BI50" s="100"/>
      <c r="BJ50" s="100"/>
    </row>
  </sheetData>
  <mergeCells count="33">
    <mergeCell ref="AY9:BC9"/>
    <mergeCell ref="Z9:AD9"/>
    <mergeCell ref="AE9:AI9"/>
    <mergeCell ref="AO9:AS9"/>
    <mergeCell ref="AJ9:AN9"/>
    <mergeCell ref="AT9:AX9"/>
    <mergeCell ref="BD10:BE10"/>
    <mergeCell ref="AT10:AX10"/>
    <mergeCell ref="AY10:BC10"/>
    <mergeCell ref="H10:I10"/>
    <mergeCell ref="J10:K10"/>
    <mergeCell ref="Z11:AD11"/>
    <mergeCell ref="AE11:AI11"/>
    <mergeCell ref="T11:X11"/>
    <mergeCell ref="L10:M10"/>
    <mergeCell ref="N10:O10"/>
    <mergeCell ref="P10:Q10"/>
    <mergeCell ref="BG9:BI9"/>
    <mergeCell ref="BS9:BV9"/>
    <mergeCell ref="BW9:BZ9"/>
    <mergeCell ref="B3:S3"/>
    <mergeCell ref="B4:S4"/>
    <mergeCell ref="AT3:BN3"/>
    <mergeCell ref="AT4:BN4"/>
    <mergeCell ref="T3:AP3"/>
    <mergeCell ref="T4:AP4"/>
    <mergeCell ref="T5:AP5"/>
    <mergeCell ref="T9:Y9"/>
    <mergeCell ref="BM9:BQ9"/>
    <mergeCell ref="H9:Q9"/>
    <mergeCell ref="R8:S8"/>
    <mergeCell ref="R9:S9"/>
    <mergeCell ref="BD8:BL8"/>
  </mergeCells>
  <printOptions horizontalCentered="1" verticalCentered="1"/>
  <pageMargins left="0.7" right="0.7" top="0.75" bottom="0.75" header="0.3" footer="0.3"/>
  <pageSetup scale="95" orientation="landscape" r:id="rId1"/>
  <colBreaks count="2" manualBreakCount="2">
    <brk id="19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1.1 SR Summary</vt:lpstr>
      <vt:lpstr>1.2 SR Allowed ROE</vt:lpstr>
      <vt:lpstr>1.3 SR DCF SS</vt:lpstr>
      <vt:lpstr>1.4 DCF 2S</vt:lpstr>
      <vt:lpstr>1.5 CAPM</vt:lpstr>
      <vt:lpstr>1.6 ROE Compare</vt:lpstr>
      <vt:lpstr>WACC</vt:lpstr>
      <vt:lpstr>Beta Report</vt:lpstr>
      <vt:lpstr>Comp Detail</vt:lpstr>
      <vt:lpstr>DCF 2S B</vt:lpstr>
      <vt:lpstr>Comps</vt:lpstr>
      <vt:lpstr>Growth &amp; Beta</vt:lpstr>
      <vt:lpstr>Value Line</vt:lpstr>
      <vt:lpstr>Dividends</vt:lpstr>
      <vt:lpstr>Sheet1</vt:lpstr>
      <vt:lpstr>'1.1 SR Summary'!Print_Area</vt:lpstr>
      <vt:lpstr>'1.2 SR Allowed ROE'!Print_Area</vt:lpstr>
      <vt:lpstr>'1.3 SR DCF SS'!Print_Area</vt:lpstr>
      <vt:lpstr>'1.4 DCF 2S'!Print_Area</vt:lpstr>
      <vt:lpstr>'1.5 CAPM'!Print_Area</vt:lpstr>
      <vt:lpstr>'Beta Report'!Print_Area</vt:lpstr>
      <vt:lpstr>'Comp Detail'!Print_Area</vt:lpstr>
      <vt:lpstr>Comps!Print_Area</vt:lpstr>
      <vt:lpstr>'DCF 2S B'!Print_Area</vt:lpstr>
      <vt:lpstr>'Growth &amp; Beta'!Print_Area</vt:lpstr>
      <vt:lpstr>WACC!Print_Area</vt:lpstr>
      <vt:lpstr>'1.2 SR Allowed ROE'!Print_Titles</vt:lpstr>
      <vt:lpstr>'Comp Detail'!Print_Titles</vt:lpstr>
      <vt:lpstr>'DCF 2S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laurieharris</cp:lastModifiedBy>
  <cp:lastPrinted>2014-01-07T17:51:32Z</cp:lastPrinted>
  <dcterms:created xsi:type="dcterms:W3CDTF">2005-04-13T20:46:41Z</dcterms:created>
  <dcterms:modified xsi:type="dcterms:W3CDTF">2014-01-07T23:24:04Z</dcterms:modified>
</cp:coreProperties>
</file>