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30720" windowHeight="14055" activeTab="1"/>
  </bookViews>
  <sheets>
    <sheet name="Asphalt Production" sheetId="1" r:id="rId1"/>
    <sheet name="IS Cost Comparison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/>
  <c r="I12" i="4"/>
  <c r="I19"/>
  <c r="E12"/>
  <c r="E19"/>
  <c r="D23" i="1"/>
  <c r="E23"/>
  <c r="F23"/>
  <c r="G23"/>
  <c r="H23"/>
  <c r="I23"/>
  <c r="J23"/>
  <c r="K23"/>
  <c r="L23"/>
  <c r="M23"/>
  <c r="N23"/>
  <c r="D15"/>
  <c r="E15"/>
  <c r="F15"/>
  <c r="G15"/>
  <c r="H15"/>
  <c r="I15"/>
  <c r="J15"/>
  <c r="K15"/>
  <c r="L15"/>
  <c r="M15"/>
  <c r="N15"/>
  <c r="C23"/>
  <c r="C15"/>
  <c r="N18" i="4"/>
  <c r="J18"/>
  <c r="F18"/>
  <c r="O18"/>
  <c r="K18"/>
  <c r="G18"/>
  <c r="O17"/>
  <c r="K17"/>
  <c r="G17"/>
  <c r="O16"/>
  <c r="K16"/>
  <c r="G16"/>
  <c r="O14"/>
  <c r="K14"/>
  <c r="G14"/>
  <c r="N12"/>
  <c r="N19"/>
  <c r="M12"/>
  <c r="M19"/>
  <c r="J12"/>
  <c r="F12"/>
  <c r="F19"/>
  <c r="O11"/>
  <c r="K11"/>
  <c r="G11"/>
  <c r="O10"/>
  <c r="K10"/>
  <c r="G10"/>
  <c r="O9"/>
  <c r="K9"/>
  <c r="G9"/>
  <c r="G19"/>
  <c r="J19"/>
  <c r="K19"/>
  <c r="O19"/>
  <c r="K12"/>
  <c r="G12"/>
  <c r="O12"/>
  <c r="D7" i="1"/>
  <c r="D11"/>
  <c r="E7"/>
  <c r="E11"/>
  <c r="E16"/>
  <c r="F7"/>
  <c r="F11"/>
  <c r="G7"/>
  <c r="G11"/>
  <c r="H7"/>
  <c r="H11"/>
  <c r="I7"/>
  <c r="I11"/>
  <c r="I16"/>
  <c r="J7"/>
  <c r="J11"/>
  <c r="K7"/>
  <c r="K11"/>
  <c r="L7"/>
  <c r="L11"/>
  <c r="M7"/>
  <c r="M11"/>
  <c r="M16"/>
  <c r="N7"/>
  <c r="N11"/>
  <c r="C7"/>
  <c r="N24"/>
  <c r="N17"/>
  <c r="N25"/>
  <c r="N16"/>
  <c r="N18"/>
  <c r="J24"/>
  <c r="J17"/>
  <c r="J25"/>
  <c r="J16"/>
  <c r="J18"/>
  <c r="H24"/>
  <c r="H16"/>
  <c r="H17"/>
  <c r="H25"/>
  <c r="D24"/>
  <c r="D16"/>
  <c r="D17"/>
  <c r="D25"/>
  <c r="M25"/>
  <c r="M17"/>
  <c r="M18"/>
  <c r="M24"/>
  <c r="K25"/>
  <c r="K24"/>
  <c r="K17"/>
  <c r="I25"/>
  <c r="I24"/>
  <c r="I17"/>
  <c r="I18"/>
  <c r="G25"/>
  <c r="G17"/>
  <c r="G24"/>
  <c r="E25"/>
  <c r="E24"/>
  <c r="E17"/>
  <c r="G16"/>
  <c r="K16"/>
  <c r="L24"/>
  <c r="L16"/>
  <c r="L17"/>
  <c r="L25"/>
  <c r="F24"/>
  <c r="F17"/>
  <c r="F25"/>
  <c r="F16"/>
  <c r="F18"/>
  <c r="O7"/>
  <c r="C11"/>
  <c r="I19"/>
  <c r="L18"/>
  <c r="E18"/>
  <c r="E19"/>
  <c r="G18"/>
  <c r="D18"/>
  <c r="H18"/>
  <c r="G19"/>
  <c r="M19"/>
  <c r="K18"/>
  <c r="K19"/>
  <c r="C25"/>
  <c r="C16"/>
  <c r="F26"/>
  <c r="F27"/>
  <c r="L26"/>
  <c r="L27"/>
  <c r="K26"/>
  <c r="K27"/>
  <c r="M26"/>
  <c r="M27"/>
  <c r="M29"/>
  <c r="M30"/>
  <c r="D26"/>
  <c r="D27"/>
  <c r="H26"/>
  <c r="H27"/>
  <c r="J26"/>
  <c r="J27"/>
  <c r="N26"/>
  <c r="N27"/>
  <c r="O11"/>
  <c r="E26"/>
  <c r="E27"/>
  <c r="E29"/>
  <c r="E30"/>
  <c r="G26"/>
  <c r="G27"/>
  <c r="I26"/>
  <c r="I27"/>
  <c r="I29"/>
  <c r="I30"/>
  <c r="C17"/>
  <c r="C24"/>
  <c r="C26"/>
  <c r="H19"/>
  <c r="D19"/>
  <c r="L19"/>
  <c r="N19"/>
  <c r="F19"/>
  <c r="J19"/>
  <c r="C27"/>
  <c r="C18"/>
  <c r="C19"/>
  <c r="G29"/>
  <c r="G30"/>
  <c r="H29"/>
  <c r="H30"/>
  <c r="K29"/>
  <c r="K30"/>
  <c r="F29"/>
  <c r="F30"/>
  <c r="J29"/>
  <c r="J30"/>
  <c r="L29"/>
  <c r="L30"/>
  <c r="N29"/>
  <c r="N30"/>
  <c r="O27"/>
  <c r="D29"/>
  <c r="D30"/>
  <c r="C29"/>
  <c r="C30"/>
  <c r="O19"/>
  <c r="O29"/>
  <c r="O30"/>
</calcChain>
</file>

<file path=xl/sharedStrings.xml><?xml version="1.0" encoding="utf-8"?>
<sst xmlns="http://schemas.openxmlformats.org/spreadsheetml/2006/main" count="63" uniqueCount="53">
  <si>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</si>
  <si>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</si>
  <si>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</si>
  <si>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</si>
  <si>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</si>
  <si>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</si>
  <si>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</si>
  <si>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</si>
  <si>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</si>
  <si>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</si>
  <si>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</si>
  <si>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</si>
  <si>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Avg. Annual Asphalt Production- Utah</t>
  </si>
  <si>
    <t>Seasonalization</t>
  </si>
  <si>
    <t>Monthly Production (Tons)</t>
  </si>
  <si>
    <t>Total Decatherm Usage</t>
  </si>
  <si>
    <t>Tons per Decatherm</t>
  </si>
  <si>
    <t>4.02 IS RATE SCHEDULE</t>
  </si>
  <si>
    <t>IS VOLUMETRIC RATES COMPARISON</t>
  </si>
  <si>
    <t>Rates Per Dth Used Each Month</t>
  </si>
  <si>
    <t>Dth = decatherm = 10 therms = 1,000,000 Btu</t>
  </si>
  <si>
    <t>CURRENT</t>
  </si>
  <si>
    <t>PROPOSED</t>
  </si>
  <si>
    <t>DIFFERENCE</t>
  </si>
  <si>
    <t>First 2,000 Dth</t>
  </si>
  <si>
    <t>Next 18,000 Dth</t>
  </si>
  <si>
    <t>20,000 Dth +</t>
  </si>
  <si>
    <t>Base DNG</t>
  </si>
  <si>
    <t>Energy Assistance</t>
  </si>
  <si>
    <t>Infrastructure Rate Adjustment</t>
  </si>
  <si>
    <t>Distribution Non-Gas Rate</t>
  </si>
  <si>
    <t>Supplier Non-Gas Rate</t>
  </si>
  <si>
    <t>Base Gas Cost</t>
  </si>
  <si>
    <t>191 Amortization</t>
  </si>
  <si>
    <t>Commodity Rate</t>
  </si>
  <si>
    <t>Total Rate</t>
  </si>
  <si>
    <t>Proposed IS Rate Sheet</t>
  </si>
  <si>
    <t>Current IS Rate Sheet - October 2013</t>
  </si>
  <si>
    <t>October IS Rate Sheet showing Commodity Cost</t>
  </si>
  <si>
    <t>Tons Produced Annually</t>
  </si>
  <si>
    <t>Cost Increase by month</t>
  </si>
  <si>
    <t>Percent Increase by month</t>
  </si>
  <si>
    <t xml:space="preserve">Tier 1 Consumption </t>
  </si>
  <si>
    <t xml:space="preserve">Tier 2 Consumption </t>
  </si>
  <si>
    <t>Tier 1 Consumption</t>
  </si>
  <si>
    <t>Tier 2 Consumption</t>
  </si>
  <si>
    <t>Commodity Cost (Proposed)</t>
  </si>
  <si>
    <t>Basic Service Fee @$434</t>
  </si>
  <si>
    <t>Basic Service Fee @$274</t>
  </si>
  <si>
    <t>Commodity Cost (Average 12/2012 - 11/2013)</t>
  </si>
  <si>
    <t>Municipal Energy Tax @ 6%</t>
  </si>
  <si>
    <r>
      <t>Assumptions:</t>
    </r>
    <r>
      <rPr>
        <b/>
        <sz val="11"/>
        <color rgb="FF0000FF"/>
        <rFont val="Calibri"/>
        <family val="2"/>
        <scheme val="minor"/>
      </rPr>
      <t xml:space="preserve"> Current Costs</t>
    </r>
  </si>
  <si>
    <r>
      <t xml:space="preserve">Assumptions: </t>
    </r>
    <r>
      <rPr>
        <b/>
        <sz val="11"/>
        <color rgb="FF00CC00"/>
        <rFont val="Calibri"/>
        <family val="2"/>
        <scheme val="minor"/>
      </rPr>
      <t>Proposed Costs</t>
    </r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</si>
</sst>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#,##0.00000_);\(#,##0.00000\)"/>
    <numFmt numFmtId="167" formatCode="&quot;$&quot;#,##0.00"/>
    <numFmt numFmtId="168" formatCode="&quot;$&quot;#,##0.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33CC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color theme="0" tint="-0.34998626667073579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7" fillId="0" borderId="0" xfId="0" applyNumberFormat="1" applyFont="1"/>
    <xf numFmtId="165" fontId="3" fillId="0" borderId="0" xfId="0" applyNumberFormat="1" applyFont="1"/>
    <xf numFmtId="165" fontId="3" fillId="3" borderId="0" xfId="0" applyNumberFormat="1" applyFont="1" applyFill="1"/>
    <xf numFmtId="165" fontId="3" fillId="0" borderId="1" xfId="0" applyNumberFormat="1" applyFont="1" applyBorder="1"/>
    <xf numFmtId="166" fontId="7" fillId="0" borderId="0" xfId="0" applyNumberFormat="1" applyFont="1"/>
    <xf numFmtId="166" fontId="3" fillId="0" borderId="0" xfId="0" applyNumberFormat="1" applyFont="1"/>
    <xf numFmtId="166" fontId="3" fillId="0" borderId="1" xfId="0" applyNumberFormat="1" applyFont="1" applyBorder="1"/>
    <xf numFmtId="166" fontId="7" fillId="0" borderId="2" xfId="0" applyNumberFormat="1" applyFont="1" applyBorder="1"/>
    <xf numFmtId="166" fontId="3" fillId="0" borderId="2" xfId="0" applyNumberFormat="1" applyFont="1" applyBorder="1"/>
    <xf numFmtId="165" fontId="3" fillId="3" borderId="2" xfId="0" applyNumberFormat="1" applyFont="1" applyFill="1" applyBorder="1"/>
    <xf numFmtId="166" fontId="3" fillId="0" borderId="3" xfId="0" applyNumberFormat="1" applyFont="1" applyBorder="1"/>
    <xf numFmtId="165" fontId="8" fillId="0" borderId="0" xfId="0" applyNumberFormat="1" applyFont="1"/>
    <xf numFmtId="165" fontId="2" fillId="0" borderId="0" xfId="0" applyNumberFormat="1" applyFont="1"/>
    <xf numFmtId="165" fontId="2" fillId="3" borderId="0" xfId="0" applyNumberFormat="1" applyFont="1" applyFill="1"/>
    <xf numFmtId="165" fontId="2" fillId="0" borderId="1" xfId="0" applyNumberFormat="1" applyFont="1" applyBorder="1"/>
    <xf numFmtId="166" fontId="8" fillId="0" borderId="0" xfId="0" applyNumberFormat="1" applyFont="1"/>
    <xf numFmtId="166" fontId="2" fillId="0" borderId="0" xfId="0" applyNumberFormat="1" applyFont="1"/>
    <xf numFmtId="166" fontId="2" fillId="0" borderId="1" xfId="0" applyNumberFormat="1" applyFont="1" applyBorder="1"/>
    <xf numFmtId="0" fontId="2" fillId="0" borderId="4" xfId="0" applyFont="1" applyBorder="1"/>
    <xf numFmtId="0" fontId="3" fillId="0" borderId="4" xfId="0" applyFont="1" applyBorder="1"/>
    <xf numFmtId="165" fontId="8" fillId="0" borderId="4" xfId="0" applyNumberFormat="1" applyFont="1" applyBorder="1"/>
    <xf numFmtId="165" fontId="2" fillId="0" borderId="4" xfId="0" applyNumberFormat="1" applyFont="1" applyBorder="1"/>
    <xf numFmtId="165" fontId="2" fillId="3" borderId="4" xfId="0" applyNumberFormat="1" applyFont="1" applyFill="1" applyBorder="1"/>
    <xf numFmtId="165" fontId="2" fillId="0" borderId="5" xfId="0" applyNumberFormat="1" applyFont="1" applyBorder="1"/>
    <xf numFmtId="0" fontId="2" fillId="4" borderId="0" xfId="0" applyFont="1" applyFill="1"/>
    <xf numFmtId="0" fontId="3" fillId="4" borderId="0" xfId="0" applyFont="1" applyFill="1"/>
    <xf numFmtId="167" fontId="0" fillId="0" borderId="0" xfId="0" applyNumberFormat="1"/>
    <xf numFmtId="0" fontId="0" fillId="0" borderId="6" xfId="0" applyBorder="1"/>
    <xf numFmtId="9" fontId="0" fillId="0" borderId="6" xfId="2" applyFont="1" applyBorder="1"/>
    <xf numFmtId="164" fontId="0" fillId="0" borderId="6" xfId="1" applyNumberFormat="1" applyFont="1" applyBorder="1"/>
    <xf numFmtId="43" fontId="0" fillId="0" borderId="6" xfId="1" applyFont="1" applyBorder="1"/>
    <xf numFmtId="9" fontId="0" fillId="0" borderId="6" xfId="0" applyNumberFormat="1" applyBorder="1"/>
    <xf numFmtId="167" fontId="0" fillId="0" borderId="6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10" fontId="0" fillId="0" borderId="6" xfId="0" applyNumberFormat="1" applyBorder="1"/>
    <xf numFmtId="37" fontId="0" fillId="2" borderId="6" xfId="1" applyNumberFormat="1" applyFont="1" applyFill="1" applyBorder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/>
    <xf numFmtId="0" fontId="9" fillId="0" borderId="0" xfId="0" applyFont="1"/>
    <xf numFmtId="0" fontId="9" fillId="0" borderId="7" xfId="0" applyFont="1" applyBorder="1"/>
    <xf numFmtId="0" fontId="9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22</xdr:row>
      <xdr:rowOff>83820</xdr:rowOff>
    </xdr:from>
    <xdr:to>
      <xdr:col>17</xdr:col>
      <xdr:colOff>81915</xdr:colOff>
      <xdr:row>38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4700" y="3832860"/>
          <a:ext cx="4371975" cy="2748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</xdr:colOff>
      <xdr:row>46</xdr:row>
      <xdr:rowOff>99060</xdr:rowOff>
    </xdr:from>
    <xdr:to>
      <xdr:col>8</xdr:col>
      <xdr:colOff>960120</xdr:colOff>
      <xdr:row>61</xdr:row>
      <xdr:rowOff>30480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" y="8054340"/>
          <a:ext cx="6004560" cy="2560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22</xdr:row>
      <xdr:rowOff>62656</xdr:rowOff>
    </xdr:from>
    <xdr:to>
      <xdr:col>8</xdr:col>
      <xdr:colOff>831874</xdr:colOff>
      <xdr:row>44</xdr:row>
      <xdr:rowOff>106680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" y="3811696"/>
          <a:ext cx="5838214" cy="38997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G2" sqref="G2"/>
    </sheetView>
  </sheetViews>
  <sheetFormatPr defaultColWidth="8.85546875" defaultRowHeight="15"/>
  <cols>
    <col min="1" max="1" width="40.140625" bestFit="1" customWidth="1"/>
    <col min="2" max="2" width="8.42578125" bestFit="1" customWidth="1"/>
    <col min="3" max="4" width="9.7109375" bestFit="1" customWidth="1"/>
    <col min="5" max="7" width="12" bestFit="1" customWidth="1"/>
    <col min="8" max="8" width="13.140625" customWidth="1"/>
    <col min="9" max="12" width="12" bestFit="1" customWidth="1"/>
    <col min="13" max="13" width="11" bestFit="1" customWidth="1"/>
    <col min="14" max="14" width="12" bestFit="1" customWidth="1"/>
    <col min="15" max="15" width="12.42578125" bestFit="1" customWidth="1"/>
  </cols>
  <sheetData>
    <row r="1" spans="1:15">
      <c r="A1" s="53" t="s">
        <v>12</v>
      </c>
      <c r="B1" s="41"/>
      <c r="F1" s="1"/>
      <c r="G1" s="50">
        <v>120000</v>
      </c>
      <c r="H1" s="41" t="s">
        <v>39</v>
      </c>
      <c r="I1" s="41"/>
    </row>
    <row r="2" spans="1:15">
      <c r="A2" s="54"/>
    </row>
    <row r="3" spans="1:15" s="52" customFormat="1">
      <c r="A3" s="51"/>
      <c r="B3" s="51"/>
      <c r="C3" s="51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1" t="s">
        <v>10</v>
      </c>
      <c r="N3" s="51" t="s">
        <v>11</v>
      </c>
      <c r="O3" s="51"/>
    </row>
    <row r="4" spans="1:15">
      <c r="A4" s="5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53" t="s">
        <v>13</v>
      </c>
      <c r="B5" s="41"/>
      <c r="C5" s="42">
        <v>0</v>
      </c>
      <c r="D5" s="42">
        <v>0</v>
      </c>
      <c r="E5" s="42">
        <v>2.667151737919226E-2</v>
      </c>
      <c r="F5" s="42">
        <v>8.2280855162829056E-2</v>
      </c>
      <c r="G5" s="42">
        <v>9.5019599117970102E-2</v>
      </c>
      <c r="H5" s="42">
        <v>0.14389430289154945</v>
      </c>
      <c r="I5" s="42">
        <v>0.12227970503882274</v>
      </c>
      <c r="J5" s="42">
        <v>0.13677649067277359</v>
      </c>
      <c r="K5" s="42">
        <v>0.14916605139283201</v>
      </c>
      <c r="L5" s="42">
        <v>0.13259580703053711</v>
      </c>
      <c r="M5" s="42">
        <v>7.1057133561724703E-2</v>
      </c>
      <c r="N5" s="42">
        <v>4.0258537751768769E-2</v>
      </c>
      <c r="O5" s="42">
        <v>0.99999999999999978</v>
      </c>
    </row>
    <row r="6" spans="1:15">
      <c r="A6" s="5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>
      <c r="A7" s="53" t="s">
        <v>14</v>
      </c>
      <c r="B7" s="41"/>
      <c r="C7" s="43">
        <f>$G$1*C5</f>
        <v>0</v>
      </c>
      <c r="D7" s="43">
        <f t="shared" ref="D7:N7" si="0">$G$1*D5</f>
        <v>0</v>
      </c>
      <c r="E7" s="43">
        <f t="shared" si="0"/>
        <v>3200.5820855030711</v>
      </c>
      <c r="F7" s="43">
        <f t="shared" si="0"/>
        <v>9873.7026195394865</v>
      </c>
      <c r="G7" s="43">
        <f t="shared" si="0"/>
        <v>11402.351894156413</v>
      </c>
      <c r="H7" s="43">
        <f t="shared" si="0"/>
        <v>17267.316346985932</v>
      </c>
      <c r="I7" s="43">
        <f t="shared" si="0"/>
        <v>14673.564604658728</v>
      </c>
      <c r="J7" s="43">
        <f t="shared" si="0"/>
        <v>16413.17888073283</v>
      </c>
      <c r="K7" s="43">
        <f t="shared" si="0"/>
        <v>17899.926167139842</v>
      </c>
      <c r="L7" s="43">
        <f t="shared" si="0"/>
        <v>15911.496843664454</v>
      </c>
      <c r="M7" s="43">
        <f t="shared" si="0"/>
        <v>8526.8560274069641</v>
      </c>
      <c r="N7" s="43">
        <f t="shared" si="0"/>
        <v>4831.0245302122521</v>
      </c>
      <c r="O7" s="43">
        <f>SUM(C7:N7)</f>
        <v>119999.99999999997</v>
      </c>
    </row>
    <row r="8" spans="1:15">
      <c r="A8" s="5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>
      <c r="A9" s="53" t="s">
        <v>16</v>
      </c>
      <c r="B9" s="41"/>
      <c r="C9" s="43">
        <v>4</v>
      </c>
      <c r="D9" s="43">
        <v>4</v>
      </c>
      <c r="E9" s="43">
        <v>4</v>
      </c>
      <c r="F9" s="43">
        <v>4</v>
      </c>
      <c r="G9" s="43">
        <v>4</v>
      </c>
      <c r="H9" s="43">
        <v>4</v>
      </c>
      <c r="I9" s="43">
        <v>4</v>
      </c>
      <c r="J9" s="43">
        <v>4</v>
      </c>
      <c r="K9" s="43">
        <v>4</v>
      </c>
      <c r="L9" s="43">
        <v>4</v>
      </c>
      <c r="M9" s="43">
        <v>4</v>
      </c>
      <c r="N9" s="43">
        <v>4</v>
      </c>
      <c r="O9" s="41"/>
    </row>
    <row r="10" spans="1:15">
      <c r="A10" s="5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53" t="s">
        <v>15</v>
      </c>
      <c r="B11" s="41"/>
      <c r="C11" s="44">
        <f>C7/C9</f>
        <v>0</v>
      </c>
      <c r="D11" s="44">
        <f t="shared" ref="D11:N11" si="1">D7/D9</f>
        <v>0</v>
      </c>
      <c r="E11" s="44">
        <f t="shared" si="1"/>
        <v>800.14552137576777</v>
      </c>
      <c r="F11" s="44">
        <f t="shared" si="1"/>
        <v>2468.4256548848716</v>
      </c>
      <c r="G11" s="44">
        <f t="shared" si="1"/>
        <v>2850.5879735391031</v>
      </c>
      <c r="H11" s="44">
        <f t="shared" si="1"/>
        <v>4316.829086746483</v>
      </c>
      <c r="I11" s="44">
        <f t="shared" si="1"/>
        <v>3668.391151164682</v>
      </c>
      <c r="J11" s="44">
        <f t="shared" si="1"/>
        <v>4103.2947201832076</v>
      </c>
      <c r="K11" s="44">
        <f t="shared" si="1"/>
        <v>4474.9815417849604</v>
      </c>
      <c r="L11" s="44">
        <f t="shared" si="1"/>
        <v>3977.8742109161135</v>
      </c>
      <c r="M11" s="44">
        <f t="shared" si="1"/>
        <v>2131.714006851741</v>
      </c>
      <c r="N11" s="44">
        <f t="shared" si="1"/>
        <v>1207.756132553063</v>
      </c>
      <c r="O11" s="43">
        <f>SUM(C11:N11)</f>
        <v>29999.999999999993</v>
      </c>
    </row>
    <row r="12" spans="1:15">
      <c r="A12" s="54"/>
    </row>
    <row r="13" spans="1:15">
      <c r="A13" s="53" t="s">
        <v>51</v>
      </c>
      <c r="B13" s="41"/>
    </row>
    <row r="14" spans="1:15">
      <c r="A14" s="53" t="s">
        <v>49</v>
      </c>
      <c r="B14" s="47">
        <f>'IS Cost Comparison'!E18</f>
        <v>3.66873</v>
      </c>
    </row>
    <row r="15" spans="1:15">
      <c r="A15" s="53" t="s">
        <v>48</v>
      </c>
      <c r="B15" s="47"/>
      <c r="C15" s="46">
        <f>274</f>
        <v>274</v>
      </c>
      <c r="D15" s="46">
        <f>274</f>
        <v>274</v>
      </c>
      <c r="E15" s="46">
        <f>274</f>
        <v>274</v>
      </c>
      <c r="F15" s="46">
        <f>274</f>
        <v>274</v>
      </c>
      <c r="G15" s="46">
        <f>274</f>
        <v>274</v>
      </c>
      <c r="H15" s="46">
        <f>274</f>
        <v>274</v>
      </c>
      <c r="I15" s="46">
        <f>274</f>
        <v>274</v>
      </c>
      <c r="J15" s="46">
        <f>274</f>
        <v>274</v>
      </c>
      <c r="K15" s="46">
        <f>274</f>
        <v>274</v>
      </c>
      <c r="L15" s="46">
        <f>274</f>
        <v>274</v>
      </c>
      <c r="M15" s="46">
        <f>274</f>
        <v>274</v>
      </c>
      <c r="N15" s="46">
        <f>274</f>
        <v>274</v>
      </c>
    </row>
    <row r="16" spans="1:15">
      <c r="A16" s="53" t="s">
        <v>42</v>
      </c>
      <c r="B16" s="45"/>
      <c r="C16" s="46">
        <f>IF(C11&gt;2000,2000*'IS Cost Comparison'!$E$19,C11*'IS Cost Comparison'!$E$19)</f>
        <v>0</v>
      </c>
      <c r="D16" s="46">
        <f>IF(D11&gt;2000,2000*'IS Cost Comparison'!$E$19,D11*'IS Cost Comparison'!$E$19)</f>
        <v>0</v>
      </c>
      <c r="E16" s="46">
        <f>IF(E11&gt;2000,2000*'IS Cost Comparison'!$E$19,E11*'IS Cost Comparison'!$E$19)</f>
        <v>3286.1896548350642</v>
      </c>
      <c r="F16" s="46">
        <f>IF(F11&gt;2000,2000*'IS Cost Comparison'!$E$19,F11*'IS Cost Comparison'!$E$19)</f>
        <v>8213.98</v>
      </c>
      <c r="G16" s="46">
        <f>IF(G11&gt;2000,2000*'IS Cost Comparison'!$E$19,G11*'IS Cost Comparison'!$E$19)</f>
        <v>8213.98</v>
      </c>
      <c r="H16" s="46">
        <f>IF(H11&gt;2000,2000*'IS Cost Comparison'!$E$19,H11*'IS Cost Comparison'!$E$19)</f>
        <v>8213.98</v>
      </c>
      <c r="I16" s="46">
        <f>IF(I11&gt;2000,2000*'IS Cost Comparison'!$E$19,I11*'IS Cost Comparison'!$E$19)</f>
        <v>8213.98</v>
      </c>
      <c r="J16" s="46">
        <f>IF(J11&gt;2000,2000*'IS Cost Comparison'!$E$19,J11*'IS Cost Comparison'!$E$19)</f>
        <v>8213.98</v>
      </c>
      <c r="K16" s="46">
        <f>IF(K11&gt;2000,2000*'IS Cost Comparison'!$E$19,K11*'IS Cost Comparison'!$E$19)</f>
        <v>8213.98</v>
      </c>
      <c r="L16" s="46">
        <f>IF(L11&gt;2000,2000*'IS Cost Comparison'!$E$19,L11*'IS Cost Comparison'!$E$19)</f>
        <v>8213.98</v>
      </c>
      <c r="M16" s="46">
        <f>IF(M11&gt;2000,2000*'IS Cost Comparison'!$E$19,M11*'IS Cost Comparison'!$E$19)</f>
        <v>8213.98</v>
      </c>
      <c r="N16" s="46">
        <f>IF(N11&gt;2000,2000*'IS Cost Comparison'!$E$19,N11*'IS Cost Comparison'!$E$19)</f>
        <v>4960.2423588341044</v>
      </c>
      <c r="O16" s="40"/>
    </row>
    <row r="17" spans="1:15">
      <c r="A17" s="53" t="s">
        <v>43</v>
      </c>
      <c r="B17" s="45"/>
      <c r="C17" s="46">
        <f>IF(C11&gt;2000,(C11-2000)*'IS Cost Comparison'!$I$19,0)</f>
        <v>0</v>
      </c>
      <c r="D17" s="46">
        <f>IF(D11&gt;2000,(D11-2000)*'IS Cost Comparison'!$I$19,0)</f>
        <v>0</v>
      </c>
      <c r="E17" s="46">
        <f>IF(E11&gt;2000,(E11-2000)*'IS Cost Comparison'!$I$19,0)</f>
        <v>0</v>
      </c>
      <c r="F17" s="46">
        <f>IF(F11&gt;2000,(F11-2000)*'IS Cost Comparison'!$I$19,0)</f>
        <v>1914.4041246924332</v>
      </c>
      <c r="G17" s="46">
        <f>IF(G11&gt;2000,(G11-2000)*'IS Cost Comparison'!$I$19,0)</f>
        <v>3476.2594831772253</v>
      </c>
      <c r="H17" s="46">
        <f>IF(H11&gt;2000,(H11-2000)*'IS Cost Comparison'!$I$19,0)</f>
        <v>9468.6256263333344</v>
      </c>
      <c r="I17" s="46">
        <f>IF(I11&gt;2000,(I11-2000)*'IS Cost Comparison'!$I$19,0)</f>
        <v>6818.5311117834281</v>
      </c>
      <c r="J17" s="46">
        <f>IF(J11&gt;2000,(J11-2000)*'IS Cost Comparison'!$I$19,0)</f>
        <v>8595.9341589695505</v>
      </c>
      <c r="K17" s="46">
        <f>IF(K11&gt;2000,(K11-2000)*'IS Cost Comparison'!$I$19,0)</f>
        <v>10114.977313305539</v>
      </c>
      <c r="L17" s="46">
        <f>IF(L11&gt;2000,(L11-2000)*'IS Cost Comparison'!$I$19,0)</f>
        <v>8083.3543338509562</v>
      </c>
      <c r="M17" s="46">
        <f>IF(M11&gt;2000,(M11-2000)*'IS Cost Comparison'!$I$19,0)</f>
        <v>538.30065746231196</v>
      </c>
      <c r="N17" s="46">
        <f>IF(N11&gt;2000,(N11-2000)*'IS Cost Comparison'!$I$19,0)</f>
        <v>0</v>
      </c>
      <c r="O17" s="40"/>
    </row>
    <row r="18" spans="1:15">
      <c r="A18" s="53" t="s">
        <v>50</v>
      </c>
      <c r="B18" s="45"/>
      <c r="C18" s="46">
        <f>(SUM(C15:C17))*0.06</f>
        <v>16.439999999999998</v>
      </c>
      <c r="D18" s="46">
        <f t="shared" ref="D18:N18" si="2">(SUM(D15:D17))*0.06</f>
        <v>16.439999999999998</v>
      </c>
      <c r="E18" s="46">
        <f t="shared" si="2"/>
        <v>213.61137929010386</v>
      </c>
      <c r="F18" s="46">
        <f t="shared" si="2"/>
        <v>624.14304748154598</v>
      </c>
      <c r="G18" s="46">
        <f t="shared" si="2"/>
        <v>717.85436899063347</v>
      </c>
      <c r="H18" s="46">
        <f t="shared" si="2"/>
        <v>1077.3963375799999</v>
      </c>
      <c r="I18" s="46">
        <f t="shared" si="2"/>
        <v>918.39066670700561</v>
      </c>
      <c r="J18" s="46">
        <f t="shared" si="2"/>
        <v>1025.0348495381729</v>
      </c>
      <c r="K18" s="46">
        <f t="shared" si="2"/>
        <v>1116.1774387983323</v>
      </c>
      <c r="L18" s="46">
        <f t="shared" si="2"/>
        <v>994.28006003105725</v>
      </c>
      <c r="M18" s="46">
        <f t="shared" si="2"/>
        <v>541.57683944773873</v>
      </c>
      <c r="N18" s="46">
        <f t="shared" si="2"/>
        <v>314.05454153004627</v>
      </c>
      <c r="O18" s="40"/>
    </row>
    <row r="19" spans="1:15">
      <c r="A19" s="53"/>
      <c r="B19" s="45"/>
      <c r="C19" s="46">
        <f>SUM(C15:C18)</f>
        <v>290.44</v>
      </c>
      <c r="D19" s="46">
        <f t="shared" ref="D19:N19" si="3">SUM(D15:D18)</f>
        <v>290.44</v>
      </c>
      <c r="E19" s="46">
        <f t="shared" si="3"/>
        <v>3773.8010341251679</v>
      </c>
      <c r="F19" s="46">
        <f t="shared" si="3"/>
        <v>11026.527172173979</v>
      </c>
      <c r="G19" s="46">
        <f t="shared" si="3"/>
        <v>12682.093852167858</v>
      </c>
      <c r="H19" s="46">
        <f t="shared" si="3"/>
        <v>19034.001963913335</v>
      </c>
      <c r="I19" s="46">
        <f t="shared" si="3"/>
        <v>16224.901778490434</v>
      </c>
      <c r="J19" s="46">
        <f t="shared" si="3"/>
        <v>18108.949008507723</v>
      </c>
      <c r="K19" s="46">
        <f t="shared" si="3"/>
        <v>19719.13475210387</v>
      </c>
      <c r="L19" s="46">
        <f t="shared" si="3"/>
        <v>17565.614393882013</v>
      </c>
      <c r="M19" s="46">
        <f t="shared" si="3"/>
        <v>9567.85749691005</v>
      </c>
      <c r="N19" s="46">
        <f t="shared" si="3"/>
        <v>5548.296900364151</v>
      </c>
      <c r="O19" s="46">
        <f>SUM(C19:N19)</f>
        <v>133832.05835263859</v>
      </c>
    </row>
    <row r="20" spans="1:15">
      <c r="A20" s="54"/>
    </row>
    <row r="21" spans="1:15">
      <c r="A21" s="53" t="s">
        <v>52</v>
      </c>
      <c r="B21" s="41"/>
    </row>
    <row r="22" spans="1:15">
      <c r="A22" s="55" t="s">
        <v>46</v>
      </c>
      <c r="B22" s="48">
        <v>4.7903900000000004</v>
      </c>
    </row>
    <row r="23" spans="1:15">
      <c r="A23" s="53" t="s">
        <v>47</v>
      </c>
      <c r="B23" s="41"/>
      <c r="C23" s="46">
        <f>434</f>
        <v>434</v>
      </c>
      <c r="D23" s="46">
        <f>434</f>
        <v>434</v>
      </c>
      <c r="E23" s="46">
        <f>434</f>
        <v>434</v>
      </c>
      <c r="F23" s="46">
        <f>434</f>
        <v>434</v>
      </c>
      <c r="G23" s="46">
        <f>434</f>
        <v>434</v>
      </c>
      <c r="H23" s="46">
        <f>434</f>
        <v>434</v>
      </c>
      <c r="I23" s="46">
        <f>434</f>
        <v>434</v>
      </c>
      <c r="J23" s="46">
        <f>434</f>
        <v>434</v>
      </c>
      <c r="K23" s="46">
        <f>434</f>
        <v>434</v>
      </c>
      <c r="L23" s="46">
        <f>434</f>
        <v>434</v>
      </c>
      <c r="M23" s="46">
        <f>434</f>
        <v>434</v>
      </c>
      <c r="N23" s="46">
        <f>434</f>
        <v>434</v>
      </c>
    </row>
    <row r="24" spans="1:15">
      <c r="A24" s="53" t="s">
        <v>44</v>
      </c>
      <c r="B24" s="45"/>
      <c r="C24" s="46">
        <f>IF(C11&gt;2000,2000*'IS Cost Comparison'!$F$19,C11*'IS Cost Comparison'!$F$19)</f>
        <v>0</v>
      </c>
      <c r="D24" s="46">
        <f>IF(D11&gt;2000,2000*'IS Cost Comparison'!$F$19,D11*'IS Cost Comparison'!$F$19)</f>
        <v>0</v>
      </c>
      <c r="E24" s="46">
        <f>IF(E11&gt;2000,2000*'IS Cost Comparison'!$F$19,E11*'IS Cost Comparison'!$F$19)</f>
        <v>4447.4008427316476</v>
      </c>
      <c r="F24" s="46">
        <f>IF(F11&gt;2000,2000*'IS Cost Comparison'!$F$19,F11*'IS Cost Comparison'!$F$19)</f>
        <v>11116.480000000001</v>
      </c>
      <c r="G24" s="46">
        <f>IF(G11&gt;2000,2000*'IS Cost Comparison'!$F$19,G11*'IS Cost Comparison'!$F$19)</f>
        <v>11116.480000000001</v>
      </c>
      <c r="H24" s="46">
        <f>IF(H11&gt;2000,2000*'IS Cost Comparison'!$F$19,H11*'IS Cost Comparison'!$F$19)</f>
        <v>11116.480000000001</v>
      </c>
      <c r="I24" s="46">
        <f>IF(I11&gt;2000,2000*'IS Cost Comparison'!$F$19,I11*'IS Cost Comparison'!$F$19)</f>
        <v>11116.480000000001</v>
      </c>
      <c r="J24" s="46">
        <f>IF(J11&gt;2000,2000*'IS Cost Comparison'!$F$19,J11*'IS Cost Comparison'!$F$19)</f>
        <v>11116.480000000001</v>
      </c>
      <c r="K24" s="46">
        <f>IF(K11&gt;2000,2000*'IS Cost Comparison'!$F$19,K11*'IS Cost Comparison'!$F$19)</f>
        <v>11116.480000000001</v>
      </c>
      <c r="L24" s="46">
        <f>IF(L11&gt;2000,2000*'IS Cost Comparison'!$F$19,L11*'IS Cost Comparison'!$F$19)</f>
        <v>11116.480000000001</v>
      </c>
      <c r="M24" s="46">
        <f>IF(M11&gt;2000,2000*'IS Cost Comparison'!$F$19,M11*'IS Cost Comparison'!$F$19)</f>
        <v>11116.480000000001</v>
      </c>
      <c r="N24" s="46">
        <f>IF(N11&gt;2000,2000*'IS Cost Comparison'!$F$19,N11*'IS Cost Comparison'!$F$19)</f>
        <v>6712.9984462017374</v>
      </c>
    </row>
    <row r="25" spans="1:15">
      <c r="A25" s="53" t="s">
        <v>45</v>
      </c>
      <c r="B25" s="45"/>
      <c r="C25" s="46">
        <f>IF(C11&gt;2000,((C11-2000)*'IS Cost Comparison'!$J$19),0)</f>
        <v>0</v>
      </c>
      <c r="D25" s="46">
        <f>IF(D11&gt;2000,((D11-2000)*'IS Cost Comparison'!$J$19),0)</f>
        <v>0</v>
      </c>
      <c r="E25" s="46">
        <f>IF(E11&gt;2000,((E11-2000)*'IS Cost Comparison'!$J$19),0)</f>
        <v>0</v>
      </c>
      <c r="F25" s="46">
        <f>IF(F11&gt;2000,((F11-2000)*'IS Cost Comparison'!$J$19),0)</f>
        <v>2385.7246501244931</v>
      </c>
      <c r="G25" s="46">
        <f>IF(G11&gt;2000,((G11-2000)*'IS Cost Comparison'!$J$19),0)</f>
        <v>4332.1040903927997</v>
      </c>
      <c r="H25" s="46">
        <f>IF(H11&gt;2000,((H11-2000)*'IS Cost Comparison'!$J$19),0)</f>
        <v>11799.772716835911</v>
      </c>
      <c r="I25" s="46">
        <f>IF(I11&gt;2000,((I11-2000)*'IS Cost Comparison'!$J$19),0)</f>
        <v>8497.2329202623077</v>
      </c>
      <c r="J25" s="46">
        <f>IF(J11&gt;2000,((J11-2000)*'IS Cost Comparison'!$J$19),0)</f>
        <v>10712.227240523489</v>
      </c>
      <c r="K25" s="46">
        <f>IF(K11&gt;2000,((K11-2000)*'IS Cost Comparison'!$J$19),0)</f>
        <v>12605.254241018729</v>
      </c>
      <c r="L25" s="46">
        <f>IF(L11&gt;2000,((L11-2000)*'IS Cost Comparison'!$J$19),0)</f>
        <v>10073.451807390531</v>
      </c>
      <c r="M25" s="46">
        <f>IF(M11&gt;2000,((M11-2000)*'IS Cost Comparison'!$J$19),0)</f>
        <v>670.82865687639674</v>
      </c>
      <c r="N25" s="46">
        <f>IF(N11&gt;2000,((N11-2000)*'IS Cost Comparison'!$J$19),0)</f>
        <v>0</v>
      </c>
    </row>
    <row r="26" spans="1:15">
      <c r="A26" s="53" t="s">
        <v>50</v>
      </c>
      <c r="B26" s="45"/>
      <c r="C26" s="46">
        <f>(SUM(C23:C25))*0.06</f>
        <v>26.04</v>
      </c>
      <c r="D26" s="46">
        <f t="shared" ref="D26:N26" si="4">(SUM(D23:D25))*0.06</f>
        <v>26.04</v>
      </c>
      <c r="E26" s="46">
        <f t="shared" si="4"/>
        <v>292.88405056389882</v>
      </c>
      <c r="F26" s="46">
        <f t="shared" si="4"/>
        <v>836.17227900746968</v>
      </c>
      <c r="G26" s="46">
        <f t="shared" si="4"/>
        <v>952.95504542356798</v>
      </c>
      <c r="H26" s="46">
        <f t="shared" si="4"/>
        <v>1401.0151630101548</v>
      </c>
      <c r="I26" s="46">
        <f t="shared" si="4"/>
        <v>1202.8627752157386</v>
      </c>
      <c r="J26" s="46">
        <f t="shared" si="4"/>
        <v>1335.7624344314095</v>
      </c>
      <c r="K26" s="46">
        <f t="shared" si="4"/>
        <v>1449.3440544611237</v>
      </c>
      <c r="L26" s="46">
        <f t="shared" si="4"/>
        <v>1297.4359084434318</v>
      </c>
      <c r="M26" s="46">
        <f t="shared" si="4"/>
        <v>733.27851941258382</v>
      </c>
      <c r="N26" s="46">
        <f t="shared" si="4"/>
        <v>428.81990677210422</v>
      </c>
    </row>
    <row r="27" spans="1:15">
      <c r="A27" s="53"/>
      <c r="B27" s="41"/>
      <c r="C27" s="46">
        <f>SUM(C23:C25)</f>
        <v>434</v>
      </c>
      <c r="D27" s="46">
        <f>SUM(D23:D26)</f>
        <v>460.04</v>
      </c>
      <c r="E27" s="46">
        <f t="shared" ref="E27:N27" si="5">SUM(E23:E26)</f>
        <v>5174.2848932955467</v>
      </c>
      <c r="F27" s="46">
        <f t="shared" si="5"/>
        <v>14772.376929131964</v>
      </c>
      <c r="G27" s="46">
        <f t="shared" si="5"/>
        <v>16835.539135816369</v>
      </c>
      <c r="H27" s="46">
        <f t="shared" si="5"/>
        <v>24751.267879846066</v>
      </c>
      <c r="I27" s="46">
        <f t="shared" si="5"/>
        <v>21250.575695478048</v>
      </c>
      <c r="J27" s="46">
        <f t="shared" si="5"/>
        <v>23598.4696749549</v>
      </c>
      <c r="K27" s="46">
        <f t="shared" si="5"/>
        <v>25605.078295479852</v>
      </c>
      <c r="L27" s="46">
        <f t="shared" si="5"/>
        <v>22921.367715833963</v>
      </c>
      <c r="M27" s="46">
        <f t="shared" si="5"/>
        <v>12954.587176288982</v>
      </c>
      <c r="N27" s="46">
        <f t="shared" si="5"/>
        <v>7575.8183529738417</v>
      </c>
      <c r="O27" s="46">
        <f>SUM(C27:N27)</f>
        <v>176333.40574909953</v>
      </c>
    </row>
    <row r="28" spans="1:15">
      <c r="A28" s="54"/>
    </row>
    <row r="29" spans="1:15">
      <c r="A29" s="56" t="s">
        <v>40</v>
      </c>
      <c r="B29" s="41"/>
      <c r="C29" s="46">
        <f>C27-C19</f>
        <v>143.56</v>
      </c>
      <c r="D29" s="46">
        <f t="shared" ref="D29:M29" si="6">D27-D19</f>
        <v>169.60000000000002</v>
      </c>
      <c r="E29" s="46">
        <f t="shared" si="6"/>
        <v>1400.4838591703788</v>
      </c>
      <c r="F29" s="46">
        <f t="shared" si="6"/>
        <v>3745.8497569579849</v>
      </c>
      <c r="G29" s="46">
        <f t="shared" si="6"/>
        <v>4153.4452836485107</v>
      </c>
      <c r="H29" s="46">
        <f t="shared" si="6"/>
        <v>5717.2659159327304</v>
      </c>
      <c r="I29" s="46">
        <f t="shared" si="6"/>
        <v>5025.6739169876146</v>
      </c>
      <c r="J29" s="46">
        <f t="shared" si="6"/>
        <v>5489.5206664471771</v>
      </c>
      <c r="K29" s="46">
        <f t="shared" si="6"/>
        <v>5885.9435433759827</v>
      </c>
      <c r="L29" s="46">
        <f t="shared" si="6"/>
        <v>5355.7533219519501</v>
      </c>
      <c r="M29" s="46">
        <f t="shared" si="6"/>
        <v>3386.7296793789319</v>
      </c>
      <c r="N29" s="46">
        <f>N27-N19</f>
        <v>2027.5214526096906</v>
      </c>
      <c r="O29" s="46">
        <f>O27-O19</f>
        <v>42501.347396460944</v>
      </c>
    </row>
    <row r="30" spans="1:15">
      <c r="A30" s="56" t="s">
        <v>41</v>
      </c>
      <c r="B30" s="41"/>
      <c r="C30" s="49">
        <f>C29/C19</f>
        <v>0.49428453381076987</v>
      </c>
      <c r="D30" s="49">
        <f t="shared" ref="D30:N30" si="7">D29/D19</f>
        <v>0.58394160583941612</v>
      </c>
      <c r="E30" s="49">
        <f t="shared" si="7"/>
        <v>0.37110696788365133</v>
      </c>
      <c r="F30" s="49">
        <f t="shared" si="7"/>
        <v>0.3397125584935603</v>
      </c>
      <c r="G30" s="49">
        <f t="shared" si="7"/>
        <v>0.32750469536531046</v>
      </c>
      <c r="H30" s="49">
        <f t="shared" si="7"/>
        <v>0.30037119502100113</v>
      </c>
      <c r="I30" s="49">
        <f t="shared" si="7"/>
        <v>0.30975065276821684</v>
      </c>
      <c r="J30" s="49">
        <f t="shared" si="7"/>
        <v>0.30313855673612855</v>
      </c>
      <c r="K30" s="49">
        <f t="shared" si="7"/>
        <v>0.29848893561356699</v>
      </c>
      <c r="L30" s="49">
        <f t="shared" si="7"/>
        <v>0.30489985729262753</v>
      </c>
      <c r="M30" s="49">
        <f t="shared" si="7"/>
        <v>0.35396949426480068</v>
      </c>
      <c r="N30" s="49">
        <f t="shared" si="7"/>
        <v>0.36543131865863532</v>
      </c>
      <c r="O30" s="45">
        <f>O29/O19</f>
        <v>0.31757224628849923</v>
      </c>
    </row>
  </sheetData>
  <phoneticPr fontId="1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tabSelected="1" topLeftCell="A41" workbookViewId="0">
      <selection activeCell="J8" sqref="J8"/>
    </sheetView>
  </sheetViews>
  <sheetFormatPr defaultColWidth="8.85546875" defaultRowHeight="15"/>
  <cols>
    <col min="1" max="4" width="8.85546875" style="3"/>
    <col min="5" max="6" width="13.28515625" style="3" bestFit="1" customWidth="1"/>
    <col min="7" max="7" width="9.85546875" style="3" bestFit="1" customWidth="1"/>
    <col min="8" max="8" width="1.85546875" style="3" customWidth="1"/>
    <col min="9" max="9" width="14.85546875" style="3" customWidth="1"/>
    <col min="10" max="10" width="14.42578125" style="3" bestFit="1" customWidth="1"/>
    <col min="11" max="11" width="10.140625" style="3" bestFit="1" customWidth="1"/>
    <col min="12" max="12" width="1.85546875" style="3" customWidth="1"/>
    <col min="13" max="14" width="11.85546875" style="3" bestFit="1" customWidth="1"/>
    <col min="15" max="15" width="9.85546875" style="3" bestFit="1" customWidth="1"/>
    <col min="16" max="16384" width="8.85546875" style="3"/>
  </cols>
  <sheetData>
    <row r="2" spans="1:15">
      <c r="A2" s="2" t="s">
        <v>17</v>
      </c>
      <c r="B2" s="2"/>
    </row>
    <row r="3" spans="1:15">
      <c r="A3" s="2"/>
      <c r="B3" s="2"/>
    </row>
    <row r="4" spans="1:15">
      <c r="A4" s="4" t="s">
        <v>18</v>
      </c>
      <c r="B4" s="2"/>
    </row>
    <row r="5" spans="1:15" ht="14.45" customHeight="1">
      <c r="E5" s="57" t="s">
        <v>19</v>
      </c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4.45" customHeight="1">
      <c r="E6" s="57" t="s">
        <v>20</v>
      </c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5" customFormat="1">
      <c r="E7" s="6" t="s">
        <v>21</v>
      </c>
      <c r="F7" s="7" t="s">
        <v>22</v>
      </c>
      <c r="G7" s="8" t="s">
        <v>23</v>
      </c>
      <c r="H7" s="9"/>
      <c r="I7" s="6" t="s">
        <v>21</v>
      </c>
      <c r="J7" s="7" t="s">
        <v>22</v>
      </c>
      <c r="K7" s="8" t="s">
        <v>23</v>
      </c>
      <c r="L7" s="9"/>
      <c r="M7" s="6" t="s">
        <v>21</v>
      </c>
      <c r="N7" s="7" t="s">
        <v>22</v>
      </c>
      <c r="O7" s="8" t="s">
        <v>23</v>
      </c>
    </row>
    <row r="8" spans="1:15">
      <c r="E8" s="10" t="s">
        <v>24</v>
      </c>
      <c r="F8" s="11" t="s">
        <v>24</v>
      </c>
      <c r="G8" s="12"/>
      <c r="H8" s="13"/>
      <c r="I8" s="10" t="s">
        <v>25</v>
      </c>
      <c r="J8" s="11" t="s">
        <v>25</v>
      </c>
      <c r="K8" s="12"/>
      <c r="L8" s="13"/>
      <c r="M8" s="10" t="s">
        <v>26</v>
      </c>
      <c r="N8" s="11" t="s">
        <v>26</v>
      </c>
      <c r="O8" s="12"/>
    </row>
    <row r="9" spans="1:15">
      <c r="A9" s="3" t="s">
        <v>27</v>
      </c>
      <c r="E9" s="14">
        <v>0.23780999999999999</v>
      </c>
      <c r="F9" s="15">
        <v>0.56740000000000002</v>
      </c>
      <c r="G9" s="16">
        <f>F9-E9</f>
        <v>0.32959000000000005</v>
      </c>
      <c r="H9" s="17"/>
      <c r="I9" s="14">
        <v>0.21878</v>
      </c>
      <c r="J9" s="15">
        <v>0.1033</v>
      </c>
      <c r="K9" s="16">
        <f>J9-I9</f>
        <v>-0.11548</v>
      </c>
      <c r="L9" s="17"/>
      <c r="M9" s="14">
        <v>0.20127999999999999</v>
      </c>
      <c r="N9" s="15">
        <v>4.1500000000000002E-2</v>
      </c>
      <c r="O9" s="16">
        <f>N9-M9</f>
        <v>-0.15977999999999998</v>
      </c>
    </row>
    <row r="10" spans="1:15">
      <c r="A10" s="3" t="s">
        <v>28</v>
      </c>
      <c r="E10" s="18">
        <v>7.3200000000000001E-3</v>
      </c>
      <c r="F10" s="19">
        <v>7.3200000000000001E-3</v>
      </c>
      <c r="G10" s="16">
        <f>F10-E10</f>
        <v>0</v>
      </c>
      <c r="H10" s="20"/>
      <c r="I10" s="18">
        <v>7.3200000000000001E-3</v>
      </c>
      <c r="J10" s="19">
        <v>7.3200000000000001E-3</v>
      </c>
      <c r="K10" s="16">
        <f>J10-I10</f>
        <v>0</v>
      </c>
      <c r="L10" s="20"/>
      <c r="M10" s="18">
        <v>7.3200000000000001E-3</v>
      </c>
      <c r="N10" s="19">
        <v>7.3200000000000001E-3</v>
      </c>
      <c r="O10" s="16">
        <f>N10-M10</f>
        <v>0</v>
      </c>
    </row>
    <row r="11" spans="1:15">
      <c r="A11" s="3" t="s">
        <v>29</v>
      </c>
      <c r="E11" s="21">
        <v>1.3390000000000001E-2</v>
      </c>
      <c r="F11" s="22">
        <v>1.3390000000000001E-2</v>
      </c>
      <c r="G11" s="23">
        <f>F11-E11</f>
        <v>0</v>
      </c>
      <c r="H11" s="24"/>
      <c r="I11" s="21">
        <v>1.2319999999999999E-2</v>
      </c>
      <c r="J11" s="22">
        <v>1.2319999999999999E-2</v>
      </c>
      <c r="K11" s="23">
        <f t="shared" ref="K11:K19" si="0">J11-I11</f>
        <v>0</v>
      </c>
      <c r="L11" s="24"/>
      <c r="M11" s="21">
        <v>1.1339999999999999E-2</v>
      </c>
      <c r="N11" s="22">
        <v>1.1339999999999999E-2</v>
      </c>
      <c r="O11" s="23">
        <f t="shared" ref="O11:O19" si="1">N11-M11</f>
        <v>0</v>
      </c>
    </row>
    <row r="12" spans="1:15">
      <c r="A12" s="3" t="s">
        <v>30</v>
      </c>
      <c r="E12" s="25">
        <f>SUM(E9:E11)</f>
        <v>0.25851999999999997</v>
      </c>
      <c r="F12" s="26">
        <f>SUM(F9:F11)</f>
        <v>0.58811000000000002</v>
      </c>
      <c r="G12" s="27">
        <f>F12-E12</f>
        <v>0.32959000000000005</v>
      </c>
      <c r="H12" s="28"/>
      <c r="I12" s="25">
        <f>SUM(I9:I11)</f>
        <v>0.23841999999999999</v>
      </c>
      <c r="J12" s="26">
        <f>SUM(J9:J11)</f>
        <v>0.12293999999999999</v>
      </c>
      <c r="K12" s="27">
        <f t="shared" si="0"/>
        <v>-0.11548</v>
      </c>
      <c r="L12" s="28"/>
      <c r="M12" s="25">
        <f>SUM(M9:M11)</f>
        <v>0.21993999999999997</v>
      </c>
      <c r="N12" s="26">
        <f>SUM(N9:N11)</f>
        <v>6.0160000000000005E-2</v>
      </c>
      <c r="O12" s="27">
        <f t="shared" si="1"/>
        <v>-0.15977999999999998</v>
      </c>
    </row>
    <row r="13" spans="1:15" ht="9" customHeight="1">
      <c r="E13" s="18"/>
      <c r="F13" s="19"/>
      <c r="G13" s="16"/>
      <c r="H13" s="20"/>
      <c r="I13" s="18"/>
      <c r="J13" s="19"/>
      <c r="K13" s="16"/>
      <c r="L13" s="20"/>
      <c r="M13" s="18"/>
      <c r="N13" s="19"/>
      <c r="O13" s="16"/>
    </row>
    <row r="14" spans="1:15">
      <c r="A14" s="3" t="s">
        <v>31</v>
      </c>
      <c r="E14" s="25">
        <v>0.17974000000000001</v>
      </c>
      <c r="F14" s="26">
        <v>0.17974000000000001</v>
      </c>
      <c r="G14" s="27">
        <f>F14-E14</f>
        <v>0</v>
      </c>
      <c r="H14" s="28"/>
      <c r="I14" s="25">
        <v>0.17974000000000001</v>
      </c>
      <c r="J14" s="26">
        <v>0.17974000000000001</v>
      </c>
      <c r="K14" s="27">
        <f t="shared" si="0"/>
        <v>0</v>
      </c>
      <c r="L14" s="28"/>
      <c r="M14" s="25">
        <v>0.17974000000000001</v>
      </c>
      <c r="N14" s="26">
        <v>0.17974000000000001</v>
      </c>
      <c r="O14" s="27">
        <f t="shared" si="1"/>
        <v>0</v>
      </c>
    </row>
    <row r="15" spans="1:15" ht="9" customHeight="1">
      <c r="E15" s="29"/>
      <c r="F15" s="30"/>
      <c r="G15" s="16"/>
      <c r="H15" s="31"/>
      <c r="I15" s="29"/>
      <c r="J15" s="30"/>
      <c r="K15" s="16"/>
      <c r="L15" s="31"/>
      <c r="M15" s="29"/>
      <c r="N15" s="30"/>
      <c r="O15" s="16"/>
    </row>
    <row r="16" spans="1:15">
      <c r="A16" s="3" t="s">
        <v>32</v>
      </c>
      <c r="E16" s="14">
        <v>0</v>
      </c>
      <c r="F16" s="15">
        <v>4.8661500000000002</v>
      </c>
      <c r="G16" s="16">
        <f>F16-E16</f>
        <v>4.8661500000000002</v>
      </c>
      <c r="H16" s="17"/>
      <c r="I16" s="14">
        <v>0</v>
      </c>
      <c r="J16" s="15">
        <v>4.8661500000000002</v>
      </c>
      <c r="K16" s="16">
        <f t="shared" si="0"/>
        <v>4.8661500000000002</v>
      </c>
      <c r="L16" s="17"/>
      <c r="M16" s="14">
        <v>0</v>
      </c>
      <c r="N16" s="15">
        <v>4.8661500000000002</v>
      </c>
      <c r="O16" s="16">
        <f t="shared" si="1"/>
        <v>4.8661500000000002</v>
      </c>
    </row>
    <row r="17" spans="1:17">
      <c r="A17" s="3" t="s">
        <v>33</v>
      </c>
      <c r="E17" s="18">
        <v>0</v>
      </c>
      <c r="F17" s="19">
        <v>-7.5759999999999994E-2</v>
      </c>
      <c r="G17" s="16">
        <f>F17-E17</f>
        <v>-7.5759999999999994E-2</v>
      </c>
      <c r="H17" s="20"/>
      <c r="I17" s="18">
        <v>0</v>
      </c>
      <c r="J17" s="19">
        <v>-7.5759999999999994E-2</v>
      </c>
      <c r="K17" s="16">
        <f t="shared" si="0"/>
        <v>-7.5759999999999994E-2</v>
      </c>
      <c r="L17" s="20"/>
      <c r="M17" s="18">
        <v>0</v>
      </c>
      <c r="N17" s="19">
        <v>-7.5759999999999994E-2</v>
      </c>
      <c r="O17" s="16">
        <f t="shared" si="1"/>
        <v>-7.5759999999999994E-2</v>
      </c>
    </row>
    <row r="18" spans="1:17">
      <c r="A18" s="3" t="s">
        <v>34</v>
      </c>
      <c r="E18" s="25">
        <v>3.66873</v>
      </c>
      <c r="F18" s="26">
        <f>F16+F17</f>
        <v>4.7903900000000004</v>
      </c>
      <c r="G18" s="27">
        <f>F18-E18</f>
        <v>1.1216600000000003</v>
      </c>
      <c r="H18" s="28"/>
      <c r="I18" s="25">
        <v>3.66873</v>
      </c>
      <c r="J18" s="26">
        <f>J16+J17</f>
        <v>4.7903900000000004</v>
      </c>
      <c r="K18" s="27">
        <f t="shared" si="0"/>
        <v>1.1216600000000003</v>
      </c>
      <c r="L18" s="28"/>
      <c r="M18" s="25">
        <v>3.5056500000000002</v>
      </c>
      <c r="N18" s="26">
        <f>N16+N17</f>
        <v>4.7903900000000004</v>
      </c>
      <c r="O18" s="27">
        <f t="shared" si="1"/>
        <v>1.2847400000000002</v>
      </c>
    </row>
    <row r="19" spans="1:17">
      <c r="A19" s="32" t="s">
        <v>35</v>
      </c>
      <c r="B19" s="33"/>
      <c r="C19" s="33"/>
      <c r="D19" s="33"/>
      <c r="E19" s="34">
        <f>E12+E14+E18</f>
        <v>4.1069899999999997</v>
      </c>
      <c r="F19" s="35">
        <f>F12+F14+F18</f>
        <v>5.5582400000000005</v>
      </c>
      <c r="G19" s="36">
        <f>F19-E19</f>
        <v>1.4512500000000008</v>
      </c>
      <c r="H19" s="37"/>
      <c r="I19" s="34">
        <f>I12+I14+I18</f>
        <v>4.0868900000000004</v>
      </c>
      <c r="J19" s="35">
        <f>J12+J14+J18</f>
        <v>5.09307</v>
      </c>
      <c r="K19" s="36">
        <f t="shared" si="0"/>
        <v>1.0061799999999996</v>
      </c>
      <c r="L19" s="37"/>
      <c r="M19" s="34">
        <f>M12+M14+M18</f>
        <v>3.9053300000000002</v>
      </c>
      <c r="N19" s="35">
        <f>N12+N14+N18</f>
        <v>5.0302900000000008</v>
      </c>
      <c r="O19" s="36">
        <f t="shared" si="1"/>
        <v>1.1249600000000006</v>
      </c>
    </row>
    <row r="22" spans="1:17">
      <c r="A22" s="38" t="s">
        <v>37</v>
      </c>
      <c r="B22" s="39"/>
      <c r="C22" s="39"/>
      <c r="D22" s="39"/>
      <c r="E22" s="39"/>
      <c r="F22" s="39"/>
      <c r="G22" s="39"/>
      <c r="H22" s="39"/>
      <c r="I22" s="39"/>
      <c r="K22" s="38" t="s">
        <v>36</v>
      </c>
      <c r="L22" s="39"/>
      <c r="M22" s="39"/>
      <c r="N22" s="39"/>
      <c r="O22" s="39"/>
      <c r="P22" s="39"/>
      <c r="Q22" s="39"/>
    </row>
    <row r="46" spans="1:9">
      <c r="A46" s="38" t="s">
        <v>38</v>
      </c>
      <c r="B46" s="38"/>
      <c r="C46" s="38"/>
      <c r="D46" s="38"/>
      <c r="E46" s="38"/>
      <c r="F46" s="38"/>
      <c r="G46" s="38"/>
      <c r="H46" s="38"/>
      <c r="I46" s="39"/>
    </row>
  </sheetData>
  <mergeCells count="2">
    <mergeCell ref="E5:O5"/>
    <mergeCell ref="E6:O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Asphalt Production</vt:lpstr>
      <vt:lpstr>IS Cost Comparison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Lefevre, Brandon (Staker &amp; Parson)</dc:creator>
  <cp:lastModifiedBy>laurieharris</cp:lastModifiedBy>
  <dcterms:created xsi:type="dcterms:W3CDTF">2013-11-11T23:56:11Z</dcterms:created>
  <dcterms:modified xsi:type="dcterms:W3CDTF">2014-01-08T18:09:25Z</dcterms:modified>
</cp:coreProperties>
</file>