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1075" windowHeight="9780" activeTab="0"/>
  </bookViews>
  <sheets>
    <sheet name="Original Exhibit" sheetId="1" r:id="rId1"/>
    <sheet name="Updated Exhibit" sheetId="2" r:id="rId2"/>
    <sheet name="Sheet3" sheetId="3" r:id="rId3"/>
  </sheets>
  <definedNames>
    <definedName name="_xlnm.Print_Area" localSheetId="0">'Original Exhibit'!$A$1:$V$54</definedName>
  </definedNames>
  <calcPr fullCalcOnLoad="1"/>
</workbook>
</file>

<file path=xl/sharedStrings.xml><?xml version="1.0" encoding="utf-8"?>
<sst xmlns="http://schemas.openxmlformats.org/spreadsheetml/2006/main" count="178" uniqueCount="69">
  <si>
    <t>Capital Structure &amp; Rate of Return</t>
  </si>
  <si>
    <t>(Dollars in Thousands)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</si>
  <si>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</si>
  <si>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</si>
  <si>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</si>
  <si>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</si>
  <si>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</si>
  <si>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</si>
  <si>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</si>
  <si>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</si>
  <si>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</si>
  <si>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</si>
  <si>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</si>
  <si>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</si>
  <si>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</si>
  <si>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</si>
  <si>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</si>
  <si>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</si>
  <si>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</si>
  <si>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Actual Capital</t>
  </si>
  <si>
    <t>Forecast Capital</t>
  </si>
  <si>
    <t>Average 2013 and 2014</t>
  </si>
  <si>
    <t xml:space="preserve">Line </t>
  </si>
  <si>
    <t>Structure @</t>
  </si>
  <si>
    <t>2013 Forecast</t>
  </si>
  <si>
    <t>%</t>
  </si>
  <si>
    <t>Weighted</t>
  </si>
  <si>
    <t>2014 Forecast</t>
  </si>
  <si>
    <t>No.</t>
  </si>
  <si>
    <t>Changes</t>
  </si>
  <si>
    <t>Capital</t>
  </si>
  <si>
    <t>Cost</t>
  </si>
  <si>
    <t>Long-term debt</t>
  </si>
  <si>
    <t>Principal balance</t>
  </si>
  <si>
    <t>Issuance</t>
  </si>
  <si>
    <t>Retirement</t>
  </si>
  <si>
    <t>Unamortized debt expense</t>
  </si>
  <si>
    <t>Issuance costs</t>
  </si>
  <si>
    <t>Amortization</t>
  </si>
  <si>
    <t>Unamortized loss on reaquired debt</t>
  </si>
  <si>
    <t>Total long-term debt</t>
  </si>
  <si>
    <t>Common equity</t>
  </si>
  <si>
    <t>Common stock</t>
  </si>
  <si>
    <t>Premium on common stock</t>
  </si>
  <si>
    <t>Investment</t>
  </si>
  <si>
    <t>Other</t>
  </si>
  <si>
    <t>Retained earnings</t>
  </si>
  <si>
    <t>Net income</t>
  </si>
  <si>
    <t>Dividends</t>
  </si>
  <si>
    <t>Total common equity</t>
  </si>
  <si>
    <t>Total rate of return</t>
  </si>
  <si>
    <t>Cost of Debt</t>
  </si>
  <si>
    <t>Interest cost</t>
  </si>
  <si>
    <t>Amortization of debt discount &amp; expense</t>
  </si>
  <si>
    <t>Cost of debt</t>
  </si>
  <si>
    <t>Cost of Long-term Debt</t>
  </si>
  <si>
    <t>Principal</t>
  </si>
  <si>
    <t>2013 Changes</t>
  </si>
  <si>
    <t>Maturity</t>
  </si>
  <si>
    <t>Rate</t>
  </si>
  <si>
    <t>2014 Changes</t>
  </si>
  <si>
    <t>Medium term notes</t>
  </si>
  <si>
    <t>Notes</t>
  </si>
  <si>
    <t>New 30-year notes</t>
  </si>
  <si>
    <t>New 10-year notes</t>
  </si>
  <si>
    <t>QGC Exhibit 2.11</t>
  </si>
  <si>
    <t>Docket No. 13-057-05</t>
  </si>
  <si>
    <t>Questar Gas Company</t>
  </si>
  <si>
    <t>New 35-year notes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</si>
</sst>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7" applyAlignment="1">
      <alignment horizontal="center"/>
      <protection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4" fillId="0" borderId="0" xfId="57" applyFont="1" applyAlignment="1" quotePrefix="1">
      <alignment horizontal="right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0" xfId="0" applyAlignment="1">
      <alignment horizontal="center" vertical="top"/>
    </xf>
    <xf numFmtId="0" fontId="2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2" fillId="0" borderId="11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164" fontId="2" fillId="0" borderId="12" xfId="57" applyNumberFormat="1" applyBorder="1" applyAlignment="1">
      <alignment horizontal="center"/>
      <protection/>
    </xf>
    <xf numFmtId="164" fontId="0" fillId="0" borderId="12" xfId="57" applyNumberFormat="1" applyFont="1" applyBorder="1" applyAlignment="1">
      <alignment horizontal="center"/>
      <protection/>
    </xf>
    <xf numFmtId="0" fontId="2" fillId="0" borderId="12" xfId="57" applyBorder="1" applyAlignment="1">
      <alignment horizontal="center"/>
      <protection/>
    </xf>
    <xf numFmtId="0" fontId="7" fillId="0" borderId="0" xfId="57" applyFont="1">
      <alignment/>
      <protection/>
    </xf>
    <xf numFmtId="165" fontId="0" fillId="0" borderId="0" xfId="42" applyNumberFormat="1" applyAlignment="1">
      <alignment/>
    </xf>
    <xf numFmtId="0" fontId="0" fillId="0" borderId="0" xfId="57" applyFont="1">
      <alignment/>
      <protection/>
    </xf>
    <xf numFmtId="165" fontId="0" fillId="0" borderId="13" xfId="42" applyNumberFormat="1" applyBorder="1" applyAlignment="1">
      <alignment/>
    </xf>
    <xf numFmtId="165" fontId="0" fillId="0" borderId="0" xfId="42" applyNumberFormat="1" applyBorder="1" applyAlignment="1">
      <alignment/>
    </xf>
    <xf numFmtId="10" fontId="0" fillId="0" borderId="0" xfId="60" applyNumberFormat="1" applyAlignment="1">
      <alignment/>
    </xf>
    <xf numFmtId="10" fontId="0" fillId="0" borderId="13" xfId="60" applyNumberFormat="1" applyBorder="1" applyAlignment="1">
      <alignment/>
    </xf>
    <xf numFmtId="10" fontId="0" fillId="0" borderId="0" xfId="42" applyNumberFormat="1" applyAlignment="1">
      <alignment/>
    </xf>
    <xf numFmtId="10" fontId="0" fillId="0" borderId="14" xfId="60" applyNumberFormat="1" applyBorder="1" applyAlignment="1">
      <alignment/>
    </xf>
    <xf numFmtId="10" fontId="0" fillId="0" borderId="0" xfId="60" applyNumberFormat="1" applyBorder="1" applyAlignment="1">
      <alignment/>
    </xf>
    <xf numFmtId="0" fontId="7" fillId="0" borderId="0" xfId="57" applyFont="1" applyBorder="1">
      <alignment/>
      <protection/>
    </xf>
    <xf numFmtId="0" fontId="2" fillId="0" borderId="0" xfId="57" applyBorder="1">
      <alignment/>
      <protection/>
    </xf>
    <xf numFmtId="165" fontId="0" fillId="0" borderId="15" xfId="42" applyNumberFormat="1" applyFont="1" applyBorder="1" applyAlignment="1">
      <alignment horizontal="center"/>
    </xf>
    <xf numFmtId="165" fontId="0" fillId="0" borderId="15" xfId="42" applyNumberFormat="1" applyBorder="1" applyAlignment="1">
      <alignment horizontal="center"/>
    </xf>
    <xf numFmtId="164" fontId="0" fillId="0" borderId="0" xfId="42" applyNumberFormat="1" applyAlignment="1">
      <alignment/>
    </xf>
    <xf numFmtId="0" fontId="2" fillId="0" borderId="0" xfId="57" applyFont="1">
      <alignment/>
      <protection/>
    </xf>
    <xf numFmtId="37" fontId="2" fillId="0" borderId="0" xfId="57" applyNumberFormat="1">
      <alignment/>
      <protection/>
    </xf>
    <xf numFmtId="164" fontId="2" fillId="0" borderId="0" xfId="57" applyNumberFormat="1">
      <alignment/>
      <protection/>
    </xf>
    <xf numFmtId="10" fontId="2" fillId="0" borderId="0" xfId="57" applyNumberFormat="1">
      <alignment/>
      <protection/>
    </xf>
    <xf numFmtId="37" fontId="2" fillId="0" borderId="0" xfId="57" applyNumberFormat="1" applyBorder="1">
      <alignment/>
      <protection/>
    </xf>
    <xf numFmtId="165" fontId="0" fillId="0" borderId="16" xfId="42" applyNumberFormat="1" applyBorder="1" applyAlignment="1">
      <alignment/>
    </xf>
    <xf numFmtId="10" fontId="0" fillId="0" borderId="16" xfId="60" applyNumberFormat="1" applyBorder="1" applyAlignment="1">
      <alignment/>
    </xf>
    <xf numFmtId="37" fontId="0" fillId="0" borderId="0" xfId="42" applyNumberForma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right" textRotation="180"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5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0" fillId="0" borderId="0" xfId="0" applyFill="1" applyAlignment="1">
      <alignment horizontal="center" vertical="top"/>
    </xf>
    <xf numFmtId="0" fontId="2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center"/>
      <protection/>
    </xf>
    <xf numFmtId="0" fontId="2" fillId="0" borderId="11" xfId="57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164" fontId="2" fillId="0" borderId="12" xfId="57" applyNumberFormat="1" applyFill="1" applyBorder="1" applyAlignment="1">
      <alignment horizontal="center"/>
      <protection/>
    </xf>
    <xf numFmtId="164" fontId="0" fillId="0" borderId="12" xfId="57" applyNumberFormat="1" applyFont="1" applyFill="1" applyBorder="1" applyAlignment="1">
      <alignment horizontal="center"/>
      <protection/>
    </xf>
    <xf numFmtId="0" fontId="2" fillId="0" borderId="12" xfId="57" applyFill="1" applyBorder="1" applyAlignment="1">
      <alignment horizontal="center"/>
      <protection/>
    </xf>
    <xf numFmtId="0" fontId="7" fillId="0" borderId="0" xfId="57" applyFont="1" applyFill="1">
      <alignment/>
      <protection/>
    </xf>
    <xf numFmtId="165" fontId="2" fillId="0" borderId="0" xfId="44" applyNumberFormat="1" applyFill="1" applyAlignment="1">
      <alignment/>
    </xf>
    <xf numFmtId="0" fontId="0" fillId="0" borderId="0" xfId="57" applyFont="1" applyFill="1">
      <alignment/>
      <protection/>
    </xf>
    <xf numFmtId="165" fontId="2" fillId="0" borderId="13" xfId="44" applyNumberFormat="1" applyFill="1" applyBorder="1" applyAlignment="1">
      <alignment/>
    </xf>
    <xf numFmtId="165" fontId="2" fillId="0" borderId="0" xfId="44" applyNumberFormat="1" applyFill="1" applyBorder="1" applyAlignment="1">
      <alignment/>
    </xf>
    <xf numFmtId="0" fontId="7" fillId="0" borderId="0" xfId="57" applyFont="1" applyFill="1" applyBorder="1">
      <alignment/>
      <protection/>
    </xf>
    <xf numFmtId="0" fontId="2" fillId="0" borderId="0" xfId="57" applyFill="1" applyBorder="1">
      <alignment/>
      <protection/>
    </xf>
    <xf numFmtId="10" fontId="0" fillId="0" borderId="0" xfId="60" applyNumberFormat="1" applyFill="1" applyAlignment="1">
      <alignment/>
    </xf>
    <xf numFmtId="10" fontId="0" fillId="0" borderId="13" xfId="60" applyNumberFormat="1" applyFill="1" applyBorder="1" applyAlignment="1">
      <alignment/>
    </xf>
    <xf numFmtId="10" fontId="2" fillId="0" borderId="0" xfId="44" applyNumberFormat="1" applyFill="1" applyAlignment="1">
      <alignment/>
    </xf>
    <xf numFmtId="10" fontId="0" fillId="0" borderId="0" xfId="60" applyNumberFormat="1" applyFill="1" applyBorder="1" applyAlignment="1">
      <alignment/>
    </xf>
    <xf numFmtId="10" fontId="0" fillId="0" borderId="14" xfId="60" applyNumberFormat="1" applyFill="1" applyBorder="1" applyAlignment="1">
      <alignment/>
    </xf>
    <xf numFmtId="165" fontId="0" fillId="0" borderId="15" xfId="44" applyNumberFormat="1" applyFont="1" applyFill="1" applyBorder="1" applyAlignment="1">
      <alignment horizontal="center"/>
    </xf>
    <xf numFmtId="165" fontId="2" fillId="0" borderId="15" xfId="44" applyNumberFormat="1" applyFill="1" applyBorder="1" applyAlignment="1">
      <alignment horizontal="center"/>
    </xf>
    <xf numFmtId="164" fontId="2" fillId="0" borderId="0" xfId="44" applyNumberFormat="1" applyFill="1" applyAlignment="1">
      <alignment/>
    </xf>
    <xf numFmtId="0" fontId="2" fillId="0" borderId="0" xfId="57" applyFont="1" applyFill="1">
      <alignment/>
      <protection/>
    </xf>
    <xf numFmtId="37" fontId="2" fillId="0" borderId="0" xfId="57" applyNumberFormat="1" applyFill="1">
      <alignment/>
      <protection/>
    </xf>
    <xf numFmtId="164" fontId="2" fillId="0" borderId="0" xfId="57" applyNumberFormat="1" applyFill="1">
      <alignment/>
      <protection/>
    </xf>
    <xf numFmtId="10" fontId="2" fillId="0" borderId="0" xfId="57" applyNumberFormat="1" applyFill="1">
      <alignment/>
      <protection/>
    </xf>
    <xf numFmtId="165" fontId="2" fillId="0" borderId="16" xfId="44" applyNumberFormat="1" applyFill="1" applyBorder="1" applyAlignment="1">
      <alignment/>
    </xf>
    <xf numFmtId="37" fontId="2" fillId="0" borderId="0" xfId="44" applyNumberFormat="1" applyFill="1" applyAlignment="1">
      <alignment/>
    </xf>
    <xf numFmtId="37" fontId="2" fillId="0" borderId="0" xfId="57" applyNumberFormat="1" applyFill="1" applyBorder="1">
      <alignment/>
      <protection/>
    </xf>
    <xf numFmtId="10" fontId="0" fillId="0" borderId="16" xfId="60" applyNumberFormat="1" applyFill="1" applyBorder="1" applyAlignment="1">
      <alignment/>
    </xf>
    <xf numFmtId="165" fontId="2" fillId="16" borderId="0" xfId="44" applyNumberFormat="1" applyFill="1" applyAlignment="1">
      <alignment/>
    </xf>
    <xf numFmtId="10" fontId="0" fillId="16" borderId="0" xfId="60" applyNumberFormat="1" applyFill="1" applyAlignment="1">
      <alignment/>
    </xf>
    <xf numFmtId="10" fontId="0" fillId="16" borderId="14" xfId="60" applyNumberFormat="1" applyFill="1" applyBorder="1" applyAlignment="1">
      <alignment/>
    </xf>
    <xf numFmtId="165" fontId="2" fillId="16" borderId="13" xfId="44" applyNumberFormat="1" applyFill="1" applyBorder="1" applyAlignment="1">
      <alignment/>
    </xf>
    <xf numFmtId="165" fontId="2" fillId="16" borderId="17" xfId="44" applyNumberFormat="1" applyFill="1" applyBorder="1" applyAlignment="1">
      <alignment/>
    </xf>
    <xf numFmtId="37" fontId="2" fillId="16" borderId="0" xfId="57" applyNumberFormat="1" applyFill="1">
      <alignment/>
      <protection/>
    </xf>
    <xf numFmtId="37" fontId="2" fillId="16" borderId="0" xfId="57" applyNumberFormat="1" applyFill="1" applyBorder="1">
      <alignment/>
      <protection/>
    </xf>
    <xf numFmtId="164" fontId="2" fillId="16" borderId="0" xfId="57" applyNumberFormat="1" applyFill="1">
      <alignment/>
      <protection/>
    </xf>
    <xf numFmtId="10" fontId="2" fillId="16" borderId="0" xfId="57" applyNumberFormat="1" applyFill="1">
      <alignment/>
      <protection/>
    </xf>
    <xf numFmtId="10" fontId="0" fillId="16" borderId="16" xfId="60" applyNumberFormat="1" applyFill="1" applyBorder="1" applyAlignment="1">
      <alignment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2" fillId="0" borderId="18" xfId="57" applyFill="1" applyBorder="1" applyAlignment="1">
      <alignment horizontal="center"/>
      <protection/>
    </xf>
    <xf numFmtId="0" fontId="2" fillId="0" borderId="19" xfId="57" applyFill="1" applyBorder="1" applyAlignment="1">
      <alignment horizontal="center"/>
      <protection/>
    </xf>
    <xf numFmtId="0" fontId="2" fillId="0" borderId="20" xfId="57" applyFill="1" applyBorder="1" applyAlignment="1">
      <alignment horizontal="center"/>
      <protection/>
    </xf>
    <xf numFmtId="0" fontId="2" fillId="0" borderId="18" xfId="57" applyFont="1" applyFill="1" applyBorder="1" applyAlignment="1">
      <alignment horizontal="center"/>
      <protection/>
    </xf>
    <xf numFmtId="0" fontId="8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asRateCaseHistory" xfId="56"/>
    <cellStyle name="Normal_QGC Exhibit 5.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tabSelected="1" zoomScalePageLayoutView="0" workbookViewId="0" topLeftCell="A1">
      <selection activeCell="E24" sqref="E24"/>
    </sheetView>
  </sheetViews>
  <sheetFormatPr defaultColWidth="10.7109375" defaultRowHeight="15"/>
  <cols>
    <col min="1" max="1" width="8.57421875" style="1" customWidth="1"/>
    <col min="2" max="3" width="14.7109375" style="3" customWidth="1"/>
    <col min="4" max="4" width="4.7109375" style="3" customWidth="1"/>
    <col min="5" max="7" width="14.7109375" style="3" customWidth="1"/>
    <col min="8" max="9" width="10.7109375" style="3" customWidth="1"/>
    <col min="10" max="10" width="14.7109375" style="3" customWidth="1"/>
    <col min="11" max="11" width="12.7109375" style="3" customWidth="1"/>
    <col min="12" max="12" width="14.7109375" style="3" customWidth="1"/>
    <col min="13" max="18" width="10.7109375" style="3" customWidth="1"/>
    <col min="19" max="22" width="3.57421875" style="3" customWidth="1"/>
    <col min="23" max="16384" width="10.7109375" style="3" customWidth="1"/>
  </cols>
  <sheetData>
    <row r="2" spans="2:19" ht="15.75">
      <c r="B2" s="2"/>
      <c r="S2" s="4"/>
    </row>
    <row r="3" spans="2:18" ht="26.2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5"/>
      <c r="Q3" s="5"/>
      <c r="R3" s="5"/>
    </row>
    <row r="4" spans="2:18" ht="15.7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6"/>
      <c r="Q4" s="6"/>
      <c r="R4" s="6"/>
    </row>
    <row r="5" spans="2:18" ht="15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15">
      <c r="B6" s="7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9" t="s">
        <v>16</v>
      </c>
      <c r="Q6" s="9" t="s">
        <v>17</v>
      </c>
      <c r="R6" s="9" t="s">
        <v>18</v>
      </c>
    </row>
    <row r="7" spans="5:18" ht="15">
      <c r="E7" s="11" t="s">
        <v>19</v>
      </c>
      <c r="F7" s="12"/>
      <c r="G7" s="11" t="s">
        <v>20</v>
      </c>
      <c r="H7" s="93">
        <v>2013</v>
      </c>
      <c r="I7" s="94"/>
      <c r="J7" s="95"/>
      <c r="K7" s="12"/>
      <c r="L7" s="11" t="s">
        <v>20</v>
      </c>
      <c r="M7" s="93">
        <v>2014</v>
      </c>
      <c r="N7" s="94"/>
      <c r="O7" s="95"/>
      <c r="P7" s="96" t="s">
        <v>21</v>
      </c>
      <c r="Q7" s="94"/>
      <c r="R7" s="95"/>
    </row>
    <row r="8" spans="1:18" ht="15">
      <c r="A8" s="1" t="s">
        <v>22</v>
      </c>
      <c r="E8" s="13" t="s">
        <v>23</v>
      </c>
      <c r="F8" s="14" t="s">
        <v>24</v>
      </c>
      <c r="G8" s="14" t="s">
        <v>23</v>
      </c>
      <c r="H8" s="13" t="s">
        <v>25</v>
      </c>
      <c r="I8" s="13"/>
      <c r="J8" s="14" t="s">
        <v>26</v>
      </c>
      <c r="K8" s="14" t="s">
        <v>27</v>
      </c>
      <c r="L8" s="14" t="s">
        <v>23</v>
      </c>
      <c r="M8" s="13" t="s">
        <v>25</v>
      </c>
      <c r="N8" s="13"/>
      <c r="O8" s="14" t="s">
        <v>26</v>
      </c>
      <c r="P8" s="13" t="s">
        <v>25</v>
      </c>
      <c r="Q8" s="13"/>
      <c r="R8" s="14" t="s">
        <v>26</v>
      </c>
    </row>
    <row r="9" spans="1:18" ht="15">
      <c r="A9" s="1" t="s">
        <v>28</v>
      </c>
      <c r="E9" s="15">
        <v>41274</v>
      </c>
      <c r="F9" s="16" t="s">
        <v>29</v>
      </c>
      <c r="G9" s="15">
        <v>41639</v>
      </c>
      <c r="H9" s="17" t="s">
        <v>30</v>
      </c>
      <c r="I9" s="17" t="s">
        <v>31</v>
      </c>
      <c r="J9" s="17" t="s">
        <v>31</v>
      </c>
      <c r="K9" s="16" t="s">
        <v>29</v>
      </c>
      <c r="L9" s="15">
        <v>42004</v>
      </c>
      <c r="M9" s="17" t="s">
        <v>30</v>
      </c>
      <c r="N9" s="17" t="s">
        <v>31</v>
      </c>
      <c r="O9" s="17" t="s">
        <v>31</v>
      </c>
      <c r="P9" s="17" t="s">
        <v>30</v>
      </c>
      <c r="Q9" s="17" t="s">
        <v>31</v>
      </c>
      <c r="R9" s="17" t="s">
        <v>31</v>
      </c>
    </row>
    <row r="10" ht="12.75">
      <c r="B10" s="18" t="s">
        <v>32</v>
      </c>
    </row>
    <row r="11" spans="1:18" ht="15">
      <c r="A11" s="1">
        <f aca="true" t="shared" si="0" ref="A11:A18">+A10+1</f>
        <v>1</v>
      </c>
      <c r="B11" s="3" t="s">
        <v>33</v>
      </c>
      <c r="E11" s="19">
        <f>384500+42000</f>
        <v>426500</v>
      </c>
      <c r="F11" s="19"/>
      <c r="G11" s="19">
        <f>E11+F12+F13</f>
        <v>534500</v>
      </c>
      <c r="H11" s="19"/>
      <c r="I11" s="19"/>
      <c r="J11" s="19"/>
      <c r="K11" s="19"/>
      <c r="L11" s="19">
        <f>G11+K12+K13</f>
        <v>584500</v>
      </c>
      <c r="M11" s="19"/>
      <c r="N11" s="19"/>
      <c r="O11" s="19"/>
      <c r="P11" s="19"/>
      <c r="Q11" s="19"/>
      <c r="R11" s="19"/>
    </row>
    <row r="12" spans="1:18" ht="15">
      <c r="A12" s="1">
        <f t="shared" si="0"/>
        <v>2</v>
      </c>
      <c r="C12" s="20" t="s">
        <v>34</v>
      </c>
      <c r="E12" s="19"/>
      <c r="F12" s="19">
        <v>150000</v>
      </c>
      <c r="G12" s="19"/>
      <c r="H12" s="19"/>
      <c r="I12" s="19"/>
      <c r="J12" s="19"/>
      <c r="K12" s="19">
        <v>50000</v>
      </c>
      <c r="L12" s="19"/>
      <c r="M12" s="19"/>
      <c r="N12" s="19"/>
      <c r="O12" s="19"/>
      <c r="P12" s="19"/>
      <c r="Q12" s="19"/>
      <c r="R12" s="19"/>
    </row>
    <row r="13" spans="1:18" ht="15">
      <c r="A13" s="1">
        <f t="shared" si="0"/>
        <v>3</v>
      </c>
      <c r="C13" s="20" t="s">
        <v>35</v>
      </c>
      <c r="E13" s="19"/>
      <c r="F13" s="19">
        <v>-42000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">
      <c r="A14" s="1">
        <f t="shared" si="0"/>
        <v>4</v>
      </c>
      <c r="B14" s="3" t="s">
        <v>36</v>
      </c>
      <c r="E14" s="19">
        <v>-3165</v>
      </c>
      <c r="G14" s="19">
        <f>E14+F15+F16</f>
        <v>-3879</v>
      </c>
      <c r="H14" s="19"/>
      <c r="I14" s="19"/>
      <c r="J14" s="19"/>
      <c r="L14" s="19">
        <f>G14+K15+K16</f>
        <v>-4064</v>
      </c>
      <c r="M14" s="19"/>
      <c r="N14" s="19"/>
      <c r="O14" s="19"/>
      <c r="P14" s="19"/>
      <c r="Q14" s="19"/>
      <c r="R14" s="19"/>
    </row>
    <row r="15" spans="1:18" ht="15">
      <c r="A15" s="1">
        <f t="shared" si="0"/>
        <v>5</v>
      </c>
      <c r="C15" s="20" t="s">
        <v>37</v>
      </c>
      <c r="E15" s="19"/>
      <c r="F15" s="19">
        <v>-1000</v>
      </c>
      <c r="G15" s="19"/>
      <c r="H15" s="19"/>
      <c r="I15" s="19"/>
      <c r="J15" s="19"/>
      <c r="K15" s="19">
        <v>-500</v>
      </c>
      <c r="L15" s="19"/>
      <c r="M15" s="19"/>
      <c r="N15" s="19"/>
      <c r="O15" s="19"/>
      <c r="P15" s="19"/>
      <c r="Q15" s="19"/>
      <c r="R15" s="19"/>
    </row>
    <row r="16" spans="1:18" ht="15">
      <c r="A16" s="1">
        <f t="shared" si="0"/>
        <v>6</v>
      </c>
      <c r="C16" s="20" t="s">
        <v>38</v>
      </c>
      <c r="E16" s="19"/>
      <c r="F16" s="19">
        <f>283+3</f>
        <v>286</v>
      </c>
      <c r="G16" s="19"/>
      <c r="H16" s="19"/>
      <c r="I16" s="19"/>
      <c r="J16" s="19"/>
      <c r="K16" s="19">
        <f>278+33+4</f>
        <v>315</v>
      </c>
      <c r="L16" s="19"/>
      <c r="M16" s="19"/>
      <c r="N16" s="19"/>
      <c r="O16" s="19"/>
      <c r="P16" s="19"/>
      <c r="Q16" s="19"/>
      <c r="R16" s="19"/>
    </row>
    <row r="17" spans="1:18" ht="15">
      <c r="A17" s="1">
        <f t="shared" si="0"/>
        <v>7</v>
      </c>
      <c r="B17" s="3" t="s">
        <v>39</v>
      </c>
      <c r="E17" s="21">
        <v>-5338</v>
      </c>
      <c r="F17" s="22">
        <v>531</v>
      </c>
      <c r="G17" s="21">
        <f>E17+F17</f>
        <v>-4807</v>
      </c>
      <c r="H17" s="22"/>
      <c r="I17" s="22"/>
      <c r="J17" s="22"/>
      <c r="K17" s="22">
        <v>530</v>
      </c>
      <c r="L17" s="21">
        <f>G17+K17</f>
        <v>-4277</v>
      </c>
      <c r="M17" s="19"/>
      <c r="N17" s="19"/>
      <c r="O17" s="19"/>
      <c r="P17" s="19"/>
      <c r="Q17" s="19"/>
      <c r="R17" s="19"/>
    </row>
    <row r="18" spans="1:18" ht="15">
      <c r="A18" s="1">
        <f t="shared" si="0"/>
        <v>8</v>
      </c>
      <c r="C18" s="3" t="s">
        <v>40</v>
      </c>
      <c r="E18" s="19">
        <f>SUM(E11:E17)</f>
        <v>417997</v>
      </c>
      <c r="F18" s="19"/>
      <c r="G18" s="19">
        <f>SUM(G11:G17)</f>
        <v>525814</v>
      </c>
      <c r="H18" s="23">
        <f>G18/(G18+G27)</f>
        <v>0.4787630795901941</v>
      </c>
      <c r="I18" s="23">
        <f>G34</f>
        <v>0.05301732171452263</v>
      </c>
      <c r="J18" s="23">
        <f>H18*I18</f>
        <v>0.025382736215668923</v>
      </c>
      <c r="K18" s="19"/>
      <c r="L18" s="19">
        <f>SUM(L11:L17)</f>
        <v>576159</v>
      </c>
      <c r="M18" s="23">
        <f>L18/(L18+L27)</f>
        <v>0.4798441936136705</v>
      </c>
      <c r="N18" s="23">
        <f>L34</f>
        <v>0.05155738259751214</v>
      </c>
      <c r="O18" s="23">
        <f>M18*N18</f>
        <v>0.0247395106773347</v>
      </c>
      <c r="P18" s="23">
        <f>(H18+M18)/2</f>
        <v>0.4793036366019323</v>
      </c>
      <c r="Q18" s="23">
        <f>Q34</f>
        <v>0.05225400259352997</v>
      </c>
      <c r="R18" s="23">
        <f>P18*Q18</f>
        <v>0.02504553347008572</v>
      </c>
    </row>
    <row r="19" spans="2:18" ht="15">
      <c r="B19" s="18" t="s">
        <v>41</v>
      </c>
      <c r="E19" s="19"/>
      <c r="F19" s="19"/>
      <c r="G19" s="19"/>
      <c r="H19" s="23"/>
      <c r="I19" s="23"/>
      <c r="J19" s="23"/>
      <c r="K19" s="19"/>
      <c r="L19" s="19"/>
      <c r="M19" s="23"/>
      <c r="N19" s="23"/>
      <c r="O19" s="23"/>
      <c r="P19" s="23"/>
      <c r="Q19" s="23"/>
      <c r="R19" s="23"/>
    </row>
    <row r="20" spans="1:18" ht="15">
      <c r="A20" s="1">
        <f>+A18+1</f>
        <v>9</v>
      </c>
      <c r="B20" s="3" t="s">
        <v>42</v>
      </c>
      <c r="E20" s="19">
        <v>22974</v>
      </c>
      <c r="F20" s="19"/>
      <c r="G20" s="19">
        <f>E20+F20</f>
        <v>22974</v>
      </c>
      <c r="H20" s="23"/>
      <c r="I20" s="23"/>
      <c r="J20" s="23"/>
      <c r="K20" s="19"/>
      <c r="L20" s="19">
        <f>G20+K20</f>
        <v>22974</v>
      </c>
      <c r="M20" s="23"/>
      <c r="N20" s="23"/>
      <c r="O20" s="23"/>
      <c r="P20" s="23"/>
      <c r="Q20" s="23"/>
      <c r="R20" s="23"/>
    </row>
    <row r="21" spans="1:18" ht="15">
      <c r="A21" s="1">
        <f aca="true" t="shared" si="1" ref="A21:A26">+A20+1</f>
        <v>10</v>
      </c>
      <c r="B21" s="3" t="s">
        <v>43</v>
      </c>
      <c r="E21" s="19">
        <v>172503</v>
      </c>
      <c r="F21" s="19"/>
      <c r="G21" s="19">
        <f>E21+F22+F23</f>
        <v>263803</v>
      </c>
      <c r="H21" s="23"/>
      <c r="I21" s="23"/>
      <c r="J21" s="23"/>
      <c r="L21" s="19">
        <f>G21+K22+K23</f>
        <v>295103</v>
      </c>
      <c r="M21" s="23"/>
      <c r="N21" s="23"/>
      <c r="O21" s="23"/>
      <c r="P21" s="23"/>
      <c r="Q21" s="23"/>
      <c r="R21" s="23"/>
    </row>
    <row r="22" spans="1:18" ht="15">
      <c r="A22" s="1">
        <f t="shared" si="1"/>
        <v>11</v>
      </c>
      <c r="C22" s="20" t="s">
        <v>44</v>
      </c>
      <c r="E22" s="19"/>
      <c r="F22" s="19">
        <v>90000</v>
      </c>
      <c r="G22" s="19"/>
      <c r="H22" s="23"/>
      <c r="I22" s="23"/>
      <c r="J22" s="23"/>
      <c r="K22" s="19">
        <v>30000</v>
      </c>
      <c r="L22" s="19"/>
      <c r="M22" s="23"/>
      <c r="N22" s="23"/>
      <c r="O22" s="23"/>
      <c r="P22" s="23"/>
      <c r="Q22" s="23"/>
      <c r="R22" s="23"/>
    </row>
    <row r="23" spans="1:18" ht="15">
      <c r="A23" s="1">
        <f t="shared" si="1"/>
        <v>12</v>
      </c>
      <c r="C23" s="20" t="s">
        <v>45</v>
      </c>
      <c r="E23" s="19"/>
      <c r="F23" s="19">
        <v>1300</v>
      </c>
      <c r="G23" s="19"/>
      <c r="H23" s="23"/>
      <c r="I23" s="23"/>
      <c r="J23" s="23"/>
      <c r="K23" s="19">
        <v>1300</v>
      </c>
      <c r="L23" s="19"/>
      <c r="M23" s="23"/>
      <c r="N23" s="23"/>
      <c r="O23" s="23"/>
      <c r="P23" s="23"/>
      <c r="Q23" s="23"/>
      <c r="R23" s="23"/>
    </row>
    <row r="24" spans="1:18" ht="15">
      <c r="A24" s="1">
        <f t="shared" si="1"/>
        <v>13</v>
      </c>
      <c r="B24" s="3" t="s">
        <v>46</v>
      </c>
      <c r="E24" s="22">
        <v>272085</v>
      </c>
      <c r="F24" s="22"/>
      <c r="G24" s="22">
        <f>E24+F25+F26</f>
        <v>285685</v>
      </c>
      <c r="H24" s="23"/>
      <c r="I24" s="23"/>
      <c r="J24" s="23"/>
      <c r="K24" s="22"/>
      <c r="L24" s="22">
        <f>G24+K25+K26</f>
        <v>306485</v>
      </c>
      <c r="M24" s="23"/>
      <c r="N24" s="23"/>
      <c r="O24" s="23"/>
      <c r="P24" s="23"/>
      <c r="Q24" s="23"/>
      <c r="R24" s="23"/>
    </row>
    <row r="25" spans="1:18" ht="15">
      <c r="A25" s="1">
        <f t="shared" si="1"/>
        <v>14</v>
      </c>
      <c r="C25" s="20" t="s">
        <v>47</v>
      </c>
      <c r="E25" s="22"/>
      <c r="F25" s="22">
        <v>49100</v>
      </c>
      <c r="G25" s="22"/>
      <c r="H25" s="23"/>
      <c r="I25" s="23"/>
      <c r="J25" s="23"/>
      <c r="K25" s="22">
        <v>58600</v>
      </c>
      <c r="L25" s="22"/>
      <c r="M25" s="23"/>
      <c r="N25" s="23"/>
      <c r="O25" s="23"/>
      <c r="P25" s="23"/>
      <c r="Q25" s="23"/>
      <c r="R25" s="23"/>
    </row>
    <row r="26" spans="1:18" ht="15">
      <c r="A26" s="1">
        <f t="shared" si="1"/>
        <v>15</v>
      </c>
      <c r="C26" s="20" t="s">
        <v>48</v>
      </c>
      <c r="E26" s="21"/>
      <c r="F26" s="22">
        <v>-35500</v>
      </c>
      <c r="G26" s="21"/>
      <c r="H26" s="23"/>
      <c r="I26" s="23"/>
      <c r="J26" s="23"/>
      <c r="K26" s="22">
        <v>-37800</v>
      </c>
      <c r="L26" s="21"/>
      <c r="M26" s="23"/>
      <c r="N26" s="23"/>
      <c r="O26" s="23"/>
      <c r="P26" s="23"/>
      <c r="Q26" s="23"/>
      <c r="R26" s="23"/>
    </row>
    <row r="27" spans="1:18" ht="15">
      <c r="A27" s="1">
        <v>16</v>
      </c>
      <c r="C27" s="3" t="s">
        <v>49</v>
      </c>
      <c r="E27" s="19">
        <f>SUM(E20:E26)</f>
        <v>467562</v>
      </c>
      <c r="F27" s="19"/>
      <c r="G27" s="19">
        <f>SUM(G20:G26)</f>
        <v>572462</v>
      </c>
      <c r="H27" s="23">
        <f>G27/(G18+G27)</f>
        <v>0.521236920409806</v>
      </c>
      <c r="I27" s="23">
        <v>0.1035</v>
      </c>
      <c r="J27" s="24">
        <f>H27*I27</f>
        <v>0.053948021262414915</v>
      </c>
      <c r="K27" s="19"/>
      <c r="L27" s="19">
        <f>SUM(L20:L26)</f>
        <v>624562</v>
      </c>
      <c r="M27" s="23">
        <f>L27/(L18+L27)</f>
        <v>0.5201558063863295</v>
      </c>
      <c r="N27" s="23">
        <v>0.1035</v>
      </c>
      <c r="O27" s="24">
        <f>M27*N27</f>
        <v>0.0538361259609851</v>
      </c>
      <c r="P27" s="23">
        <f>(H27+M27)/2</f>
        <v>0.5206963633980677</v>
      </c>
      <c r="Q27" s="23">
        <f>(I27+N27)/2</f>
        <v>0.1035</v>
      </c>
      <c r="R27" s="24">
        <f>P27*Q27</f>
        <v>0.0538920736117</v>
      </c>
    </row>
    <row r="28" spans="1:18" ht="15.75" thickBot="1">
      <c r="A28" s="1">
        <v>17</v>
      </c>
      <c r="C28" s="20" t="s">
        <v>50</v>
      </c>
      <c r="E28" s="19"/>
      <c r="F28" s="19"/>
      <c r="G28" s="19"/>
      <c r="H28" s="25"/>
      <c r="I28" s="25"/>
      <c r="J28" s="26">
        <f>J18+J27</f>
        <v>0.07933075747808384</v>
      </c>
      <c r="K28" s="19"/>
      <c r="L28" s="19"/>
      <c r="M28" s="25"/>
      <c r="N28" s="25"/>
      <c r="O28" s="26">
        <f>O18+O27</f>
        <v>0.0785756366383198</v>
      </c>
      <c r="P28" s="27"/>
      <c r="Q28" s="27"/>
      <c r="R28" s="26">
        <f>R18+R27</f>
        <v>0.07893760708178572</v>
      </c>
    </row>
    <row r="29" spans="2:18" ht="15.75" thickTop="1">
      <c r="B29" s="28" t="s">
        <v>51</v>
      </c>
      <c r="C29" s="29"/>
      <c r="D29" s="2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>
      <c r="A30" s="1">
        <v>18</v>
      </c>
      <c r="B30" s="3" t="s">
        <v>52</v>
      </c>
      <c r="F30" s="19"/>
      <c r="G30" s="19">
        <f>G51</f>
        <v>27060.25</v>
      </c>
      <c r="H30" s="19"/>
      <c r="I30" s="19"/>
      <c r="J30" s="19"/>
      <c r="K30" s="19"/>
      <c r="L30" s="19">
        <f>K51</f>
        <v>28860.25</v>
      </c>
      <c r="M30" s="19"/>
      <c r="N30" s="19"/>
      <c r="O30" s="19"/>
      <c r="P30" s="19"/>
      <c r="Q30" s="19">
        <f>AVERAGE(G30,L30)</f>
        <v>27960.25</v>
      </c>
      <c r="R30" s="19"/>
    </row>
    <row r="31" spans="1:18" ht="15">
      <c r="A31" s="1">
        <v>19</v>
      </c>
      <c r="B31" s="3" t="s">
        <v>53</v>
      </c>
      <c r="F31" s="22"/>
      <c r="G31" s="21">
        <f>F16+F17</f>
        <v>817</v>
      </c>
      <c r="H31" s="22"/>
      <c r="I31" s="22"/>
      <c r="J31" s="22"/>
      <c r="K31" s="22"/>
      <c r="L31" s="21">
        <f>K16+K17</f>
        <v>845</v>
      </c>
      <c r="M31" s="19"/>
      <c r="N31" s="19"/>
      <c r="O31" s="19"/>
      <c r="P31" s="19"/>
      <c r="Q31" s="21">
        <f>AVERAGE(G31,L31)</f>
        <v>831</v>
      </c>
      <c r="R31" s="19"/>
    </row>
    <row r="32" spans="1:18" ht="15">
      <c r="A32" s="1">
        <v>20</v>
      </c>
      <c r="F32" s="19"/>
      <c r="G32" s="19">
        <f>SUM(G30:G31)</f>
        <v>27877.25</v>
      </c>
      <c r="H32" s="19"/>
      <c r="I32" s="19"/>
      <c r="J32" s="19"/>
      <c r="K32" s="19"/>
      <c r="L32" s="19">
        <f>SUM(L30:L31)</f>
        <v>29705.25</v>
      </c>
      <c r="M32" s="19"/>
      <c r="N32" s="19"/>
      <c r="O32" s="19"/>
      <c r="P32" s="19"/>
      <c r="Q32" s="19">
        <f>SUM(Q30:Q31)</f>
        <v>28791.25</v>
      </c>
      <c r="R32" s="19"/>
    </row>
    <row r="33" spans="1:18" ht="15">
      <c r="A33" s="1">
        <v>21</v>
      </c>
      <c r="B33" s="3" t="s">
        <v>40</v>
      </c>
      <c r="F33" s="19"/>
      <c r="G33" s="19">
        <f>G18</f>
        <v>525814</v>
      </c>
      <c r="H33" s="19"/>
      <c r="I33" s="19"/>
      <c r="J33" s="19"/>
      <c r="K33" s="19"/>
      <c r="L33" s="19">
        <f>L18</f>
        <v>576159</v>
      </c>
      <c r="M33" s="19"/>
      <c r="N33" s="19"/>
      <c r="O33" s="19"/>
      <c r="P33" s="19"/>
      <c r="Q33" s="19">
        <f>AVERAGE(G33,L33)</f>
        <v>550986.5</v>
      </c>
      <c r="R33" s="19"/>
    </row>
    <row r="34" spans="1:18" ht="15">
      <c r="A34" s="1">
        <v>22</v>
      </c>
      <c r="B34" s="3" t="s">
        <v>54</v>
      </c>
      <c r="F34" s="23"/>
      <c r="G34" s="23">
        <f>G32/G33</f>
        <v>0.05301732171452263</v>
      </c>
      <c r="H34" s="23"/>
      <c r="I34" s="23"/>
      <c r="J34" s="23"/>
      <c r="K34" s="23"/>
      <c r="L34" s="23">
        <f>L32/L33</f>
        <v>0.05155738259751214</v>
      </c>
      <c r="M34" s="19"/>
      <c r="N34" s="19"/>
      <c r="O34" s="19"/>
      <c r="P34" s="19"/>
      <c r="Q34" s="23">
        <f>Q32/Q33</f>
        <v>0.05225400259352997</v>
      </c>
      <c r="R34" s="19"/>
    </row>
    <row r="35" spans="6:18" ht="15">
      <c r="F35" s="23"/>
      <c r="G35" s="23"/>
      <c r="H35" s="23"/>
      <c r="I35" s="23"/>
      <c r="J35" s="23"/>
      <c r="K35" s="23"/>
      <c r="L35" s="23"/>
      <c r="M35" s="19"/>
      <c r="N35" s="19"/>
      <c r="O35" s="19"/>
      <c r="P35" s="19"/>
      <c r="Q35" s="19"/>
      <c r="R35" s="19"/>
    </row>
    <row r="36" spans="2:18" ht="20.25">
      <c r="B36" s="97" t="s">
        <v>55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9"/>
      <c r="P36" s="19"/>
      <c r="Q36" s="19"/>
      <c r="R36" s="19"/>
    </row>
    <row r="37" spans="5:18" ht="1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5:18" ht="15">
      <c r="E38" s="30" t="s">
        <v>56</v>
      </c>
      <c r="F38" s="30" t="s">
        <v>57</v>
      </c>
      <c r="G38" s="30" t="s">
        <v>56</v>
      </c>
      <c r="H38" s="31" t="s">
        <v>58</v>
      </c>
      <c r="I38" s="31" t="s">
        <v>59</v>
      </c>
      <c r="J38" s="30" t="s">
        <v>60</v>
      </c>
      <c r="K38" s="30" t="s">
        <v>56</v>
      </c>
      <c r="L38" s="31" t="s">
        <v>58</v>
      </c>
      <c r="M38" s="31" t="s">
        <v>59</v>
      </c>
      <c r="O38" s="19"/>
      <c r="P38" s="19"/>
      <c r="Q38" s="19"/>
      <c r="R38" s="19"/>
    </row>
    <row r="39" spans="2:18" ht="15">
      <c r="B39" s="18" t="s">
        <v>32</v>
      </c>
      <c r="E39" s="19"/>
      <c r="F39" s="19"/>
      <c r="G39" s="19"/>
      <c r="H39" s="19"/>
      <c r="I39" s="19"/>
      <c r="J39" s="19"/>
      <c r="K39" s="19"/>
      <c r="L39" s="19"/>
      <c r="M39" s="19"/>
      <c r="O39" s="19"/>
      <c r="P39" s="19"/>
      <c r="Q39" s="19"/>
      <c r="R39" s="19"/>
    </row>
    <row r="40" spans="1:18" ht="15">
      <c r="A40" s="1">
        <v>23</v>
      </c>
      <c r="B40" s="3" t="s">
        <v>61</v>
      </c>
      <c r="E40" s="19">
        <v>2000</v>
      </c>
      <c r="F40" s="19">
        <v>-2000</v>
      </c>
      <c r="G40" s="19">
        <f aca="true" t="shared" si="2" ref="G40:G48">E40+F40</f>
        <v>0</v>
      </c>
      <c r="H40" s="32">
        <v>41547</v>
      </c>
      <c r="I40" s="23">
        <v>0.0689</v>
      </c>
      <c r="J40" s="19"/>
      <c r="K40" s="19">
        <f>E40+F40+J40</f>
        <v>0</v>
      </c>
      <c r="L40" s="32"/>
      <c r="M40" s="23"/>
      <c r="O40" s="19"/>
      <c r="P40" s="19"/>
      <c r="Q40" s="19"/>
      <c r="R40" s="19"/>
    </row>
    <row r="41" spans="1:18" ht="15">
      <c r="A41" s="1">
        <v>24</v>
      </c>
      <c r="E41" s="19">
        <v>14500</v>
      </c>
      <c r="F41" s="19"/>
      <c r="G41" s="19">
        <f t="shared" si="2"/>
        <v>14500</v>
      </c>
      <c r="H41" s="32">
        <v>43018</v>
      </c>
      <c r="I41" s="23">
        <v>0.0685</v>
      </c>
      <c r="J41" s="19"/>
      <c r="K41" s="19">
        <f>G41+J41</f>
        <v>14500</v>
      </c>
      <c r="L41" s="32">
        <v>43018</v>
      </c>
      <c r="M41" s="23">
        <v>0.0685</v>
      </c>
      <c r="O41" s="19"/>
      <c r="P41" s="19"/>
      <c r="Q41" s="19"/>
      <c r="R41" s="19"/>
    </row>
    <row r="42" spans="1:18" ht="15">
      <c r="A42" s="1">
        <v>25</v>
      </c>
      <c r="E42" s="19">
        <v>40000</v>
      </c>
      <c r="F42" s="19">
        <v>-40000</v>
      </c>
      <c r="G42" s="19">
        <f t="shared" si="2"/>
        <v>0</v>
      </c>
      <c r="H42" s="32">
        <v>41298</v>
      </c>
      <c r="I42" s="23">
        <v>0.05</v>
      </c>
      <c r="J42" s="19"/>
      <c r="K42" s="19">
        <f>E42+F42+J42</f>
        <v>0</v>
      </c>
      <c r="L42" s="32"/>
      <c r="M42" s="23"/>
      <c r="O42" s="19"/>
      <c r="P42" s="19"/>
      <c r="Q42" s="19"/>
      <c r="R42" s="19"/>
    </row>
    <row r="43" spans="1:18" ht="15">
      <c r="A43" s="1">
        <v>26</v>
      </c>
      <c r="E43" s="22">
        <v>70000</v>
      </c>
      <c r="F43" s="22"/>
      <c r="G43" s="19">
        <f t="shared" si="2"/>
        <v>70000</v>
      </c>
      <c r="H43" s="32">
        <v>43174</v>
      </c>
      <c r="I43" s="23">
        <v>0.0531</v>
      </c>
      <c r="J43" s="22"/>
      <c r="K43" s="19">
        <f aca="true" t="shared" si="3" ref="K43:K49">G43+J43</f>
        <v>70000</v>
      </c>
      <c r="L43" s="32">
        <v>43174</v>
      </c>
      <c r="M43" s="23">
        <v>0.0531</v>
      </c>
      <c r="O43" s="19"/>
      <c r="P43" s="19"/>
      <c r="Q43" s="19"/>
      <c r="R43" s="19"/>
    </row>
    <row r="44" spans="1:18" ht="15">
      <c r="A44" s="1">
        <v>27</v>
      </c>
      <c r="B44" s="33" t="s">
        <v>62</v>
      </c>
      <c r="E44" s="22">
        <v>100000</v>
      </c>
      <c r="F44" s="22"/>
      <c r="G44" s="19">
        <f t="shared" si="2"/>
        <v>100000</v>
      </c>
      <c r="H44" s="32">
        <v>50496</v>
      </c>
      <c r="I44" s="23">
        <v>0.072</v>
      </c>
      <c r="J44" s="22"/>
      <c r="K44" s="19">
        <f t="shared" si="3"/>
        <v>100000</v>
      </c>
      <c r="L44" s="32">
        <v>50496</v>
      </c>
      <c r="M44" s="23">
        <v>0.072</v>
      </c>
      <c r="O44" s="19"/>
      <c r="P44" s="19"/>
      <c r="Q44" s="19"/>
      <c r="R44" s="19"/>
    </row>
    <row r="45" spans="1:18" ht="15">
      <c r="A45" s="1">
        <v>28</v>
      </c>
      <c r="B45" s="33"/>
      <c r="E45" s="34">
        <v>50000</v>
      </c>
      <c r="F45" s="34"/>
      <c r="G45" s="19">
        <f t="shared" si="2"/>
        <v>50000</v>
      </c>
      <c r="H45" s="35">
        <v>43191</v>
      </c>
      <c r="I45" s="36">
        <v>0.063</v>
      </c>
      <c r="J45" s="34"/>
      <c r="K45" s="19">
        <f t="shared" si="3"/>
        <v>50000</v>
      </c>
      <c r="L45" s="35">
        <v>43191</v>
      </c>
      <c r="M45" s="36">
        <v>0.063</v>
      </c>
      <c r="O45" s="19"/>
      <c r="P45" s="19"/>
      <c r="Q45" s="19"/>
      <c r="R45" s="19"/>
    </row>
    <row r="46" spans="1:18" ht="15">
      <c r="A46" s="1">
        <v>29</v>
      </c>
      <c r="B46" s="33"/>
      <c r="E46" s="34">
        <v>40000</v>
      </c>
      <c r="F46" s="34"/>
      <c r="G46" s="19">
        <f t="shared" si="2"/>
        <v>40000</v>
      </c>
      <c r="H46" s="35">
        <v>45627</v>
      </c>
      <c r="I46" s="36">
        <v>0.0298</v>
      </c>
      <c r="J46" s="34"/>
      <c r="K46" s="19">
        <f t="shared" si="3"/>
        <v>40000</v>
      </c>
      <c r="L46" s="35">
        <v>45627</v>
      </c>
      <c r="M46" s="36">
        <v>0.0298</v>
      </c>
      <c r="O46" s="19"/>
      <c r="P46" s="19"/>
      <c r="Q46" s="19"/>
      <c r="R46" s="19"/>
    </row>
    <row r="47" spans="1:18" ht="15">
      <c r="A47" s="1">
        <v>30</v>
      </c>
      <c r="B47" s="33"/>
      <c r="E47" s="34">
        <v>110000</v>
      </c>
      <c r="F47" s="34"/>
      <c r="G47" s="19">
        <f t="shared" si="2"/>
        <v>110000</v>
      </c>
      <c r="H47" s="35">
        <v>46722</v>
      </c>
      <c r="I47" s="36">
        <v>0.0328</v>
      </c>
      <c r="J47" s="34"/>
      <c r="K47" s="19">
        <f t="shared" si="3"/>
        <v>110000</v>
      </c>
      <c r="L47" s="35">
        <v>46722</v>
      </c>
      <c r="M47" s="36">
        <v>0.0328</v>
      </c>
      <c r="O47" s="19"/>
      <c r="P47" s="19"/>
      <c r="Q47" s="19"/>
      <c r="R47" s="19"/>
    </row>
    <row r="48" spans="1:18" ht="15">
      <c r="A48" s="1">
        <v>31</v>
      </c>
      <c r="B48" s="33" t="s">
        <v>63</v>
      </c>
      <c r="E48" s="34"/>
      <c r="F48" s="37">
        <v>150000</v>
      </c>
      <c r="G48" s="19">
        <f t="shared" si="2"/>
        <v>150000</v>
      </c>
      <c r="H48" s="35">
        <v>52566</v>
      </c>
      <c r="I48" s="23">
        <v>0.048</v>
      </c>
      <c r="J48" s="37"/>
      <c r="K48" s="19">
        <f t="shared" si="3"/>
        <v>150000</v>
      </c>
      <c r="L48" s="35">
        <v>52566</v>
      </c>
      <c r="M48" s="23">
        <v>0.045</v>
      </c>
      <c r="O48" s="19"/>
      <c r="P48" s="19"/>
      <c r="Q48" s="19"/>
      <c r="R48" s="19"/>
    </row>
    <row r="49" spans="1:18" ht="15">
      <c r="A49" s="1">
        <v>32</v>
      </c>
      <c r="B49" s="33" t="s">
        <v>64</v>
      </c>
      <c r="E49" s="34"/>
      <c r="F49" s="37"/>
      <c r="G49" s="19"/>
      <c r="H49" s="35"/>
      <c r="I49" s="23"/>
      <c r="J49" s="37">
        <v>50000</v>
      </c>
      <c r="K49" s="19">
        <f t="shared" si="3"/>
        <v>50000</v>
      </c>
      <c r="L49" s="35">
        <v>45627</v>
      </c>
      <c r="M49" s="23">
        <v>0.045</v>
      </c>
      <c r="O49" s="19"/>
      <c r="P49" s="19"/>
      <c r="Q49" s="19"/>
      <c r="R49" s="19"/>
    </row>
    <row r="50" spans="1:18" ht="15.75" thickBot="1">
      <c r="A50" s="1">
        <v>33</v>
      </c>
      <c r="E50" s="38">
        <f>SUM(E40:E48)</f>
        <v>426500</v>
      </c>
      <c r="F50" s="38">
        <f>SUM(F40:F48)</f>
        <v>108000</v>
      </c>
      <c r="G50" s="38">
        <f>SUM(G40:G48)</f>
        <v>534500</v>
      </c>
      <c r="I50" s="39">
        <f>G51/G50</f>
        <v>0.050627221702525725</v>
      </c>
      <c r="J50" s="38">
        <f>SUM(J40:J49)</f>
        <v>50000</v>
      </c>
      <c r="K50" s="38">
        <f>SUM(K40:K49)</f>
        <v>584500</v>
      </c>
      <c r="L50" s="19"/>
      <c r="M50" s="39">
        <f>K51/K50</f>
        <v>0.0493759623609923</v>
      </c>
      <c r="O50" s="19"/>
      <c r="P50" s="19"/>
      <c r="Q50" s="19"/>
      <c r="R50" s="19"/>
    </row>
    <row r="51" spans="1:18" ht="15.75" thickTop="1">
      <c r="A51" s="1">
        <v>34</v>
      </c>
      <c r="B51" s="3" t="s">
        <v>52</v>
      </c>
      <c r="E51" s="40"/>
      <c r="F51" s="40"/>
      <c r="G51" s="34">
        <f>(G40*I40)+(G41*I41)+(G42*I42)+(G43*I43)+(G44*I44)+(G45*I45)+(G46*I46)+(G47*I47)+(G48*I48)</f>
        <v>27060.25</v>
      </c>
      <c r="H51" s="40"/>
      <c r="I51" s="40"/>
      <c r="J51" s="40"/>
      <c r="K51" s="34">
        <f>(K41*M41)+(K43*M43)+(K44*M44)+(K45*M45)+(K46*M46)+(K47*M47)+(K48*M48)+(K49*M49)</f>
        <v>28860.25</v>
      </c>
      <c r="L51" s="19"/>
      <c r="M51" s="19"/>
      <c r="O51" s="19"/>
      <c r="P51" s="19"/>
      <c r="Q51" s="19"/>
      <c r="R51" s="19"/>
    </row>
    <row r="52" spans="5:18" ht="0.75" customHeight="1">
      <c r="E52" s="19"/>
      <c r="F52" s="19"/>
      <c r="G52" s="19"/>
      <c r="H52" s="19"/>
      <c r="I52" s="19"/>
      <c r="J52" s="19"/>
      <c r="K52" s="19"/>
      <c r="L52" s="40"/>
      <c r="M52" s="19"/>
      <c r="N52" s="19"/>
      <c r="O52" s="19"/>
      <c r="P52" s="19"/>
      <c r="Q52" s="19"/>
      <c r="R52" s="19"/>
    </row>
    <row r="53" ht="12.75" hidden="1"/>
    <row r="54" spans="19:22" ht="116.25">
      <c r="S54" s="41"/>
      <c r="T54" s="42" t="s">
        <v>65</v>
      </c>
      <c r="U54" s="42" t="s">
        <v>66</v>
      </c>
      <c r="V54" s="42" t="s">
        <v>67</v>
      </c>
    </row>
    <row r="56" spans="3:14" ht="12.75">
      <c r="C56" s="34"/>
      <c r="N56" s="34"/>
    </row>
  </sheetData>
  <sheetProtection/>
  <mergeCells count="6">
    <mergeCell ref="B3:O3"/>
    <mergeCell ref="B4:O4"/>
    <mergeCell ref="H7:J7"/>
    <mergeCell ref="M7:O7"/>
    <mergeCell ref="P7:R7"/>
    <mergeCell ref="B36:N36"/>
  </mergeCells>
  <printOptions/>
  <pageMargins left="0.7" right="0" top="0.75" bottom="0.75" header="0.3" footer="0.3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7">
      <selection activeCell="A23" sqref="A23"/>
    </sheetView>
  </sheetViews>
  <sheetFormatPr defaultColWidth="9.140625" defaultRowHeight="15"/>
  <cols>
    <col min="1" max="1" width="5.00390625" style="0" bestFit="1" customWidth="1"/>
    <col min="2" max="2" width="15.7109375" style="0" customWidth="1"/>
    <col min="3" max="3" width="18.57421875" style="0" bestFit="1" customWidth="1"/>
    <col min="4" max="4" width="3.57421875" style="0" bestFit="1" customWidth="1"/>
    <col min="5" max="5" width="13.28125" style="0" bestFit="1" customWidth="1"/>
    <col min="6" max="6" width="14.421875" style="0" bestFit="1" customWidth="1"/>
    <col min="7" max="7" width="15.140625" style="0" bestFit="1" customWidth="1"/>
    <col min="8" max="8" width="9.421875" style="0" bestFit="1" customWidth="1"/>
    <col min="9" max="9" width="7.140625" style="0" bestFit="1" customWidth="1"/>
    <col min="10" max="10" width="14.421875" style="0" bestFit="1" customWidth="1"/>
    <col min="11" max="11" width="12.8515625" style="0" bestFit="1" customWidth="1"/>
    <col min="12" max="12" width="15.140625" style="0" bestFit="1" customWidth="1"/>
    <col min="13" max="14" width="7.140625" style="0" bestFit="1" customWidth="1"/>
    <col min="15" max="15" width="9.7109375" style="0" bestFit="1" customWidth="1"/>
    <col min="16" max="16" width="7.140625" style="0" bestFit="1" customWidth="1"/>
    <col min="17" max="17" width="8.7109375" style="0" bestFit="1" customWidth="1"/>
    <col min="18" max="18" width="9.7109375" style="0" bestFit="1" customWidth="1"/>
  </cols>
  <sheetData>
    <row r="1" spans="1:18" ht="1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6.25">
      <c r="A3" s="43"/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5"/>
      <c r="Q3" s="45"/>
      <c r="R3" s="45"/>
    </row>
    <row r="4" spans="1:18" ht="15.75">
      <c r="A4" s="43"/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46"/>
      <c r="Q4" s="46"/>
      <c r="R4" s="46"/>
    </row>
    <row r="5" spans="1:18" ht="15.75">
      <c r="A5" s="4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5">
      <c r="A6" s="43"/>
      <c r="B6" s="47" t="s">
        <v>2</v>
      </c>
      <c r="C6" s="47" t="s">
        <v>3</v>
      </c>
      <c r="D6" s="48" t="s">
        <v>4</v>
      </c>
      <c r="E6" s="47" t="s">
        <v>5</v>
      </c>
      <c r="F6" s="47" t="s">
        <v>6</v>
      </c>
      <c r="G6" s="47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50" t="s">
        <v>12</v>
      </c>
      <c r="M6" s="50" t="s">
        <v>13</v>
      </c>
      <c r="N6" s="50" t="s">
        <v>14</v>
      </c>
      <c r="O6" s="50" t="s">
        <v>15</v>
      </c>
      <c r="P6" s="49" t="s">
        <v>16</v>
      </c>
      <c r="Q6" s="49" t="s">
        <v>17</v>
      </c>
      <c r="R6" s="49" t="s">
        <v>18</v>
      </c>
    </row>
    <row r="7" spans="1:18" ht="15">
      <c r="A7" s="43"/>
      <c r="B7" s="44"/>
      <c r="C7" s="44"/>
      <c r="D7" s="44"/>
      <c r="E7" s="51" t="s">
        <v>19</v>
      </c>
      <c r="F7" s="52"/>
      <c r="G7" s="51" t="s">
        <v>20</v>
      </c>
      <c r="H7" s="100">
        <v>2013</v>
      </c>
      <c r="I7" s="101"/>
      <c r="J7" s="102"/>
      <c r="K7" s="52"/>
      <c r="L7" s="51" t="s">
        <v>20</v>
      </c>
      <c r="M7" s="100">
        <v>2014</v>
      </c>
      <c r="N7" s="101"/>
      <c r="O7" s="102"/>
      <c r="P7" s="103" t="s">
        <v>21</v>
      </c>
      <c r="Q7" s="101"/>
      <c r="R7" s="102"/>
    </row>
    <row r="8" spans="1:18" ht="15">
      <c r="A8" s="43" t="s">
        <v>22</v>
      </c>
      <c r="B8" s="44"/>
      <c r="C8" s="44"/>
      <c r="D8" s="44"/>
      <c r="E8" s="53" t="s">
        <v>23</v>
      </c>
      <c r="F8" s="54" t="s">
        <v>24</v>
      </c>
      <c r="G8" s="54" t="s">
        <v>23</v>
      </c>
      <c r="H8" s="53" t="s">
        <v>25</v>
      </c>
      <c r="I8" s="53"/>
      <c r="J8" s="54" t="s">
        <v>26</v>
      </c>
      <c r="K8" s="54" t="s">
        <v>27</v>
      </c>
      <c r="L8" s="54" t="s">
        <v>23</v>
      </c>
      <c r="M8" s="53" t="s">
        <v>25</v>
      </c>
      <c r="N8" s="53"/>
      <c r="O8" s="54" t="s">
        <v>26</v>
      </c>
      <c r="P8" s="53" t="s">
        <v>25</v>
      </c>
      <c r="Q8" s="53"/>
      <c r="R8" s="54" t="s">
        <v>26</v>
      </c>
    </row>
    <row r="9" spans="1:18" ht="15">
      <c r="A9" s="43" t="s">
        <v>28</v>
      </c>
      <c r="B9" s="44"/>
      <c r="C9" s="44"/>
      <c r="D9" s="44"/>
      <c r="E9" s="55">
        <v>41274</v>
      </c>
      <c r="F9" s="56" t="s">
        <v>29</v>
      </c>
      <c r="G9" s="55">
        <v>41639</v>
      </c>
      <c r="H9" s="57" t="s">
        <v>30</v>
      </c>
      <c r="I9" s="57" t="s">
        <v>31</v>
      </c>
      <c r="J9" s="57" t="s">
        <v>31</v>
      </c>
      <c r="K9" s="56" t="s">
        <v>29</v>
      </c>
      <c r="L9" s="55">
        <v>42004</v>
      </c>
      <c r="M9" s="57" t="s">
        <v>30</v>
      </c>
      <c r="N9" s="57" t="s">
        <v>31</v>
      </c>
      <c r="O9" s="57" t="s">
        <v>31</v>
      </c>
      <c r="P9" s="57" t="s">
        <v>30</v>
      </c>
      <c r="Q9" s="57" t="s">
        <v>31</v>
      </c>
      <c r="R9" s="57" t="s">
        <v>31</v>
      </c>
    </row>
    <row r="10" spans="1:18" ht="15">
      <c r="A10" s="43"/>
      <c r="B10" s="58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5">
      <c r="A11" s="43">
        <f aca="true" t="shared" si="0" ref="A11:A18">+A10+1</f>
        <v>1</v>
      </c>
      <c r="B11" s="44" t="s">
        <v>33</v>
      </c>
      <c r="C11" s="44"/>
      <c r="D11" s="44"/>
      <c r="E11" s="59">
        <f>384500+42000</f>
        <v>426500</v>
      </c>
      <c r="F11" s="59"/>
      <c r="G11" s="59">
        <f>E11+F12+F13</f>
        <v>534500</v>
      </c>
      <c r="H11" s="59"/>
      <c r="I11" s="59"/>
      <c r="J11" s="59"/>
      <c r="K11" s="59"/>
      <c r="L11" s="59">
        <f>G11+K12+K13</f>
        <v>584500</v>
      </c>
      <c r="M11" s="59"/>
      <c r="N11" s="59"/>
      <c r="O11" s="59"/>
      <c r="P11" s="59"/>
      <c r="Q11" s="59"/>
      <c r="R11" s="59"/>
    </row>
    <row r="12" spans="1:18" ht="15">
      <c r="A12" s="43">
        <f t="shared" si="0"/>
        <v>2</v>
      </c>
      <c r="B12" s="44"/>
      <c r="C12" s="60" t="s">
        <v>34</v>
      </c>
      <c r="D12" s="44"/>
      <c r="E12" s="59"/>
      <c r="F12" s="59">
        <v>150000</v>
      </c>
      <c r="G12" s="59"/>
      <c r="H12" s="59"/>
      <c r="I12" s="59"/>
      <c r="J12" s="59"/>
      <c r="K12" s="59">
        <v>50000</v>
      </c>
      <c r="L12" s="59"/>
      <c r="M12" s="59"/>
      <c r="N12" s="59"/>
      <c r="O12" s="59"/>
      <c r="P12" s="59"/>
      <c r="Q12" s="59"/>
      <c r="R12" s="59"/>
    </row>
    <row r="13" spans="1:18" ht="15">
      <c r="A13" s="43">
        <f t="shared" si="0"/>
        <v>3</v>
      </c>
      <c r="B13" s="44"/>
      <c r="C13" s="60" t="s">
        <v>35</v>
      </c>
      <c r="D13" s="44"/>
      <c r="E13" s="59"/>
      <c r="F13" s="59">
        <v>-42000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5">
      <c r="A14" s="43">
        <f t="shared" si="0"/>
        <v>4</v>
      </c>
      <c r="B14" s="44" t="s">
        <v>36</v>
      </c>
      <c r="C14" s="44"/>
      <c r="D14" s="44"/>
      <c r="E14" s="59">
        <v>-3165</v>
      </c>
      <c r="F14" s="44"/>
      <c r="G14" s="81">
        <f>E14+F15+F16</f>
        <v>-3864</v>
      </c>
      <c r="H14" s="59"/>
      <c r="I14" s="59"/>
      <c r="J14" s="59"/>
      <c r="K14" s="44"/>
      <c r="L14" s="81">
        <f>G14+K15+K16</f>
        <v>-4050</v>
      </c>
      <c r="M14" s="59"/>
      <c r="N14" s="59"/>
      <c r="O14" s="59"/>
      <c r="P14" s="59"/>
      <c r="Q14" s="59"/>
      <c r="R14" s="59"/>
    </row>
    <row r="15" spans="1:18" ht="15">
      <c r="A15" s="43">
        <f t="shared" si="0"/>
        <v>5</v>
      </c>
      <c r="B15" s="44"/>
      <c r="C15" s="60" t="s">
        <v>37</v>
      </c>
      <c r="D15" s="44"/>
      <c r="E15" s="59"/>
      <c r="F15" s="81">
        <v>-985</v>
      </c>
      <c r="G15" s="59"/>
      <c r="H15" s="59"/>
      <c r="I15" s="59"/>
      <c r="J15" s="59"/>
      <c r="K15" s="59">
        <v>-500</v>
      </c>
      <c r="L15" s="59"/>
      <c r="M15" s="59"/>
      <c r="N15" s="59"/>
      <c r="O15" s="59"/>
      <c r="P15" s="59"/>
      <c r="Q15" s="59"/>
      <c r="R15" s="59"/>
    </row>
    <row r="16" spans="1:18" ht="15">
      <c r="A16" s="43">
        <f t="shared" si="0"/>
        <v>6</v>
      </c>
      <c r="B16" s="44"/>
      <c r="C16" s="60" t="s">
        <v>38</v>
      </c>
      <c r="D16" s="44"/>
      <c r="E16" s="59"/>
      <c r="F16" s="59">
        <f>283+3</f>
        <v>286</v>
      </c>
      <c r="G16" s="59"/>
      <c r="H16" s="59"/>
      <c r="I16" s="59"/>
      <c r="J16" s="59"/>
      <c r="K16" s="81">
        <v>314</v>
      </c>
      <c r="L16" s="59"/>
      <c r="M16" s="59"/>
      <c r="N16" s="59"/>
      <c r="O16" s="59"/>
      <c r="P16" s="59"/>
      <c r="Q16" s="59"/>
      <c r="R16" s="59"/>
    </row>
    <row r="17" spans="1:18" ht="15">
      <c r="A17" s="43">
        <f t="shared" si="0"/>
        <v>7</v>
      </c>
      <c r="B17" s="44" t="s">
        <v>39</v>
      </c>
      <c r="C17" s="44"/>
      <c r="D17" s="44"/>
      <c r="E17" s="61">
        <v>-5338</v>
      </c>
      <c r="F17" s="62">
        <v>531</v>
      </c>
      <c r="G17" s="61">
        <f>E17+F17</f>
        <v>-4807</v>
      </c>
      <c r="H17" s="62"/>
      <c r="I17" s="62"/>
      <c r="J17" s="62"/>
      <c r="K17" s="62">
        <v>530</v>
      </c>
      <c r="L17" s="61">
        <f>G17+K17</f>
        <v>-4277</v>
      </c>
      <c r="M17" s="59"/>
      <c r="N17" s="59"/>
      <c r="O17" s="59"/>
      <c r="P17" s="59"/>
      <c r="Q17" s="59"/>
      <c r="R17" s="59"/>
    </row>
    <row r="18" spans="1:18" ht="15">
      <c r="A18" s="43">
        <f t="shared" si="0"/>
        <v>8</v>
      </c>
      <c r="B18" s="44"/>
      <c r="C18" s="44" t="s">
        <v>40</v>
      </c>
      <c r="D18" s="44"/>
      <c r="E18" s="59">
        <f>SUM(E11:E17)</f>
        <v>417997</v>
      </c>
      <c r="F18" s="59"/>
      <c r="G18" s="81">
        <f>SUM(G11:G17)</f>
        <v>525829</v>
      </c>
      <c r="H18" s="65">
        <f>G18/(G18+G27)</f>
        <v>0.4787701984264644</v>
      </c>
      <c r="I18" s="65">
        <f>G34</f>
        <v>0.05301580932204196</v>
      </c>
      <c r="J18" s="65">
        <f>H18*I18</f>
        <v>0.02538238954885363</v>
      </c>
      <c r="K18" s="59"/>
      <c r="L18" s="81">
        <f>SUM(L11:L17)</f>
        <v>576173</v>
      </c>
      <c r="M18" s="82">
        <f>L18/(L18+L27)</f>
        <v>0.47985025838340684</v>
      </c>
      <c r="N18" s="82">
        <f>L34</f>
        <v>0.051944901965208366</v>
      </c>
      <c r="O18" s="82">
        <f>M18*N18</f>
        <v>0.024925774629705973</v>
      </c>
      <c r="P18" s="65">
        <f>(H18+M18)/2</f>
        <v>0.47931022840493565</v>
      </c>
      <c r="Q18" s="82">
        <f>+Q34</f>
        <v>0.052455893909448444</v>
      </c>
      <c r="R18" s="82">
        <f>+P18*Q18</f>
        <v>0.025142646490922807</v>
      </c>
    </row>
    <row r="19" spans="1:18" ht="15">
      <c r="A19" s="43"/>
      <c r="B19" s="58" t="s">
        <v>41</v>
      </c>
      <c r="C19" s="44"/>
      <c r="D19" s="44"/>
      <c r="E19" s="59"/>
      <c r="F19" s="59"/>
      <c r="G19" s="59"/>
      <c r="H19" s="65"/>
      <c r="I19" s="65"/>
      <c r="J19" s="65"/>
      <c r="K19" s="59"/>
      <c r="L19" s="59"/>
      <c r="M19" s="65"/>
      <c r="N19" s="65"/>
      <c r="O19" s="65"/>
      <c r="P19" s="65"/>
      <c r="Q19" s="65"/>
      <c r="R19" s="65"/>
    </row>
    <row r="20" spans="1:18" ht="15">
      <c r="A20" s="43">
        <f>+A18+1</f>
        <v>9</v>
      </c>
      <c r="B20" s="44" t="s">
        <v>42</v>
      </c>
      <c r="C20" s="44"/>
      <c r="D20" s="44"/>
      <c r="E20" s="59">
        <v>22974</v>
      </c>
      <c r="F20" s="59"/>
      <c r="G20" s="59">
        <f>E20+F20</f>
        <v>22974</v>
      </c>
      <c r="H20" s="65"/>
      <c r="I20" s="65"/>
      <c r="J20" s="65"/>
      <c r="K20" s="59"/>
      <c r="L20" s="59">
        <f>G20+K20</f>
        <v>22974</v>
      </c>
      <c r="M20" s="65"/>
      <c r="N20" s="65"/>
      <c r="O20" s="65"/>
      <c r="P20" s="65"/>
      <c r="Q20" s="65"/>
      <c r="R20" s="65"/>
    </row>
    <row r="21" spans="1:18" ht="15">
      <c r="A21" s="43">
        <f aca="true" t="shared" si="1" ref="A21:A26">+A20+1</f>
        <v>10</v>
      </c>
      <c r="B21" s="44" t="s">
        <v>43</v>
      </c>
      <c r="C21" s="44"/>
      <c r="D21" s="44"/>
      <c r="E21" s="59">
        <v>172503</v>
      </c>
      <c r="F21" s="59"/>
      <c r="G21" s="59">
        <f>E21+F22+F23</f>
        <v>263803</v>
      </c>
      <c r="H21" s="65"/>
      <c r="I21" s="65"/>
      <c r="J21" s="65"/>
      <c r="K21" s="44"/>
      <c r="L21" s="59">
        <f>G21+K22+K23</f>
        <v>295103</v>
      </c>
      <c r="M21" s="65"/>
      <c r="N21" s="65"/>
      <c r="O21" s="65"/>
      <c r="P21" s="65"/>
      <c r="Q21" s="65"/>
      <c r="R21" s="65"/>
    </row>
    <row r="22" spans="1:18" ht="15">
      <c r="A22" s="43">
        <f t="shared" si="1"/>
        <v>11</v>
      </c>
      <c r="B22" s="44"/>
      <c r="C22" s="60" t="s">
        <v>44</v>
      </c>
      <c r="D22" s="44"/>
      <c r="E22" s="59"/>
      <c r="F22" s="59">
        <v>90000</v>
      </c>
      <c r="G22" s="59"/>
      <c r="H22" s="65"/>
      <c r="I22" s="65"/>
      <c r="J22" s="65"/>
      <c r="K22" s="59">
        <v>30000</v>
      </c>
      <c r="L22" s="59"/>
      <c r="M22" s="65"/>
      <c r="N22" s="65"/>
      <c r="O22" s="65"/>
      <c r="P22" s="65"/>
      <c r="Q22" s="65"/>
      <c r="R22" s="65"/>
    </row>
    <row r="23" spans="1:18" ht="15">
      <c r="A23" s="43">
        <f t="shared" si="1"/>
        <v>12</v>
      </c>
      <c r="B23" s="44"/>
      <c r="C23" s="60" t="s">
        <v>45</v>
      </c>
      <c r="D23" s="44"/>
      <c r="E23" s="59"/>
      <c r="F23" s="59">
        <v>1300</v>
      </c>
      <c r="G23" s="59"/>
      <c r="H23" s="65"/>
      <c r="I23" s="65"/>
      <c r="J23" s="65"/>
      <c r="K23" s="59">
        <v>1300</v>
      </c>
      <c r="L23" s="59"/>
      <c r="M23" s="65"/>
      <c r="N23" s="65"/>
      <c r="O23" s="65"/>
      <c r="P23" s="65"/>
      <c r="Q23" s="65"/>
      <c r="R23" s="65"/>
    </row>
    <row r="24" spans="1:18" ht="15">
      <c r="A24" s="43">
        <f t="shared" si="1"/>
        <v>13</v>
      </c>
      <c r="B24" s="44" t="s">
        <v>46</v>
      </c>
      <c r="C24" s="44"/>
      <c r="D24" s="44"/>
      <c r="E24" s="62">
        <v>272085</v>
      </c>
      <c r="F24" s="62"/>
      <c r="G24" s="62">
        <f>E24+F25+F26</f>
        <v>285685</v>
      </c>
      <c r="H24" s="65"/>
      <c r="I24" s="65"/>
      <c r="J24" s="65"/>
      <c r="K24" s="62"/>
      <c r="L24" s="62">
        <f>G24+K25+K26</f>
        <v>306485</v>
      </c>
      <c r="M24" s="65"/>
      <c r="N24" s="65"/>
      <c r="O24" s="65"/>
      <c r="P24" s="65"/>
      <c r="Q24" s="65"/>
      <c r="R24" s="65"/>
    </row>
    <row r="25" spans="1:18" ht="15">
      <c r="A25" s="43">
        <f t="shared" si="1"/>
        <v>14</v>
      </c>
      <c r="B25" s="44"/>
      <c r="C25" s="60" t="s">
        <v>47</v>
      </c>
      <c r="D25" s="44"/>
      <c r="E25" s="62"/>
      <c r="F25" s="62">
        <v>49100</v>
      </c>
      <c r="G25" s="62"/>
      <c r="H25" s="65"/>
      <c r="I25" s="65"/>
      <c r="J25" s="65"/>
      <c r="K25" s="62">
        <v>58600</v>
      </c>
      <c r="L25" s="62"/>
      <c r="M25" s="65"/>
      <c r="N25" s="65"/>
      <c r="O25" s="65"/>
      <c r="P25" s="65"/>
      <c r="Q25" s="65"/>
      <c r="R25" s="65"/>
    </row>
    <row r="26" spans="1:18" ht="15">
      <c r="A26" s="43">
        <f t="shared" si="1"/>
        <v>15</v>
      </c>
      <c r="B26" s="44"/>
      <c r="C26" s="60" t="s">
        <v>48</v>
      </c>
      <c r="D26" s="44"/>
      <c r="E26" s="61"/>
      <c r="F26" s="62">
        <v>-35500</v>
      </c>
      <c r="G26" s="61"/>
      <c r="H26" s="65"/>
      <c r="I26" s="65"/>
      <c r="J26" s="65"/>
      <c r="K26" s="62">
        <v>-37800</v>
      </c>
      <c r="L26" s="61"/>
      <c r="M26" s="65"/>
      <c r="N26" s="65"/>
      <c r="O26" s="65"/>
      <c r="P26" s="65"/>
      <c r="Q26" s="65"/>
      <c r="R26" s="65"/>
    </row>
    <row r="27" spans="1:18" ht="15">
      <c r="A27" s="43">
        <v>16</v>
      </c>
      <c r="B27" s="44"/>
      <c r="C27" s="44" t="s">
        <v>49</v>
      </c>
      <c r="D27" s="44"/>
      <c r="E27" s="59">
        <f>SUM(E20:E26)</f>
        <v>467562</v>
      </c>
      <c r="F27" s="59"/>
      <c r="G27" s="59">
        <f>SUM(G20:G26)</f>
        <v>572462</v>
      </c>
      <c r="H27" s="65">
        <f>G27/(G18+G27)</f>
        <v>0.5212298015735356</v>
      </c>
      <c r="I27" s="65">
        <v>0.1035</v>
      </c>
      <c r="J27" s="66">
        <f>H27*I27</f>
        <v>0.053947284462860935</v>
      </c>
      <c r="K27" s="59"/>
      <c r="L27" s="59">
        <f>SUM(L20:L26)</f>
        <v>624562</v>
      </c>
      <c r="M27" s="82">
        <f>L27/(L18+L27)</f>
        <v>0.5201497416165932</v>
      </c>
      <c r="N27" s="65">
        <v>0.1035</v>
      </c>
      <c r="O27" s="66">
        <f>M27*N27</f>
        <v>0.05383549825731739</v>
      </c>
      <c r="P27" s="65">
        <f>(H27+M27)/2</f>
        <v>0.5206897715950645</v>
      </c>
      <c r="Q27" s="65">
        <f>(I27+N27)/2</f>
        <v>0.1035</v>
      </c>
      <c r="R27" s="66">
        <f>+P27*Q27</f>
        <v>0.05389139136008917</v>
      </c>
    </row>
    <row r="28" spans="1:18" ht="15.75" thickBot="1">
      <c r="A28" s="43">
        <v>17</v>
      </c>
      <c r="B28" s="44"/>
      <c r="C28" s="60" t="s">
        <v>50</v>
      </c>
      <c r="D28" s="44"/>
      <c r="E28" s="59"/>
      <c r="F28" s="59"/>
      <c r="G28" s="59"/>
      <c r="H28" s="67"/>
      <c r="I28" s="67"/>
      <c r="J28" s="69">
        <f>J18+J27</f>
        <v>0.07932967401171456</v>
      </c>
      <c r="K28" s="59"/>
      <c r="L28" s="59"/>
      <c r="M28" s="67"/>
      <c r="N28" s="67"/>
      <c r="O28" s="83">
        <f>O18+O27</f>
        <v>0.07876127288702336</v>
      </c>
      <c r="P28" s="68"/>
      <c r="Q28" s="68"/>
      <c r="R28" s="83">
        <f>R18+R27</f>
        <v>0.07903403785101198</v>
      </c>
    </row>
    <row r="29" spans="1:18" ht="15.75" thickTop="1">
      <c r="A29" s="43"/>
      <c r="B29" s="63" t="s">
        <v>51</v>
      </c>
      <c r="C29" s="64"/>
      <c r="D29" s="6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15">
      <c r="A30" s="43">
        <v>18</v>
      </c>
      <c r="B30" s="44" t="s">
        <v>52</v>
      </c>
      <c r="C30" s="44"/>
      <c r="D30" s="44"/>
      <c r="E30" s="44"/>
      <c r="F30" s="59"/>
      <c r="G30" s="59">
        <f>G52</f>
        <v>27060.25</v>
      </c>
      <c r="H30" s="59"/>
      <c r="I30" s="59"/>
      <c r="J30" s="59"/>
      <c r="K30" s="59"/>
      <c r="L30" s="81">
        <f>K52</f>
        <v>29085.25</v>
      </c>
      <c r="M30" s="59"/>
      <c r="N30" s="59"/>
      <c r="O30" s="59"/>
      <c r="P30" s="59"/>
      <c r="Q30" s="81">
        <f>AVERAGE(L30,G30)</f>
        <v>28072.75</v>
      </c>
      <c r="R30" s="59"/>
    </row>
    <row r="31" spans="1:18" ht="15">
      <c r="A31" s="43">
        <v>19</v>
      </c>
      <c r="B31" s="44" t="s">
        <v>53</v>
      </c>
      <c r="C31" s="44"/>
      <c r="D31" s="44"/>
      <c r="E31" s="44"/>
      <c r="F31" s="62"/>
      <c r="G31" s="61">
        <f>F16+F17</f>
        <v>817</v>
      </c>
      <c r="H31" s="62"/>
      <c r="I31" s="62"/>
      <c r="J31" s="62"/>
      <c r="K31" s="62"/>
      <c r="L31" s="84">
        <f>K16+K17</f>
        <v>844</v>
      </c>
      <c r="M31" s="59"/>
      <c r="N31" s="59"/>
      <c r="O31" s="59"/>
      <c r="P31" s="59"/>
      <c r="Q31" s="59">
        <f>AVERAGE(L31,G31)</f>
        <v>830.5</v>
      </c>
      <c r="R31" s="59"/>
    </row>
    <row r="32" spans="1:18" ht="15">
      <c r="A32" s="43">
        <v>20</v>
      </c>
      <c r="B32" s="44"/>
      <c r="C32" s="44"/>
      <c r="D32" s="44"/>
      <c r="E32" s="44"/>
      <c r="F32" s="59"/>
      <c r="G32" s="59">
        <f>SUM(G30:G31)</f>
        <v>27877.25</v>
      </c>
      <c r="H32" s="59"/>
      <c r="I32" s="59"/>
      <c r="J32" s="59"/>
      <c r="K32" s="59"/>
      <c r="L32" s="81">
        <f>SUM(L30:L31)</f>
        <v>29929.25</v>
      </c>
      <c r="M32" s="59"/>
      <c r="N32" s="59"/>
      <c r="O32" s="59"/>
      <c r="P32" s="59"/>
      <c r="Q32" s="85">
        <f>SUM(Q30:Q31)</f>
        <v>28903.25</v>
      </c>
      <c r="R32" s="59"/>
    </row>
    <row r="33" spans="1:18" ht="15">
      <c r="A33" s="43">
        <v>21</v>
      </c>
      <c r="B33" s="44" t="s">
        <v>40</v>
      </c>
      <c r="C33" s="44"/>
      <c r="D33" s="44"/>
      <c r="E33" s="44"/>
      <c r="F33" s="59"/>
      <c r="G33" s="81">
        <f>G18</f>
        <v>525829</v>
      </c>
      <c r="H33" s="59"/>
      <c r="I33" s="59"/>
      <c r="J33" s="59"/>
      <c r="K33" s="59"/>
      <c r="L33" s="81">
        <f>L18</f>
        <v>576173</v>
      </c>
      <c r="M33" s="59"/>
      <c r="N33" s="59"/>
      <c r="O33" s="59"/>
      <c r="P33" s="59"/>
      <c r="Q33" s="81">
        <f>AVERAGE(L33,G33)</f>
        <v>551001</v>
      </c>
      <c r="R33" s="59"/>
    </row>
    <row r="34" spans="1:18" ht="15">
      <c r="A34" s="43">
        <v>22</v>
      </c>
      <c r="B34" s="44" t="s">
        <v>54</v>
      </c>
      <c r="C34" s="44"/>
      <c r="D34" s="44"/>
      <c r="E34" s="44"/>
      <c r="F34" s="65"/>
      <c r="G34" s="65">
        <f>G32/G33</f>
        <v>0.05301580932204196</v>
      </c>
      <c r="H34" s="65"/>
      <c r="I34" s="65"/>
      <c r="J34" s="65"/>
      <c r="K34" s="65"/>
      <c r="L34" s="82">
        <f>L32/L33</f>
        <v>0.051944901965208366</v>
      </c>
      <c r="M34" s="59"/>
      <c r="N34" s="59"/>
      <c r="O34" s="59"/>
      <c r="P34" s="59"/>
      <c r="Q34" s="82">
        <f>Q32/Q33</f>
        <v>0.052455893909448444</v>
      </c>
      <c r="R34" s="59"/>
    </row>
    <row r="35" spans="1:18" ht="15">
      <c r="A35" s="43"/>
      <c r="B35" s="44"/>
      <c r="C35" s="44"/>
      <c r="D35" s="44"/>
      <c r="E35" s="44"/>
      <c r="F35" s="65"/>
      <c r="G35" s="65"/>
      <c r="H35" s="65"/>
      <c r="I35" s="65"/>
      <c r="J35" s="65"/>
      <c r="K35" s="65"/>
      <c r="L35" s="65"/>
      <c r="M35" s="59"/>
      <c r="N35" s="59"/>
      <c r="O35" s="59"/>
      <c r="P35" s="59"/>
      <c r="Q35" s="59"/>
      <c r="R35" s="59"/>
    </row>
    <row r="36" spans="1:18" ht="20.25">
      <c r="A36" s="43"/>
      <c r="B36" s="104" t="s">
        <v>55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59"/>
      <c r="P36" s="59"/>
      <c r="Q36" s="59"/>
      <c r="R36" s="59"/>
    </row>
    <row r="37" spans="1:18" ht="15">
      <c r="A37" s="43"/>
      <c r="B37" s="44"/>
      <c r="C37" s="44"/>
      <c r="D37" s="4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 ht="15">
      <c r="A38" s="43"/>
      <c r="B38" s="44"/>
      <c r="C38" s="44"/>
      <c r="D38" s="44"/>
      <c r="E38" s="70" t="s">
        <v>56</v>
      </c>
      <c r="F38" s="70" t="s">
        <v>57</v>
      </c>
      <c r="G38" s="70" t="s">
        <v>56</v>
      </c>
      <c r="H38" s="71" t="s">
        <v>58</v>
      </c>
      <c r="I38" s="71" t="s">
        <v>59</v>
      </c>
      <c r="J38" s="70" t="s">
        <v>60</v>
      </c>
      <c r="K38" s="70" t="s">
        <v>56</v>
      </c>
      <c r="L38" s="71" t="s">
        <v>58</v>
      </c>
      <c r="M38" s="71" t="s">
        <v>59</v>
      </c>
      <c r="N38" s="44"/>
      <c r="O38" s="59"/>
      <c r="P38" s="59"/>
      <c r="Q38" s="59"/>
      <c r="R38" s="59"/>
    </row>
    <row r="39" spans="1:18" ht="15">
      <c r="A39" s="43"/>
      <c r="B39" s="58" t="s">
        <v>32</v>
      </c>
      <c r="C39" s="44"/>
      <c r="D39" s="44"/>
      <c r="E39" s="59"/>
      <c r="F39" s="59"/>
      <c r="G39" s="59"/>
      <c r="H39" s="59"/>
      <c r="I39" s="59"/>
      <c r="J39" s="59"/>
      <c r="K39" s="59"/>
      <c r="L39" s="59"/>
      <c r="M39" s="59"/>
      <c r="N39" s="44"/>
      <c r="O39" s="59"/>
      <c r="P39" s="59"/>
      <c r="Q39" s="59"/>
      <c r="R39" s="59"/>
    </row>
    <row r="40" spans="1:18" ht="15">
      <c r="A40" s="43">
        <v>23</v>
      </c>
      <c r="B40" s="44" t="s">
        <v>61</v>
      </c>
      <c r="C40" s="44"/>
      <c r="D40" s="44"/>
      <c r="E40" s="59">
        <v>2000</v>
      </c>
      <c r="F40" s="59">
        <v>-2000</v>
      </c>
      <c r="G40" s="59">
        <f aca="true" t="shared" si="2" ref="G40:G49">E40+F40</f>
        <v>0</v>
      </c>
      <c r="H40" s="72">
        <v>41547</v>
      </c>
      <c r="I40" s="65">
        <v>0.0689</v>
      </c>
      <c r="J40" s="59"/>
      <c r="K40" s="59">
        <f>E40+F40+J40</f>
        <v>0</v>
      </c>
      <c r="L40" s="72"/>
      <c r="M40" s="65"/>
      <c r="N40" s="44"/>
      <c r="O40" s="59"/>
      <c r="P40" s="59"/>
      <c r="Q40" s="59"/>
      <c r="R40" s="59"/>
    </row>
    <row r="41" spans="1:18" ht="15">
      <c r="A41" s="43">
        <v>24</v>
      </c>
      <c r="B41" s="44"/>
      <c r="C41" s="44"/>
      <c r="D41" s="44"/>
      <c r="E41" s="59">
        <v>14500</v>
      </c>
      <c r="F41" s="59"/>
      <c r="G41" s="59">
        <f t="shared" si="2"/>
        <v>14500</v>
      </c>
      <c r="H41" s="72">
        <v>43018</v>
      </c>
      <c r="I41" s="65">
        <v>0.0685</v>
      </c>
      <c r="J41" s="59"/>
      <c r="K41" s="59">
        <f>G41+J41</f>
        <v>14500</v>
      </c>
      <c r="L41" s="72">
        <v>43018</v>
      </c>
      <c r="M41" s="65">
        <v>0.0685</v>
      </c>
      <c r="N41" s="44"/>
      <c r="O41" s="59"/>
      <c r="P41" s="59"/>
      <c r="Q41" s="59"/>
      <c r="R41" s="59"/>
    </row>
    <row r="42" spans="1:18" ht="15">
      <c r="A42" s="43">
        <v>25</v>
      </c>
      <c r="B42" s="44"/>
      <c r="C42" s="44"/>
      <c r="D42" s="44"/>
      <c r="E42" s="59">
        <v>40000</v>
      </c>
      <c r="F42" s="59">
        <v>-40000</v>
      </c>
      <c r="G42" s="59">
        <f t="shared" si="2"/>
        <v>0</v>
      </c>
      <c r="H42" s="72">
        <v>41298</v>
      </c>
      <c r="I42" s="65">
        <v>0.05</v>
      </c>
      <c r="J42" s="59"/>
      <c r="K42" s="59">
        <f>E42+F42+J42</f>
        <v>0</v>
      </c>
      <c r="L42" s="72"/>
      <c r="M42" s="65"/>
      <c r="N42" s="44"/>
      <c r="O42" s="59"/>
      <c r="P42" s="59"/>
      <c r="Q42" s="59"/>
      <c r="R42" s="59"/>
    </row>
    <row r="43" spans="1:18" ht="15">
      <c r="A43" s="43">
        <v>26</v>
      </c>
      <c r="B43" s="44"/>
      <c r="C43" s="44"/>
      <c r="D43" s="44"/>
      <c r="E43" s="62">
        <v>70000</v>
      </c>
      <c r="F43" s="62"/>
      <c r="G43" s="59">
        <f t="shared" si="2"/>
        <v>70000</v>
      </c>
      <c r="H43" s="72">
        <v>43174</v>
      </c>
      <c r="I43" s="65">
        <v>0.0531</v>
      </c>
      <c r="J43" s="62"/>
      <c r="K43" s="59">
        <f aca="true" t="shared" si="3" ref="K43:K50">G43+J43</f>
        <v>70000</v>
      </c>
      <c r="L43" s="72">
        <v>43174</v>
      </c>
      <c r="M43" s="65">
        <v>0.0531</v>
      </c>
      <c r="N43" s="44"/>
      <c r="O43" s="59"/>
      <c r="P43" s="59"/>
      <c r="Q43" s="59"/>
      <c r="R43" s="59"/>
    </row>
    <row r="44" spans="1:18" ht="15">
      <c r="A44" s="43">
        <v>27</v>
      </c>
      <c r="B44" s="73" t="s">
        <v>62</v>
      </c>
      <c r="C44" s="44"/>
      <c r="D44" s="44"/>
      <c r="E44" s="62">
        <v>100000</v>
      </c>
      <c r="F44" s="62"/>
      <c r="G44" s="59">
        <f t="shared" si="2"/>
        <v>100000</v>
      </c>
      <c r="H44" s="72">
        <v>50496</v>
      </c>
      <c r="I44" s="65">
        <v>0.072</v>
      </c>
      <c r="J44" s="62"/>
      <c r="K44" s="59">
        <f t="shared" si="3"/>
        <v>100000</v>
      </c>
      <c r="L44" s="72">
        <v>50496</v>
      </c>
      <c r="M44" s="65">
        <v>0.072</v>
      </c>
      <c r="N44" s="44"/>
      <c r="O44" s="59"/>
      <c r="P44" s="59"/>
      <c r="Q44" s="59"/>
      <c r="R44" s="59"/>
    </row>
    <row r="45" spans="1:18" ht="15">
      <c r="A45" s="43">
        <v>28</v>
      </c>
      <c r="B45" s="73"/>
      <c r="C45" s="44"/>
      <c r="D45" s="44"/>
      <c r="E45" s="74">
        <v>50000</v>
      </c>
      <c r="F45" s="74"/>
      <c r="G45" s="59">
        <f t="shared" si="2"/>
        <v>50000</v>
      </c>
      <c r="H45" s="75">
        <v>43191</v>
      </c>
      <c r="I45" s="76">
        <v>0.063</v>
      </c>
      <c r="J45" s="74"/>
      <c r="K45" s="59">
        <f t="shared" si="3"/>
        <v>50000</v>
      </c>
      <c r="L45" s="75">
        <v>43191</v>
      </c>
      <c r="M45" s="76">
        <v>0.063</v>
      </c>
      <c r="N45" s="44"/>
      <c r="O45" s="59"/>
      <c r="P45" s="59"/>
      <c r="Q45" s="59"/>
      <c r="R45" s="59"/>
    </row>
    <row r="46" spans="1:18" ht="15">
      <c r="A46" s="43">
        <v>29</v>
      </c>
      <c r="B46" s="73"/>
      <c r="C46" s="44"/>
      <c r="D46" s="44"/>
      <c r="E46" s="74">
        <v>40000</v>
      </c>
      <c r="F46" s="74"/>
      <c r="G46" s="59">
        <f t="shared" si="2"/>
        <v>40000</v>
      </c>
      <c r="H46" s="75">
        <v>45627</v>
      </c>
      <c r="I46" s="76">
        <v>0.0298</v>
      </c>
      <c r="J46" s="74"/>
      <c r="K46" s="59">
        <f t="shared" si="3"/>
        <v>40000</v>
      </c>
      <c r="L46" s="75">
        <v>45627</v>
      </c>
      <c r="M46" s="76">
        <v>0.0298</v>
      </c>
      <c r="N46" s="44"/>
      <c r="O46" s="59"/>
      <c r="P46" s="59"/>
      <c r="Q46" s="59"/>
      <c r="R46" s="59"/>
    </row>
    <row r="47" spans="1:18" ht="15">
      <c r="A47" s="43">
        <v>30</v>
      </c>
      <c r="B47" s="73"/>
      <c r="C47" s="44"/>
      <c r="D47" s="44"/>
      <c r="E47" s="74">
        <v>110000</v>
      </c>
      <c r="F47" s="74"/>
      <c r="G47" s="59">
        <f t="shared" si="2"/>
        <v>110000</v>
      </c>
      <c r="H47" s="75">
        <v>46722</v>
      </c>
      <c r="I47" s="76">
        <v>0.0328</v>
      </c>
      <c r="J47" s="74"/>
      <c r="K47" s="59">
        <f t="shared" si="3"/>
        <v>110000</v>
      </c>
      <c r="L47" s="75">
        <v>46722</v>
      </c>
      <c r="M47" s="76">
        <v>0.0328</v>
      </c>
      <c r="N47" s="44"/>
      <c r="O47" s="59"/>
      <c r="P47" s="59"/>
      <c r="Q47" s="59"/>
      <c r="R47" s="59"/>
    </row>
    <row r="48" spans="1:18" ht="15">
      <c r="A48" s="43">
        <v>31</v>
      </c>
      <c r="B48" s="73" t="s">
        <v>63</v>
      </c>
      <c r="C48" s="44"/>
      <c r="D48" s="44"/>
      <c r="E48" s="74"/>
      <c r="F48" s="86">
        <v>90000</v>
      </c>
      <c r="G48" s="81">
        <f t="shared" si="2"/>
        <v>90000</v>
      </c>
      <c r="H48" s="75">
        <v>52566</v>
      </c>
      <c r="I48" s="89">
        <v>0.0478</v>
      </c>
      <c r="J48" s="74"/>
      <c r="K48" s="81">
        <f t="shared" si="3"/>
        <v>90000</v>
      </c>
      <c r="L48" s="75">
        <v>52566</v>
      </c>
      <c r="M48" s="82">
        <f>+I48</f>
        <v>0.0478</v>
      </c>
      <c r="N48" s="44"/>
      <c r="O48" s="59"/>
      <c r="P48" s="59"/>
      <c r="Q48" s="59"/>
      <c r="R48" s="59"/>
    </row>
    <row r="49" spans="1:18" ht="15">
      <c r="A49" s="43">
        <v>32</v>
      </c>
      <c r="B49" s="73" t="s">
        <v>68</v>
      </c>
      <c r="C49" s="44"/>
      <c r="D49" s="44"/>
      <c r="E49" s="74"/>
      <c r="F49" s="87">
        <v>60000</v>
      </c>
      <c r="G49" s="81">
        <f t="shared" si="2"/>
        <v>60000</v>
      </c>
      <c r="H49" s="88">
        <v>54393</v>
      </c>
      <c r="I49" s="82">
        <v>0.0483</v>
      </c>
      <c r="J49" s="79"/>
      <c r="K49" s="81">
        <f t="shared" si="3"/>
        <v>60000</v>
      </c>
      <c r="L49" s="88">
        <v>54393</v>
      </c>
      <c r="M49" s="82">
        <f>+I49</f>
        <v>0.0483</v>
      </c>
      <c r="N49" s="44"/>
      <c r="O49" s="59"/>
      <c r="P49" s="59"/>
      <c r="Q49" s="59"/>
      <c r="R49" s="59"/>
    </row>
    <row r="50" spans="1:18" ht="15">
      <c r="A50" s="43">
        <v>33</v>
      </c>
      <c r="B50" s="73" t="s">
        <v>64</v>
      </c>
      <c r="C50" s="44"/>
      <c r="D50" s="44"/>
      <c r="E50" s="74"/>
      <c r="F50" s="79"/>
      <c r="G50" s="59"/>
      <c r="H50" s="75"/>
      <c r="I50" s="65"/>
      <c r="J50" s="79">
        <v>50000</v>
      </c>
      <c r="K50" s="59">
        <f t="shared" si="3"/>
        <v>50000</v>
      </c>
      <c r="L50" s="75">
        <v>45627</v>
      </c>
      <c r="M50" s="82">
        <v>0.0405</v>
      </c>
      <c r="N50" s="44"/>
      <c r="O50" s="59"/>
      <c r="P50" s="59"/>
      <c r="Q50" s="59"/>
      <c r="R50" s="59"/>
    </row>
    <row r="51" spans="1:18" ht="15.75" thickBot="1">
      <c r="A51" s="43">
        <v>34</v>
      </c>
      <c r="B51" s="44"/>
      <c r="C51" s="44"/>
      <c r="D51" s="44"/>
      <c r="E51" s="77">
        <f>SUM(E40:E49)</f>
        <v>426500</v>
      </c>
      <c r="F51" s="77">
        <f>SUM(F40:F49)</f>
        <v>108000</v>
      </c>
      <c r="G51" s="77">
        <f>SUM(G40:G49)</f>
        <v>534500</v>
      </c>
      <c r="H51" s="44"/>
      <c r="I51" s="80">
        <f>G52/G51</f>
        <v>0.050627221702525725</v>
      </c>
      <c r="J51" s="77">
        <f>SUM(J40:J50)</f>
        <v>50000</v>
      </c>
      <c r="K51" s="77">
        <f>SUM(K40:K50)</f>
        <v>584500</v>
      </c>
      <c r="L51" s="59"/>
      <c r="M51" s="90">
        <f>K52/K51</f>
        <v>0.04976090675791275</v>
      </c>
      <c r="N51" s="44"/>
      <c r="O51" s="59"/>
      <c r="P51" s="59"/>
      <c r="Q51" s="59"/>
      <c r="R51" s="59"/>
    </row>
    <row r="52" spans="1:18" ht="15.75" thickTop="1">
      <c r="A52" s="43">
        <v>35</v>
      </c>
      <c r="B52" s="44" t="s">
        <v>52</v>
      </c>
      <c r="C52" s="44"/>
      <c r="D52" s="44"/>
      <c r="E52" s="78"/>
      <c r="F52" s="78"/>
      <c r="G52" s="74">
        <f>(G40*I40)+(G41*I41)+(G42*I42)+(G43*I43)+(G44*I44)+(G45*I45)+(G46*I46)+(G47*I47)+(G49*I49)+(G48*I48)</f>
        <v>27060.25</v>
      </c>
      <c r="H52" s="78"/>
      <c r="I52" s="78"/>
      <c r="J52" s="78"/>
      <c r="K52" s="86">
        <f>(K41*M41)+(K43*M43)+(K44*M44)+(K45*M45)+(K46*M46)+(K47*M47)+(K49*M49)+(K50*M50)+(K48*M48)</f>
        <v>29085.25</v>
      </c>
      <c r="L52" s="59"/>
      <c r="M52" s="59"/>
      <c r="N52" s="44"/>
      <c r="O52" s="59"/>
      <c r="P52" s="59"/>
      <c r="Q52" s="59"/>
      <c r="R52" s="59"/>
    </row>
  </sheetData>
  <sheetProtection/>
  <mergeCells count="6">
    <mergeCell ref="B3:O3"/>
    <mergeCell ref="B4:O4"/>
    <mergeCell ref="H7:J7"/>
    <mergeCell ref="M7:O7"/>
    <mergeCell ref="P7:R7"/>
    <mergeCell ref="B36:N36"/>
  </mergeCells>
  <dataValidations count="1">
    <dataValidation type="list" showInputMessage="1" showErrorMessage="1" sqref="A24:R24">
      <formula1>"YE CAP STR DEC 2008,AVG CAP STR JUN 2009,YE CAP STR JUN 2009,YE CAP STR DEC 2009,AVG CAP STR DEC 2009,YE CAP STR DEC 2010,AVG CAP STR DEC 2010,SETTLEMENT CAP STR"</formula1>
    </dataValidation>
  </dataValidations>
  <printOptions/>
  <pageMargins left="0.45" right="0.45" top="0.75" bottom="0.75" header="0.3" footer="0.3"/>
  <pageSetup fitToHeight="1" fitToWidth="1" horizontalDpi="600" verticalDpi="600" orientation="landscape" scale="64" r:id="rId1"/>
  <headerFoot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Hunt</dc:creator>
  <cp:keywords/>
  <dc:description/>
  <cp:lastModifiedBy>crevelt</cp:lastModifiedBy>
  <cp:lastPrinted>2013-08-12T23:04:12Z</cp:lastPrinted>
  <dcterms:created xsi:type="dcterms:W3CDTF">2013-08-09T21:54:04Z</dcterms:created>
  <dcterms:modified xsi:type="dcterms:W3CDTF">2013-08-13T22:37:11Z</dcterms:modified>
  <cp:category/>
  <cp:version/>
  <cp:contentType/>
  <cp:contentStatus/>
</cp:coreProperties>
</file>