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09\"/>
    </mc:Choice>
  </mc:AlternateContent>
  <bookViews>
    <workbookView xWindow="120" yWindow="105" windowWidth="19035" windowHeight="12270"/>
  </bookViews>
  <sheets>
    <sheet name="191 Filing - Exhibit 1.4" sheetId="1" r:id="rId1"/>
    <sheet name="Sheet2" sheetId="2" r:id="rId2"/>
    <sheet name="Sheet3" sheetId="3" r:id="rId3"/>
  </sheets>
  <definedNames>
    <definedName name="_xlnm.Print_Area" localSheetId="0">'191 Filing - Exhibit 1.4'!$A$1:$R$51</definedName>
  </definedNames>
  <calcPr calcId="152511"/>
</workbook>
</file>

<file path=xl/calcChain.xml><?xml version="1.0" encoding="utf-8"?>
<calcChain xmlns="http://schemas.openxmlformats.org/spreadsheetml/2006/main">
  <c r="E52" i="1" l="1"/>
  <c r="L52" i="1"/>
  <c r="Q52" i="1"/>
  <c r="P52" i="1"/>
  <c r="O52" i="1"/>
  <c r="N52" i="1"/>
  <c r="M52" i="1"/>
  <c r="K52" i="1"/>
  <c r="J52" i="1"/>
  <c r="I52" i="1"/>
  <c r="H52" i="1"/>
  <c r="G52" i="1"/>
  <c r="F52" i="1"/>
  <c r="D52" i="1"/>
  <c r="R52" i="1"/>
  <c r="R18" i="1"/>
  <c r="R23" i="1"/>
  <c r="S40" i="1"/>
  <c r="Q40" i="1"/>
  <c r="P40" i="1"/>
  <c r="O40" i="1"/>
  <c r="N40" i="1"/>
  <c r="M40" i="1"/>
  <c r="L40" i="1"/>
  <c r="K40" i="1"/>
  <c r="J40" i="1"/>
  <c r="I40" i="1"/>
  <c r="H40" i="1"/>
  <c r="R40" i="1"/>
  <c r="R28" i="1" l="1"/>
  <c r="R16" i="1" l="1"/>
  <c r="R44" i="1"/>
  <c r="R35" i="1"/>
  <c r="R24" i="1"/>
  <c r="Q23" i="1"/>
  <c r="R9" i="1"/>
  <c r="R12" i="1" s="1"/>
  <c r="R8" i="1"/>
  <c r="R17" i="1" s="1"/>
  <c r="R6" i="1"/>
  <c r="D46" i="1"/>
  <c r="E46" i="1"/>
  <c r="E44" i="1"/>
  <c r="D44" i="1"/>
  <c r="E35" i="1"/>
  <c r="D35" i="1"/>
  <c r="E23" i="1"/>
  <c r="D23" i="1"/>
  <c r="E12" i="1"/>
  <c r="D12" i="1"/>
  <c r="G23" i="1"/>
  <c r="F23" i="1"/>
  <c r="G44" i="1"/>
  <c r="G35" i="1"/>
  <c r="G12" i="1"/>
  <c r="G19" i="1" s="1"/>
  <c r="P23" i="1"/>
  <c r="O23" i="1"/>
  <c r="M23" i="1"/>
  <c r="L23" i="1"/>
  <c r="K23" i="1"/>
  <c r="J23" i="1"/>
  <c r="I23" i="1"/>
  <c r="H23" i="1"/>
  <c r="R19" i="1" l="1"/>
  <c r="R30" i="1"/>
  <c r="R31" i="1" s="1"/>
  <c r="R48" i="1"/>
  <c r="R50" i="1" s="1"/>
  <c r="D48" i="1"/>
  <c r="D50" i="1" s="1"/>
  <c r="E48" i="1"/>
  <c r="E50" i="1" s="1"/>
  <c r="E19" i="1"/>
  <c r="E30" i="1"/>
  <c r="E31" i="1" s="1"/>
  <c r="D19" i="1"/>
  <c r="D30" i="1"/>
  <c r="D31" i="1" s="1"/>
  <c r="G30" i="1"/>
  <c r="G31" i="1" s="1"/>
  <c r="G48" i="1"/>
  <c r="G50" i="1" s="1"/>
  <c r="J44" i="1" l="1"/>
  <c r="I44" i="1"/>
  <c r="H44" i="1"/>
  <c r="J35" i="1"/>
  <c r="I35" i="1"/>
  <c r="H35" i="1"/>
  <c r="J12" i="1"/>
  <c r="J48" i="1" s="1"/>
  <c r="J50" i="1" s="1"/>
  <c r="I12" i="1"/>
  <c r="I48" i="1" s="1"/>
  <c r="I50" i="1" s="1"/>
  <c r="H12" i="1"/>
  <c r="H48" i="1" s="1"/>
  <c r="H50" i="1" s="1"/>
  <c r="P44" i="1"/>
  <c r="O44" i="1"/>
  <c r="M44" i="1"/>
  <c r="L44" i="1"/>
  <c r="K44" i="1"/>
  <c r="P35" i="1"/>
  <c r="O35" i="1"/>
  <c r="M35" i="1"/>
  <c r="L35" i="1"/>
  <c r="K35" i="1"/>
  <c r="P12" i="1"/>
  <c r="P48" i="1" s="1"/>
  <c r="P50" i="1" s="1"/>
  <c r="O12" i="1"/>
  <c r="O48" i="1" s="1"/>
  <c r="O50" i="1" s="1"/>
  <c r="N48" i="1"/>
  <c r="M12" i="1"/>
  <c r="M48" i="1" s="1"/>
  <c r="M50" i="1" s="1"/>
  <c r="L12" i="1"/>
  <c r="L48" i="1" s="1"/>
  <c r="L50" i="1" s="1"/>
  <c r="K12" i="1"/>
  <c r="K48" i="1" s="1"/>
  <c r="K50" i="1" s="1"/>
  <c r="F44" i="1"/>
  <c r="F35" i="1"/>
  <c r="F12" i="1"/>
  <c r="F48" i="1" s="1"/>
  <c r="F50" i="1" s="1"/>
  <c r="Q44" i="1"/>
  <c r="Q35" i="1"/>
  <c r="Q12" i="1"/>
  <c r="Q48" i="1" l="1"/>
  <c r="Q50" i="1" s="1"/>
  <c r="Q30" i="1"/>
  <c r="Q31" i="1" s="1"/>
  <c r="Q19" i="1"/>
  <c r="J19" i="1"/>
  <c r="H19" i="1"/>
  <c r="I19" i="1"/>
  <c r="H30" i="1"/>
  <c r="H31" i="1" s="1"/>
  <c r="J30" i="1"/>
  <c r="J31" i="1" s="1"/>
  <c r="I30" i="1"/>
  <c r="I31" i="1" s="1"/>
  <c r="L19" i="1"/>
  <c r="P19" i="1"/>
  <c r="L30" i="1"/>
  <c r="L31" i="1" s="1"/>
  <c r="N30" i="1"/>
  <c r="P30" i="1"/>
  <c r="P31" i="1" s="1"/>
  <c r="K19" i="1"/>
  <c r="M19" i="1"/>
  <c r="O19" i="1"/>
  <c r="K30" i="1"/>
  <c r="K31" i="1" s="1"/>
  <c r="M30" i="1"/>
  <c r="M31" i="1" s="1"/>
  <c r="O30" i="1"/>
  <c r="O31" i="1" s="1"/>
  <c r="F19" i="1"/>
  <c r="F30" i="1"/>
  <c r="F31" i="1" s="1"/>
</calcChain>
</file>

<file path=xl/sharedStrings.xml><?xml version="1.0" encoding="utf-8"?>
<sst xmlns="http://schemas.openxmlformats.org/spreadsheetml/2006/main" count="99" uniqueCount="62">
  <si>
    <t>191 Filing</t>
  </si>
  <si>
    <t xml:space="preserve">   Net Questar Gas Production Cost</t>
  </si>
  <si>
    <t>Total Dth</t>
  </si>
  <si>
    <t>13-057-07</t>
  </si>
  <si>
    <t>Test Year</t>
  </si>
  <si>
    <t>Total Cost of Questar Gas Production</t>
  </si>
  <si>
    <t xml:space="preserve">Line </t>
  </si>
  <si>
    <t>Col</t>
  </si>
  <si>
    <t>B</t>
  </si>
  <si>
    <t>C</t>
  </si>
  <si>
    <t>Questar Gas Contract Gas</t>
  </si>
  <si>
    <t>Transportation &amp; Other Cost</t>
  </si>
  <si>
    <t>Source</t>
  </si>
  <si>
    <t>Storage &amp; Working Gas</t>
  </si>
  <si>
    <t>Gas Cost for Rate Purposes</t>
  </si>
  <si>
    <t xml:space="preserve">   TOTAL COST PER DTH</t>
  </si>
  <si>
    <t>13-057-03</t>
  </si>
  <si>
    <t>11-057-08</t>
  </si>
  <si>
    <t>11-057-02</t>
  </si>
  <si>
    <t>09-057-03</t>
  </si>
  <si>
    <t>12-057-08</t>
  </si>
  <si>
    <t>12-057-05</t>
  </si>
  <si>
    <t>One Time</t>
  </si>
  <si>
    <t>Refund</t>
  </si>
  <si>
    <t>10-057-17</t>
  </si>
  <si>
    <t>10-057-09</t>
  </si>
  <si>
    <t>09-057-12</t>
  </si>
  <si>
    <t>08-057-15</t>
  </si>
  <si>
    <t>08-057-23</t>
  </si>
  <si>
    <t>07-057-09</t>
  </si>
  <si>
    <t>06-057-01</t>
  </si>
  <si>
    <t>14-057-09</t>
  </si>
  <si>
    <t>Wexpro II Production</t>
  </si>
  <si>
    <t>Wexpro II Revenue Sharing Credits</t>
  </si>
  <si>
    <t xml:space="preserve">Wexpro II Sales of Cost of Service Gas </t>
  </si>
  <si>
    <t>Wexpro II Cost of Service Sales Dth</t>
  </si>
  <si>
    <t xml:space="preserve">     Price per Dth</t>
  </si>
  <si>
    <t>Wexpro I Dth</t>
  </si>
  <si>
    <t>Wexpro II Dth</t>
  </si>
  <si>
    <t>Wexpro I Cost per Dth</t>
  </si>
  <si>
    <t>Wexpro II Cost per Dth</t>
  </si>
  <si>
    <t>Flat</t>
  </si>
  <si>
    <t>PAGE 2</t>
  </si>
  <si>
    <t>Withdrawal Dth</t>
  </si>
  <si>
    <t>Injection Dth</t>
  </si>
  <si>
    <t>Injection / Withdrawal Adjustment $</t>
  </si>
  <si>
    <t xml:space="preserve">  Net (Inject) Withdrawal</t>
  </si>
  <si>
    <t>Questar Gas Production $</t>
  </si>
  <si>
    <t>Other Revenue Credits $</t>
  </si>
  <si>
    <t xml:space="preserve">   Total Wexpro Cost per Dth</t>
  </si>
  <si>
    <t xml:space="preserve">   Total Wexpro Dth</t>
  </si>
  <si>
    <t>Gathering Wexpro I</t>
  </si>
  <si>
    <t>Gathering Wexpro II</t>
  </si>
  <si>
    <t>Gathering Cost Per Dth Wexpro II</t>
  </si>
  <si>
    <t>Gathering Cost per Dth Wexpro I</t>
  </si>
  <si>
    <t>Cost of Service Gas per Dth</t>
  </si>
  <si>
    <t>Purchased Gas per Dth</t>
  </si>
  <si>
    <t>D</t>
  </si>
  <si>
    <t>% Increase in Dth for Transport</t>
  </si>
  <si>
    <t>Summary of Test-Year Gas Related Cost and Revenue Credits</t>
  </si>
  <si>
    <t>Questar Gas - Exhibit 1.4 Comparison</t>
  </si>
  <si>
    <t xml:space="preserve">   Transportation Cost per 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</si>
</sst>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2" applyNumberFormat="1" applyFont="1" applyFill="1"/>
    <xf numFmtId="0" fontId="0" fillId="0" borderId="0" xfId="0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64" fontId="0" fillId="2" borderId="0" xfId="0" applyNumberFormat="1" applyFill="1"/>
    <xf numFmtId="164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2" fillId="0" borderId="0" xfId="0" applyFont="1"/>
    <xf numFmtId="165" fontId="2" fillId="0" borderId="0" xfId="1" applyNumberFormat="1" applyFont="1" applyFill="1"/>
    <xf numFmtId="164" fontId="2" fillId="0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view="pageBreakPreview" zoomScaleNormal="100" zoomScaleSheetLayoutView="100" workbookViewId="0">
      <pane xSplit="3" ySplit="7" topLeftCell="L8" activePane="bottomRight" state="frozen"/>
      <selection pane="topRight" activeCell="D1" sqref="D1"/>
      <selection pane="bottomLeft" activeCell="A6" sqref="A6"/>
      <selection pane="bottomRight" activeCell="C45" sqref="C45"/>
    </sheetView>
  </sheetViews>
  <sheetFormatPr defaultRowHeight="15" x14ac:dyDescent="0.25"/>
  <cols>
    <col min="1" max="2" width="4.140625" style="2" customWidth="1"/>
    <col min="3" max="3" width="37" customWidth="1"/>
    <col min="4" max="11" width="13.7109375" hidden="1" customWidth="1"/>
    <col min="12" max="13" width="13.7109375" customWidth="1"/>
    <col min="14" max="14" width="13.7109375" hidden="1" customWidth="1"/>
    <col min="15" max="18" width="13.7109375" customWidth="1"/>
    <col min="19" max="19" width="12.28515625" hidden="1" customWidth="1"/>
  </cols>
  <sheetData>
    <row r="1" spans="1:23" ht="18.75" x14ac:dyDescent="0.3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4"/>
      <c r="T1" s="4"/>
      <c r="U1" s="4"/>
      <c r="V1" s="4"/>
      <c r="W1" s="4"/>
    </row>
    <row r="2" spans="1:23" ht="18.75" x14ac:dyDescent="0.3">
      <c r="A2" s="31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4"/>
      <c r="T2" s="4"/>
      <c r="U2" s="4"/>
      <c r="V2" s="4"/>
      <c r="W2" s="4"/>
    </row>
    <row r="3" spans="1:23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"/>
      <c r="T3" s="4"/>
      <c r="U3" s="4"/>
      <c r="V3" s="4"/>
      <c r="W3" s="4"/>
    </row>
    <row r="4" spans="1:2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"/>
      <c r="T4" s="4"/>
      <c r="U4" s="4"/>
      <c r="V4" s="4"/>
      <c r="W4" s="4"/>
    </row>
    <row r="5" spans="1:23" x14ac:dyDescent="0.25">
      <c r="D5" s="7" t="s">
        <v>30</v>
      </c>
      <c r="E5" s="7" t="s">
        <v>29</v>
      </c>
      <c r="F5" s="7" t="s">
        <v>27</v>
      </c>
      <c r="G5" s="7" t="s">
        <v>28</v>
      </c>
      <c r="H5" s="7" t="s">
        <v>19</v>
      </c>
      <c r="I5" s="7" t="s">
        <v>26</v>
      </c>
      <c r="J5" s="7" t="s">
        <v>25</v>
      </c>
      <c r="K5" s="7" t="s">
        <v>24</v>
      </c>
      <c r="L5" s="29" t="s">
        <v>18</v>
      </c>
      <c r="M5" s="29" t="s">
        <v>17</v>
      </c>
      <c r="N5" s="29" t="s">
        <v>21</v>
      </c>
      <c r="O5" s="29" t="s">
        <v>20</v>
      </c>
      <c r="P5" s="29" t="s">
        <v>16</v>
      </c>
      <c r="Q5" s="29" t="s">
        <v>3</v>
      </c>
      <c r="R5" s="29" t="s">
        <v>31</v>
      </c>
    </row>
    <row r="6" spans="1:23" s="1" customFormat="1" x14ac:dyDescent="0.25">
      <c r="A6" s="30" t="s">
        <v>12</v>
      </c>
      <c r="B6" s="30"/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10" t="str">
        <f>+Q6</f>
        <v>Test Year</v>
      </c>
    </row>
    <row r="7" spans="1:23" s="1" customFormat="1" ht="15.75" thickBot="1" x14ac:dyDescent="0.3">
      <c r="A7" s="5" t="s">
        <v>6</v>
      </c>
      <c r="B7" s="5" t="s">
        <v>7</v>
      </c>
      <c r="C7" s="6"/>
      <c r="D7" s="9">
        <v>39083</v>
      </c>
      <c r="E7" s="9">
        <v>39722</v>
      </c>
      <c r="F7" s="9">
        <v>39965</v>
      </c>
      <c r="G7" s="9">
        <v>40087</v>
      </c>
      <c r="H7" s="9">
        <v>40210</v>
      </c>
      <c r="I7" s="9">
        <v>40422</v>
      </c>
      <c r="J7" s="9">
        <v>40725</v>
      </c>
      <c r="K7" s="9">
        <v>40878</v>
      </c>
      <c r="L7" s="9">
        <v>41030</v>
      </c>
      <c r="M7" s="9">
        <v>41153</v>
      </c>
      <c r="N7" s="9">
        <v>41000</v>
      </c>
      <c r="O7" s="9">
        <v>41487</v>
      </c>
      <c r="P7" s="9">
        <v>41760</v>
      </c>
      <c r="Q7" s="9">
        <v>41883</v>
      </c>
      <c r="R7" s="9">
        <v>42156</v>
      </c>
    </row>
    <row r="8" spans="1:23" x14ac:dyDescent="0.25">
      <c r="A8" s="2">
        <v>1</v>
      </c>
      <c r="B8" s="2" t="s">
        <v>8</v>
      </c>
      <c r="C8" t="s">
        <v>47</v>
      </c>
      <c r="D8" s="14">
        <v>231033477</v>
      </c>
      <c r="E8" s="14">
        <v>231199470</v>
      </c>
      <c r="F8" s="14">
        <v>299076331</v>
      </c>
      <c r="G8" s="14">
        <v>255264017</v>
      </c>
      <c r="H8" s="14">
        <v>246181089</v>
      </c>
      <c r="I8" s="14">
        <v>246967729</v>
      </c>
      <c r="J8" s="14">
        <v>281753057</v>
      </c>
      <c r="K8" s="14">
        <v>293339223</v>
      </c>
      <c r="L8" s="14">
        <v>300883313</v>
      </c>
      <c r="M8" s="14">
        <v>307630624</v>
      </c>
      <c r="N8" s="15"/>
      <c r="O8" s="14">
        <v>322105538</v>
      </c>
      <c r="P8" s="14">
        <v>366685887</v>
      </c>
      <c r="Q8" s="14">
        <v>367163103</v>
      </c>
      <c r="R8" s="14">
        <f>366539229</f>
        <v>366539229</v>
      </c>
    </row>
    <row r="9" spans="1:23" x14ac:dyDescent="0.25">
      <c r="A9" s="2">
        <v>2</v>
      </c>
      <c r="B9" s="2" t="s">
        <v>8</v>
      </c>
      <c r="C9" t="s">
        <v>48</v>
      </c>
      <c r="D9" s="14">
        <v>-49915711</v>
      </c>
      <c r="E9" s="14">
        <v>-40174265</v>
      </c>
      <c r="F9" s="14">
        <v>-53981170</v>
      </c>
      <c r="G9" s="14">
        <v>-34515962</v>
      </c>
      <c r="H9" s="14">
        <v>-18311589</v>
      </c>
      <c r="I9" s="14">
        <v>-17972314</v>
      </c>
      <c r="J9" s="14">
        <v>-25465513</v>
      </c>
      <c r="K9" s="14">
        <v>-28826292</v>
      </c>
      <c r="L9" s="14">
        <v>-33809808</v>
      </c>
      <c r="M9" s="14">
        <v>-33781257</v>
      </c>
      <c r="N9" s="15"/>
      <c r="O9" s="14">
        <v>-26212014</v>
      </c>
      <c r="P9" s="14">
        <v>-32713841</v>
      </c>
      <c r="Q9" s="14">
        <v>-29807822</v>
      </c>
      <c r="R9" s="14">
        <f>-33804782</f>
        <v>-33804782</v>
      </c>
    </row>
    <row r="10" spans="1:23" x14ac:dyDescent="0.25">
      <c r="A10" s="11">
        <v>6</v>
      </c>
      <c r="B10" s="11" t="s">
        <v>8</v>
      </c>
      <c r="C10" t="s">
        <v>32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4"/>
      <c r="P10" s="14"/>
      <c r="Q10" s="14"/>
      <c r="R10" s="14">
        <v>25814280</v>
      </c>
    </row>
    <row r="11" spans="1:23" x14ac:dyDescent="0.25">
      <c r="A11" s="11">
        <v>7</v>
      </c>
      <c r="B11" s="11" t="s">
        <v>8</v>
      </c>
      <c r="C11" t="s">
        <v>33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4"/>
      <c r="P11" s="14"/>
      <c r="Q11" s="14"/>
      <c r="R11" s="14">
        <v>-3242787</v>
      </c>
    </row>
    <row r="12" spans="1:23" x14ac:dyDescent="0.25">
      <c r="C12" t="s">
        <v>1</v>
      </c>
      <c r="D12" s="14">
        <f t="shared" ref="D12:E12" si="0">+D9+D8</f>
        <v>181117766</v>
      </c>
      <c r="E12" s="14">
        <f t="shared" si="0"/>
        <v>191025205</v>
      </c>
      <c r="F12" s="14">
        <f>+F9+F8</f>
        <v>245095161</v>
      </c>
      <c r="G12" s="14">
        <f>+G9+G8</f>
        <v>220748055</v>
      </c>
      <c r="H12" s="14">
        <f t="shared" ref="H12:J12" si="1">+H9+H8</f>
        <v>227869500</v>
      </c>
      <c r="I12" s="14">
        <f t="shared" si="1"/>
        <v>228995415</v>
      </c>
      <c r="J12" s="14">
        <f t="shared" si="1"/>
        <v>256287544</v>
      </c>
      <c r="K12" s="14">
        <f t="shared" ref="K12:P12" si="2">+K9+K8</f>
        <v>264512931</v>
      </c>
      <c r="L12" s="14">
        <f t="shared" si="2"/>
        <v>267073505</v>
      </c>
      <c r="M12" s="14">
        <f t="shared" si="2"/>
        <v>273849367</v>
      </c>
      <c r="N12" s="14"/>
      <c r="O12" s="14">
        <f t="shared" si="2"/>
        <v>295893524</v>
      </c>
      <c r="P12" s="14">
        <f t="shared" si="2"/>
        <v>333972046</v>
      </c>
      <c r="Q12" s="14">
        <f>+Q9+Q8</f>
        <v>337355281</v>
      </c>
      <c r="R12" s="20">
        <f>+R11+R10+R9+R8</f>
        <v>355305940</v>
      </c>
    </row>
    <row r="13" spans="1:23" x14ac:dyDescent="0.25">
      <c r="A13" s="13"/>
      <c r="B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0"/>
    </row>
    <row r="14" spans="1:23" x14ac:dyDescent="0.25">
      <c r="A14" s="2">
        <v>3</v>
      </c>
      <c r="B14" s="2" t="s">
        <v>9</v>
      </c>
      <c r="C14" t="s">
        <v>37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  <c r="P14" s="20"/>
      <c r="Q14" s="20"/>
      <c r="R14" s="14">
        <v>69816646</v>
      </c>
    </row>
    <row r="15" spans="1:23" x14ac:dyDescent="0.25">
      <c r="A15" s="11">
        <v>8</v>
      </c>
      <c r="B15" s="11" t="s">
        <v>9</v>
      </c>
      <c r="C15" t="s">
        <v>38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4617812</v>
      </c>
    </row>
    <row r="16" spans="1:23" x14ac:dyDescent="0.25">
      <c r="A16" s="11"/>
      <c r="B16" s="11"/>
      <c r="C16" t="s">
        <v>50</v>
      </c>
      <c r="D16" s="14">
        <v>56683010</v>
      </c>
      <c r="E16" s="14">
        <v>51443652</v>
      </c>
      <c r="F16" s="14">
        <v>52909040</v>
      </c>
      <c r="G16" s="14">
        <v>52032570</v>
      </c>
      <c r="H16" s="14">
        <v>53897624</v>
      </c>
      <c r="I16" s="14">
        <v>49433433</v>
      </c>
      <c r="J16" s="14">
        <v>67754524</v>
      </c>
      <c r="K16" s="14">
        <v>68029210</v>
      </c>
      <c r="L16" s="14">
        <v>69940889</v>
      </c>
      <c r="M16" s="14">
        <v>71172209</v>
      </c>
      <c r="N16" s="14"/>
      <c r="O16" s="14">
        <v>68366275</v>
      </c>
      <c r="P16" s="14">
        <v>73217730</v>
      </c>
      <c r="Q16" s="14">
        <v>81743587</v>
      </c>
      <c r="R16" s="14">
        <f>+R15+R14</f>
        <v>74434458</v>
      </c>
    </row>
    <row r="17" spans="1:18" x14ac:dyDescent="0.25">
      <c r="C17" t="s">
        <v>39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>
        <f>(+R8+R9)/R14</f>
        <v>4.7658325924164275</v>
      </c>
    </row>
    <row r="18" spans="1:18" x14ac:dyDescent="0.25">
      <c r="C18" t="s">
        <v>40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3" t="s">
        <v>23</v>
      </c>
      <c r="O18" s="21"/>
      <c r="P18" s="21"/>
      <c r="Q18" s="21"/>
      <c r="R18" s="22">
        <f>(+R11+R10)/R15</f>
        <v>4.8879194302409887</v>
      </c>
    </row>
    <row r="19" spans="1:18" x14ac:dyDescent="0.25">
      <c r="A19" s="13"/>
      <c r="B19" s="13"/>
      <c r="C19" t="s">
        <v>49</v>
      </c>
      <c r="D19" s="22">
        <f t="shared" ref="D19:M19" si="3">+D12/D16</f>
        <v>3.1952743158840717</v>
      </c>
      <c r="E19" s="22">
        <f t="shared" si="3"/>
        <v>3.7132901256699271</v>
      </c>
      <c r="F19" s="22">
        <f t="shared" si="3"/>
        <v>4.6323872253210414</v>
      </c>
      <c r="G19" s="22">
        <f t="shared" si="3"/>
        <v>4.2424976317717924</v>
      </c>
      <c r="H19" s="22">
        <f t="shared" si="3"/>
        <v>4.2278208775956427</v>
      </c>
      <c r="I19" s="22">
        <f t="shared" si="3"/>
        <v>4.6323995948248227</v>
      </c>
      <c r="J19" s="22">
        <f t="shared" si="3"/>
        <v>3.7825893958018213</v>
      </c>
      <c r="K19" s="22">
        <f t="shared" si="3"/>
        <v>3.8882258224077568</v>
      </c>
      <c r="L19" s="22">
        <f t="shared" si="3"/>
        <v>3.8185603417194196</v>
      </c>
      <c r="M19" s="22">
        <f t="shared" si="3"/>
        <v>3.8477008209763448</v>
      </c>
      <c r="N19" s="24" t="s">
        <v>22</v>
      </c>
      <c r="O19" s="22">
        <f>+O12/O16</f>
        <v>4.3280626888037999</v>
      </c>
      <c r="P19" s="22">
        <f>+P12/P16</f>
        <v>4.5613548248491176</v>
      </c>
      <c r="Q19" s="22">
        <f>+Q12/Q16</f>
        <v>4.1269938521293419</v>
      </c>
      <c r="R19" s="22">
        <f>+R12/R16</f>
        <v>4.7734066929055894</v>
      </c>
    </row>
    <row r="20" spans="1:18" x14ac:dyDescent="0.25">
      <c r="A20" s="13"/>
      <c r="B20" s="1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3"/>
      <c r="O20" s="21"/>
      <c r="P20" s="21"/>
      <c r="Q20" s="21"/>
      <c r="R20" s="22"/>
    </row>
    <row r="21" spans="1:18" x14ac:dyDescent="0.25">
      <c r="A21" s="2">
        <v>4</v>
      </c>
      <c r="B21" s="2" t="s">
        <v>8</v>
      </c>
      <c r="C21" t="s">
        <v>51</v>
      </c>
      <c r="D21" s="14">
        <v>13385730</v>
      </c>
      <c r="E21" s="14">
        <v>19667020</v>
      </c>
      <c r="F21" s="14">
        <v>19040494</v>
      </c>
      <c r="G21" s="14">
        <v>20421564</v>
      </c>
      <c r="H21" s="14">
        <v>21319515</v>
      </c>
      <c r="I21" s="14">
        <v>20505447</v>
      </c>
      <c r="J21" s="14">
        <v>23001050</v>
      </c>
      <c r="K21" s="14">
        <v>25603855</v>
      </c>
      <c r="L21" s="14">
        <v>26008922</v>
      </c>
      <c r="M21" s="14">
        <v>26167503</v>
      </c>
      <c r="N21" s="14"/>
      <c r="O21" s="14">
        <v>18334873</v>
      </c>
      <c r="P21" s="14">
        <v>17509300</v>
      </c>
      <c r="Q21" s="14">
        <v>18202716</v>
      </c>
      <c r="R21" s="14">
        <v>16749056</v>
      </c>
    </row>
    <row r="22" spans="1:18" x14ac:dyDescent="0.25">
      <c r="A22" s="11">
        <v>9</v>
      </c>
      <c r="B22" s="11" t="s">
        <v>8</v>
      </c>
      <c r="C22" t="s">
        <v>52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v>2360810</v>
      </c>
    </row>
    <row r="23" spans="1:18" x14ac:dyDescent="0.25">
      <c r="C23" t="s">
        <v>54</v>
      </c>
      <c r="D23" s="16">
        <f t="shared" ref="D23:M23" si="4">+D21/D16</f>
        <v>0.23615065607842634</v>
      </c>
      <c r="E23" s="16">
        <f t="shared" si="4"/>
        <v>0.38230217403694433</v>
      </c>
      <c r="F23" s="16">
        <f t="shared" si="4"/>
        <v>0.3598722259938944</v>
      </c>
      <c r="G23" s="16">
        <f t="shared" si="4"/>
        <v>0.39247655843253559</v>
      </c>
      <c r="H23" s="16">
        <f t="shared" si="4"/>
        <v>0.39555574843150787</v>
      </c>
      <c r="I23" s="16">
        <f t="shared" si="4"/>
        <v>0.41480928504399039</v>
      </c>
      <c r="J23" s="16">
        <f t="shared" si="4"/>
        <v>0.33947622449535619</v>
      </c>
      <c r="K23" s="16">
        <f t="shared" si="4"/>
        <v>0.37636560824387055</v>
      </c>
      <c r="L23" s="16">
        <f t="shared" si="4"/>
        <v>0.37187005158027087</v>
      </c>
      <c r="M23" s="16">
        <f t="shared" si="4"/>
        <v>0.36766461751945906</v>
      </c>
      <c r="N23" s="14"/>
      <c r="O23" s="16">
        <f>+O21/O16</f>
        <v>0.26818592939281832</v>
      </c>
      <c r="P23" s="16">
        <f>+P21/P16</f>
        <v>0.23914016454757611</v>
      </c>
      <c r="Q23" s="16">
        <f>+Q21/Q16</f>
        <v>0.22268066117529195</v>
      </c>
      <c r="R23" s="16">
        <f>+R21/R14</f>
        <v>0.23990061052202363</v>
      </c>
    </row>
    <row r="24" spans="1:18" x14ac:dyDescent="0.25">
      <c r="A24" s="11"/>
      <c r="B24" s="11"/>
      <c r="C24" t="s">
        <v>53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4"/>
      <c r="O24" s="16"/>
      <c r="P24" s="16"/>
      <c r="Q24" s="16"/>
      <c r="R24" s="16">
        <f>+R22/R15</f>
        <v>0.511239955199562</v>
      </c>
    </row>
    <row r="25" spans="1:18" x14ac:dyDescent="0.25">
      <c r="A25" s="13"/>
      <c r="B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4"/>
      <c r="O25" s="16"/>
      <c r="P25" s="16"/>
      <c r="Q25" s="16"/>
      <c r="R25" s="16"/>
    </row>
    <row r="26" spans="1:18" x14ac:dyDescent="0.25">
      <c r="A26" s="11">
        <v>11</v>
      </c>
      <c r="B26" s="11" t="s">
        <v>8</v>
      </c>
      <c r="C26" t="s">
        <v>34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4"/>
      <c r="O26" s="16"/>
      <c r="P26" s="16"/>
      <c r="Q26" s="16"/>
      <c r="R26" s="14">
        <v>-4214101</v>
      </c>
    </row>
    <row r="27" spans="1:18" x14ac:dyDescent="0.25">
      <c r="A27" s="11">
        <v>11</v>
      </c>
      <c r="B27" s="11" t="s">
        <v>9</v>
      </c>
      <c r="C27" t="s">
        <v>35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4"/>
      <c r="O27" s="16"/>
      <c r="P27" s="16"/>
      <c r="Q27" s="16"/>
      <c r="R27" s="14">
        <v>924184</v>
      </c>
    </row>
    <row r="28" spans="1:18" x14ac:dyDescent="0.25">
      <c r="A28" s="11"/>
      <c r="B28" s="11"/>
      <c r="C28" t="s">
        <v>36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4"/>
      <c r="O28" s="16"/>
      <c r="P28" s="16"/>
      <c r="Q28" s="16"/>
      <c r="R28" s="22">
        <f>-R26/R27</f>
        <v>4.5598073543796476</v>
      </c>
    </row>
    <row r="29" spans="1:18" x14ac:dyDescent="0.25">
      <c r="A29" s="11"/>
      <c r="B29" s="1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4"/>
      <c r="O29" s="16"/>
      <c r="P29" s="16"/>
      <c r="Q29" s="16"/>
      <c r="R29" s="21"/>
    </row>
    <row r="30" spans="1:18" ht="15.75" x14ac:dyDescent="0.25">
      <c r="A30" s="2">
        <v>12</v>
      </c>
      <c r="B30" s="13" t="s">
        <v>8</v>
      </c>
      <c r="C30" s="25" t="s">
        <v>5</v>
      </c>
      <c r="D30" s="27">
        <f t="shared" ref="D30:E30" si="5">+D21+D12</f>
        <v>194503496</v>
      </c>
      <c r="E30" s="27">
        <f t="shared" si="5"/>
        <v>210692225</v>
      </c>
      <c r="F30" s="27">
        <f>+F21+F12</f>
        <v>264135655</v>
      </c>
      <c r="G30" s="27">
        <f>+G21+G12</f>
        <v>241169619</v>
      </c>
      <c r="H30" s="27">
        <f t="shared" ref="H30:J30" si="6">+H21+H12</f>
        <v>249189015</v>
      </c>
      <c r="I30" s="27">
        <f t="shared" si="6"/>
        <v>249500862</v>
      </c>
      <c r="J30" s="27">
        <f t="shared" si="6"/>
        <v>279288594</v>
      </c>
      <c r="K30" s="27">
        <f t="shared" ref="K30:P30" si="7">+K21+K12</f>
        <v>290116786</v>
      </c>
      <c r="L30" s="27">
        <f t="shared" si="7"/>
        <v>293082427</v>
      </c>
      <c r="M30" s="27">
        <f t="shared" si="7"/>
        <v>300016870</v>
      </c>
      <c r="N30" s="27">
        <f>+N21+N12</f>
        <v>0</v>
      </c>
      <c r="O30" s="27">
        <f t="shared" si="7"/>
        <v>314228397</v>
      </c>
      <c r="P30" s="27">
        <f t="shared" si="7"/>
        <v>351481346</v>
      </c>
      <c r="Q30" s="27">
        <f>+Q21+Q12</f>
        <v>355557997</v>
      </c>
      <c r="R30" s="27">
        <f>+R21+R12+R22+R26</f>
        <v>370201705</v>
      </c>
    </row>
    <row r="31" spans="1:18" ht="15.75" x14ac:dyDescent="0.25">
      <c r="A31" s="2">
        <v>12</v>
      </c>
      <c r="B31" s="13" t="s">
        <v>57</v>
      </c>
      <c r="C31" s="25" t="s">
        <v>55</v>
      </c>
      <c r="D31" s="26">
        <f t="shared" ref="D31:M31" si="8">+D30/D16</f>
        <v>3.4314249719624983</v>
      </c>
      <c r="E31" s="26">
        <f t="shared" si="8"/>
        <v>4.0955922997068717</v>
      </c>
      <c r="F31" s="26">
        <f t="shared" si="8"/>
        <v>4.9922594513149363</v>
      </c>
      <c r="G31" s="26">
        <f t="shared" si="8"/>
        <v>4.6349741902043275</v>
      </c>
      <c r="H31" s="26">
        <f t="shared" si="8"/>
        <v>4.6233766260271514</v>
      </c>
      <c r="I31" s="26">
        <f t="shared" si="8"/>
        <v>5.0472088798688128</v>
      </c>
      <c r="J31" s="26">
        <f t="shared" si="8"/>
        <v>4.1220656202971773</v>
      </c>
      <c r="K31" s="26">
        <f t="shared" si="8"/>
        <v>4.2645914306516275</v>
      </c>
      <c r="L31" s="26">
        <f t="shared" si="8"/>
        <v>4.1904303932996907</v>
      </c>
      <c r="M31" s="26">
        <f t="shared" si="8"/>
        <v>4.2153654384958035</v>
      </c>
      <c r="N31" s="26"/>
      <c r="O31" s="26">
        <f>+O30/O16</f>
        <v>4.5962486181966185</v>
      </c>
      <c r="P31" s="26">
        <f>+P30/P16</f>
        <v>4.8004949893966939</v>
      </c>
      <c r="Q31" s="26">
        <f>+Q30/Q16</f>
        <v>4.3496745133046337</v>
      </c>
      <c r="R31" s="26">
        <f>+R30/(R14+R15)</f>
        <v>4.9735259038226625</v>
      </c>
    </row>
    <row r="32" spans="1:18" x14ac:dyDescent="0.2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</row>
    <row r="33" spans="1:19" x14ac:dyDescent="0.25">
      <c r="A33" s="2">
        <v>13</v>
      </c>
      <c r="B33" s="2" t="s">
        <v>8</v>
      </c>
      <c r="C33" t="s">
        <v>10</v>
      </c>
      <c r="D33" s="14">
        <v>493291406</v>
      </c>
      <c r="E33" s="14">
        <v>365720912</v>
      </c>
      <c r="F33" s="14">
        <v>626226598</v>
      </c>
      <c r="G33" s="14">
        <v>386913008</v>
      </c>
      <c r="H33" s="14">
        <v>262365660</v>
      </c>
      <c r="I33" s="14">
        <v>227780856</v>
      </c>
      <c r="J33" s="14">
        <v>216913457</v>
      </c>
      <c r="K33" s="14">
        <v>200340886</v>
      </c>
      <c r="L33" s="14">
        <v>187598794</v>
      </c>
      <c r="M33" s="14">
        <v>175762101</v>
      </c>
      <c r="N33" s="14"/>
      <c r="O33" s="14">
        <v>163140452</v>
      </c>
      <c r="P33" s="14">
        <v>194788454</v>
      </c>
      <c r="Q33" s="14">
        <v>148628530</v>
      </c>
      <c r="R33" s="14">
        <v>206687913</v>
      </c>
    </row>
    <row r="34" spans="1:19" x14ac:dyDescent="0.25">
      <c r="A34" s="2">
        <v>13</v>
      </c>
      <c r="B34" s="2" t="s">
        <v>9</v>
      </c>
      <c r="C34" t="s">
        <v>2</v>
      </c>
      <c r="D34" s="14">
        <v>54384137</v>
      </c>
      <c r="E34" s="14">
        <v>67183396</v>
      </c>
      <c r="F34" s="14">
        <v>65896429</v>
      </c>
      <c r="G34" s="14">
        <v>66094188</v>
      </c>
      <c r="H34" s="14">
        <v>60344310</v>
      </c>
      <c r="I34" s="14">
        <v>69010913</v>
      </c>
      <c r="J34" s="14">
        <v>51921493</v>
      </c>
      <c r="K34" s="14">
        <v>51441643</v>
      </c>
      <c r="L34" s="14">
        <v>44740275</v>
      </c>
      <c r="M34" s="14">
        <v>43358513</v>
      </c>
      <c r="N34" s="14"/>
      <c r="O34" s="14">
        <v>49139497</v>
      </c>
      <c r="P34" s="14">
        <v>41119222</v>
      </c>
      <c r="Q34" s="14">
        <v>37421943</v>
      </c>
      <c r="R34" s="14">
        <v>42429544</v>
      </c>
    </row>
    <row r="35" spans="1:19" ht="15.75" x14ac:dyDescent="0.25">
      <c r="A35" s="2">
        <v>13</v>
      </c>
      <c r="B35" s="13" t="s">
        <v>57</v>
      </c>
      <c r="C35" s="25" t="s">
        <v>56</v>
      </c>
      <c r="D35" s="26">
        <f t="shared" ref="D35:E35" si="9">+D33/D34</f>
        <v>9.0705016795614508</v>
      </c>
      <c r="E35" s="26">
        <f t="shared" si="9"/>
        <v>5.4436205040900285</v>
      </c>
      <c r="F35" s="26">
        <f>+F33/F34</f>
        <v>9.5031947482313495</v>
      </c>
      <c r="G35" s="26">
        <f>+G33/G34</f>
        <v>5.8539641639897297</v>
      </c>
      <c r="H35" s="26">
        <f t="shared" ref="H35:J35" si="10">+H33/H34</f>
        <v>4.3478110860825154</v>
      </c>
      <c r="I35" s="26">
        <f t="shared" si="10"/>
        <v>3.3006497972284472</v>
      </c>
      <c r="J35" s="26">
        <f t="shared" si="10"/>
        <v>4.17771994730583</v>
      </c>
      <c r="K35" s="26">
        <f t="shared" ref="K35:P35" si="11">+K33/K34</f>
        <v>3.8945273579228408</v>
      </c>
      <c r="L35" s="26">
        <f t="shared" si="11"/>
        <v>4.1930630511323415</v>
      </c>
      <c r="M35" s="26">
        <f t="shared" si="11"/>
        <v>4.0536930083372553</v>
      </c>
      <c r="N35" s="26"/>
      <c r="O35" s="26">
        <f t="shared" si="11"/>
        <v>3.3199455012736494</v>
      </c>
      <c r="P35" s="26">
        <f t="shared" si="11"/>
        <v>4.7371629258938803</v>
      </c>
      <c r="Q35" s="26">
        <f>+Q33/Q34</f>
        <v>3.9716946284697188</v>
      </c>
      <c r="R35" s="26">
        <f>+R33/R34</f>
        <v>4.8713206297951261</v>
      </c>
    </row>
    <row r="36" spans="1:19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9" x14ac:dyDescent="0.25">
      <c r="A37" s="2">
        <v>14</v>
      </c>
      <c r="B37" s="2" t="s">
        <v>8</v>
      </c>
      <c r="C37" t="s">
        <v>45</v>
      </c>
      <c r="D37" s="14">
        <v>15806342</v>
      </c>
      <c r="E37" s="14">
        <v>-19430923</v>
      </c>
      <c r="F37" s="14">
        <v>-27849261</v>
      </c>
      <c r="G37" s="14">
        <v>-11294566</v>
      </c>
      <c r="H37" s="14">
        <v>6252852</v>
      </c>
      <c r="I37" s="14">
        <v>-10891403</v>
      </c>
      <c r="J37" s="14">
        <v>-17487859</v>
      </c>
      <c r="K37" s="14">
        <v>-17087089</v>
      </c>
      <c r="L37" s="14">
        <v>-111239</v>
      </c>
      <c r="M37" s="14">
        <v>277621</v>
      </c>
      <c r="N37" s="14"/>
      <c r="O37" s="14">
        <v>-15051074</v>
      </c>
      <c r="P37" s="14">
        <v>3243342</v>
      </c>
      <c r="Q37" s="14">
        <v>-9941636</v>
      </c>
      <c r="R37" s="14">
        <v>-3032087</v>
      </c>
    </row>
    <row r="38" spans="1:19" x14ac:dyDescent="0.25">
      <c r="A38" s="18" t="s">
        <v>42</v>
      </c>
      <c r="B38" s="11"/>
      <c r="C38" t="s">
        <v>43</v>
      </c>
      <c r="D38" s="14"/>
      <c r="E38" s="14"/>
      <c r="F38" s="14"/>
      <c r="G38" s="14"/>
      <c r="H38" s="14">
        <v>13910262</v>
      </c>
      <c r="I38" s="14">
        <v>11983528</v>
      </c>
      <c r="J38" s="14">
        <v>12207787</v>
      </c>
      <c r="K38" s="14">
        <v>12313859</v>
      </c>
      <c r="L38" s="14">
        <v>14987152</v>
      </c>
      <c r="M38" s="14">
        <v>15030601</v>
      </c>
      <c r="N38" s="14"/>
      <c r="O38" s="14">
        <v>11864105</v>
      </c>
      <c r="P38" s="14">
        <v>12221251</v>
      </c>
      <c r="Q38" s="14">
        <v>11942520</v>
      </c>
      <c r="R38" s="14">
        <v>16913574</v>
      </c>
    </row>
    <row r="39" spans="1:19" x14ac:dyDescent="0.25">
      <c r="A39" s="18" t="s">
        <v>42</v>
      </c>
      <c r="B39" s="11"/>
      <c r="C39" t="s">
        <v>44</v>
      </c>
      <c r="D39" s="14"/>
      <c r="E39" s="14"/>
      <c r="F39" s="14"/>
      <c r="G39" s="14"/>
      <c r="H39" s="14">
        <v>-13739801</v>
      </c>
      <c r="I39" s="14">
        <v>-14445243</v>
      </c>
      <c r="J39" s="14">
        <v>-17335755</v>
      </c>
      <c r="K39" s="14">
        <v>-16821641</v>
      </c>
      <c r="L39" s="14">
        <v>-14958368</v>
      </c>
      <c r="M39" s="14">
        <v>-14700933</v>
      </c>
      <c r="N39" s="14"/>
      <c r="O39" s="14">
        <v>-14589960</v>
      </c>
      <c r="P39" s="14">
        <v>-11393793</v>
      </c>
      <c r="Q39" s="14">
        <v>-15601386</v>
      </c>
      <c r="R39" s="14">
        <v>-17250588</v>
      </c>
    </row>
    <row r="40" spans="1:19" x14ac:dyDescent="0.25">
      <c r="C40" t="s">
        <v>46</v>
      </c>
      <c r="D40" s="14"/>
      <c r="E40" s="14"/>
      <c r="F40" s="14"/>
      <c r="G40" s="14"/>
      <c r="H40" s="14">
        <f t="shared" ref="H40:Q40" si="12">+H39+H38</f>
        <v>170461</v>
      </c>
      <c r="I40" s="14">
        <f t="shared" si="12"/>
        <v>-2461715</v>
      </c>
      <c r="J40" s="14">
        <f t="shared" si="12"/>
        <v>-5127968</v>
      </c>
      <c r="K40" s="14">
        <f t="shared" si="12"/>
        <v>-4507782</v>
      </c>
      <c r="L40" s="14">
        <f t="shared" si="12"/>
        <v>28784</v>
      </c>
      <c r="M40" s="14">
        <f t="shared" si="12"/>
        <v>329668</v>
      </c>
      <c r="N40" s="14">
        <f t="shared" si="12"/>
        <v>0</v>
      </c>
      <c r="O40" s="14">
        <f t="shared" si="12"/>
        <v>-2725855</v>
      </c>
      <c r="P40" s="14">
        <f t="shared" si="12"/>
        <v>827458</v>
      </c>
      <c r="Q40" s="14">
        <f t="shared" si="12"/>
        <v>-3658866</v>
      </c>
      <c r="R40" s="14">
        <f>+R39+R38</f>
        <v>-337014</v>
      </c>
      <c r="S40" s="19">
        <f>SUM(H40:R40)</f>
        <v>-17462829</v>
      </c>
    </row>
    <row r="41" spans="1:19" x14ac:dyDescent="0.25">
      <c r="A41" s="11"/>
      <c r="B41" s="1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9" x14ac:dyDescent="0.25">
      <c r="A42" s="2">
        <v>15</v>
      </c>
      <c r="B42" s="2" t="s">
        <v>8</v>
      </c>
      <c r="C42" t="s">
        <v>11</v>
      </c>
      <c r="D42" s="14">
        <v>65788765</v>
      </c>
      <c r="E42" s="14">
        <v>63446336</v>
      </c>
      <c r="F42" s="14">
        <v>63009282</v>
      </c>
      <c r="G42" s="14">
        <v>63740727</v>
      </c>
      <c r="H42" s="14">
        <v>64752146</v>
      </c>
      <c r="I42" s="14">
        <v>65582876</v>
      </c>
      <c r="J42" s="14">
        <v>66756509</v>
      </c>
      <c r="K42" s="14">
        <v>66973776</v>
      </c>
      <c r="L42" s="14">
        <v>66139451</v>
      </c>
      <c r="M42" s="14">
        <v>64653699</v>
      </c>
      <c r="N42" s="14"/>
      <c r="O42" s="14">
        <v>65637224</v>
      </c>
      <c r="P42" s="14">
        <v>65590030</v>
      </c>
      <c r="Q42" s="14">
        <v>65566482</v>
      </c>
      <c r="R42" s="14">
        <v>65898467</v>
      </c>
      <c r="S42" s="17" t="s">
        <v>41</v>
      </c>
    </row>
    <row r="43" spans="1:19" x14ac:dyDescent="0.25">
      <c r="A43" s="2">
        <v>15</v>
      </c>
      <c r="B43" s="2" t="s">
        <v>9</v>
      </c>
      <c r="C43" t="s">
        <v>2</v>
      </c>
      <c r="D43" s="14">
        <v>113662444</v>
      </c>
      <c r="E43" s="14">
        <v>115079302</v>
      </c>
      <c r="F43" s="14">
        <v>114712633</v>
      </c>
      <c r="G43" s="14">
        <v>114327931</v>
      </c>
      <c r="H43" s="14">
        <v>108261718</v>
      </c>
      <c r="I43" s="14">
        <v>115149448</v>
      </c>
      <c r="J43" s="14">
        <v>112547500</v>
      </c>
      <c r="K43" s="14">
        <v>112445305</v>
      </c>
      <c r="L43" s="14">
        <v>109348725</v>
      </c>
      <c r="M43" s="14">
        <v>109489146</v>
      </c>
      <c r="N43" s="14"/>
      <c r="O43" s="14">
        <v>113886218</v>
      </c>
      <c r="P43" s="14">
        <v>112580716</v>
      </c>
      <c r="Q43" s="14">
        <v>116194486</v>
      </c>
      <c r="R43" s="14">
        <v>119748571</v>
      </c>
    </row>
    <row r="44" spans="1:19" x14ac:dyDescent="0.25">
      <c r="C44" t="s">
        <v>61</v>
      </c>
      <c r="D44" s="22">
        <f t="shared" ref="D44:E44" si="13">+D42/D43</f>
        <v>0.57880829132972011</v>
      </c>
      <c r="E44" s="22">
        <f t="shared" si="13"/>
        <v>0.55132708399639063</v>
      </c>
      <c r="F44" s="22">
        <f>+F42/F43</f>
        <v>0.54927936315436154</v>
      </c>
      <c r="G44" s="22">
        <f>+G42/G43</f>
        <v>0.55752541345299078</v>
      </c>
      <c r="H44" s="22">
        <f t="shared" ref="H44:J44" si="14">+H42/H43</f>
        <v>0.59810750463058415</v>
      </c>
      <c r="I44" s="22">
        <f t="shared" si="14"/>
        <v>0.56954572635033385</v>
      </c>
      <c r="J44" s="22">
        <f t="shared" si="14"/>
        <v>0.59314075390390719</v>
      </c>
      <c r="K44" s="22">
        <f t="shared" ref="K44:P44" si="15">+K42/K43</f>
        <v>0.59561202666487501</v>
      </c>
      <c r="L44" s="22">
        <f t="shared" si="15"/>
        <v>0.60484885397612087</v>
      </c>
      <c r="M44" s="22">
        <f t="shared" si="15"/>
        <v>0.59050327235176348</v>
      </c>
      <c r="N44" s="22"/>
      <c r="O44" s="22">
        <f t="shared" si="15"/>
        <v>0.57634036104351094</v>
      </c>
      <c r="P44" s="22">
        <f t="shared" si="15"/>
        <v>0.58260448441276569</v>
      </c>
      <c r="Q44" s="22">
        <f>+Q42/Q43</f>
        <v>0.56428221559498104</v>
      </c>
      <c r="R44" s="22">
        <f>+R42/R43</f>
        <v>0.55030691764998185</v>
      </c>
    </row>
    <row r="45" spans="1:19" x14ac:dyDescent="0.2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9" x14ac:dyDescent="0.25">
      <c r="A46" s="2">
        <v>16</v>
      </c>
      <c r="B46" s="2" t="s">
        <v>8</v>
      </c>
      <c r="C46" t="s">
        <v>13</v>
      </c>
      <c r="D46" s="14">
        <f>18948762+6056465</f>
        <v>25005227</v>
      </c>
      <c r="E46" s="14">
        <f>20004027+5802103</f>
        <v>25806130</v>
      </c>
      <c r="F46" s="14">
        <v>19311500</v>
      </c>
      <c r="G46" s="14">
        <v>18720103</v>
      </c>
      <c r="H46" s="14">
        <v>19643450</v>
      </c>
      <c r="I46" s="14">
        <v>19430175</v>
      </c>
      <c r="J46" s="14">
        <v>18366993</v>
      </c>
      <c r="K46" s="14">
        <v>18320554</v>
      </c>
      <c r="L46" s="14">
        <v>18339473</v>
      </c>
      <c r="M46" s="14">
        <v>18284068</v>
      </c>
      <c r="N46" s="14"/>
      <c r="O46" s="14">
        <v>20971459</v>
      </c>
      <c r="P46" s="14">
        <v>18543995</v>
      </c>
      <c r="Q46" s="14">
        <v>19719436</v>
      </c>
      <c r="R46" s="14">
        <v>20829309</v>
      </c>
      <c r="S46" s="17" t="s">
        <v>41</v>
      </c>
    </row>
    <row r="47" spans="1:19" x14ac:dyDescent="0.2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9" x14ac:dyDescent="0.25">
      <c r="A48" s="2">
        <v>17</v>
      </c>
      <c r="B48" s="13" t="s">
        <v>8</v>
      </c>
      <c r="C48" t="s">
        <v>14</v>
      </c>
      <c r="D48" s="14">
        <f t="shared" ref="D48:E48" si="16">+D42+D33+D12+D46+D21+D37</f>
        <v>794395236</v>
      </c>
      <c r="E48" s="14">
        <f t="shared" si="16"/>
        <v>646234680</v>
      </c>
      <c r="F48" s="14">
        <f>+F42+F33+F12+F46+F21+F37</f>
        <v>944833774</v>
      </c>
      <c r="G48" s="14">
        <f>+G42+G33+G12+G46+G21+G37</f>
        <v>699248891</v>
      </c>
      <c r="H48" s="14">
        <f t="shared" ref="H48:J48" si="17">+H42+H33+H12+H46+H21+H37</f>
        <v>602203123</v>
      </c>
      <c r="I48" s="14">
        <f t="shared" si="17"/>
        <v>551403366</v>
      </c>
      <c r="J48" s="14">
        <f t="shared" si="17"/>
        <v>563837694</v>
      </c>
      <c r="K48" s="14">
        <f t="shared" ref="K48:P48" si="18">+K42+K33+K12+K46+K21+K37</f>
        <v>558664913</v>
      </c>
      <c r="L48" s="14">
        <f t="shared" si="18"/>
        <v>565048906</v>
      </c>
      <c r="M48" s="14">
        <f t="shared" si="18"/>
        <v>558994359</v>
      </c>
      <c r="N48" s="14">
        <f>+N42+N33+N12+N46+N21+N37</f>
        <v>0</v>
      </c>
      <c r="O48" s="14">
        <f t="shared" si="18"/>
        <v>548926458</v>
      </c>
      <c r="P48" s="14">
        <f t="shared" si="18"/>
        <v>633647167</v>
      </c>
      <c r="Q48" s="14">
        <f>+Q42+Q33+Q12+Q46+Q21+Q37</f>
        <v>579530809</v>
      </c>
      <c r="R48" s="14">
        <f>+R42+R33+R12+R46+R21+R37+R22+R26</f>
        <v>660585307</v>
      </c>
    </row>
    <row r="49" spans="1:19" x14ac:dyDescent="0.25">
      <c r="A49" s="2">
        <v>17</v>
      </c>
      <c r="B49" s="13" t="s">
        <v>9</v>
      </c>
      <c r="C49" t="s">
        <v>2</v>
      </c>
      <c r="D49" s="14">
        <v>106543773</v>
      </c>
      <c r="E49" s="14">
        <v>106096144</v>
      </c>
      <c r="F49" s="14">
        <v>105735627</v>
      </c>
      <c r="G49" s="14">
        <v>105658469</v>
      </c>
      <c r="H49" s="14">
        <v>104941625</v>
      </c>
      <c r="I49" s="14">
        <v>108764276</v>
      </c>
      <c r="J49" s="14">
        <v>108811901</v>
      </c>
      <c r="K49" s="14">
        <v>109222991</v>
      </c>
      <c r="L49" s="14">
        <v>109062874</v>
      </c>
      <c r="M49" s="14">
        <v>109163172</v>
      </c>
      <c r="N49" s="14"/>
      <c r="O49" s="14">
        <v>110108310</v>
      </c>
      <c r="P49" s="14">
        <v>110453764</v>
      </c>
      <c r="Q49" s="14">
        <v>109660075</v>
      </c>
      <c r="R49" s="14">
        <v>110787566</v>
      </c>
      <c r="S49" s="17" t="s">
        <v>41</v>
      </c>
    </row>
    <row r="50" spans="1:19" ht="15.75" x14ac:dyDescent="0.25">
      <c r="A50" s="2">
        <v>17</v>
      </c>
      <c r="B50" s="13" t="s">
        <v>57</v>
      </c>
      <c r="C50" s="25" t="s">
        <v>15</v>
      </c>
      <c r="D50" s="26">
        <f t="shared" ref="D50:E50" si="19">+D48/D49</f>
        <v>7.4560456574031786</v>
      </c>
      <c r="E50" s="26">
        <f t="shared" si="19"/>
        <v>6.091028906762153</v>
      </c>
      <c r="F50" s="26">
        <f>+F48/F49</f>
        <v>8.9358128457497106</v>
      </c>
      <c r="G50" s="26">
        <f>+G48/G49</f>
        <v>6.6180108193693403</v>
      </c>
      <c r="H50" s="26">
        <f t="shared" ref="H50:J50" si="20">+H48/H49</f>
        <v>5.7384581475653729</v>
      </c>
      <c r="I50" s="26">
        <f t="shared" si="20"/>
        <v>5.0697102603799795</v>
      </c>
      <c r="J50" s="26">
        <f t="shared" si="20"/>
        <v>5.1817649431563559</v>
      </c>
      <c r="K50" s="26">
        <f t="shared" ref="K50:P50" si="21">+K48/K49</f>
        <v>5.1149021637761232</v>
      </c>
      <c r="L50" s="26">
        <f t="shared" si="21"/>
        <v>5.1809464144508057</v>
      </c>
      <c r="M50" s="26">
        <f t="shared" si="21"/>
        <v>5.1207229394177007</v>
      </c>
      <c r="N50" s="26"/>
      <c r="O50" s="26">
        <f t="shared" si="21"/>
        <v>4.9853317883091659</v>
      </c>
      <c r="P50" s="26">
        <f t="shared" si="21"/>
        <v>5.7367639096482037</v>
      </c>
      <c r="Q50" s="26">
        <f>+Q48/Q49</f>
        <v>5.2847931118048201</v>
      </c>
      <c r="R50" s="26">
        <f>+R48/R49</f>
        <v>5.9626303821856688</v>
      </c>
    </row>
    <row r="51" spans="1:19" x14ac:dyDescent="0.25">
      <c r="Q51" s="3"/>
      <c r="R51" s="3"/>
    </row>
    <row r="52" spans="1:19" x14ac:dyDescent="0.25">
      <c r="C52" t="s">
        <v>58</v>
      </c>
      <c r="D52" s="12">
        <f t="shared" ref="D52:Q52" si="22">(-D49+D43)/D49</f>
        <v>6.6814519512088236E-2</v>
      </c>
      <c r="E52" s="12">
        <f>(-E49+E43)/E49</f>
        <v>8.4669976318837756E-2</v>
      </c>
      <c r="F52" s="12">
        <f t="shared" si="22"/>
        <v>8.4900484866846246E-2</v>
      </c>
      <c r="G52" s="12">
        <f t="shared" si="22"/>
        <v>8.205174731426404E-2</v>
      </c>
      <c r="H52" s="12">
        <f t="shared" si="22"/>
        <v>3.1637522289177433E-2</v>
      </c>
      <c r="I52" s="12">
        <f t="shared" si="22"/>
        <v>5.8706518673465907E-2</v>
      </c>
      <c r="J52" s="12">
        <f t="shared" si="22"/>
        <v>3.4330794386176561E-2</v>
      </c>
      <c r="K52" s="12">
        <f t="shared" si="22"/>
        <v>2.9502158570259261E-2</v>
      </c>
      <c r="L52" s="12">
        <f>(-L49+L43)/L49</f>
        <v>2.6209743931743445E-3</v>
      </c>
      <c r="M52" s="12">
        <f t="shared" si="22"/>
        <v>2.9861169662603795E-3</v>
      </c>
      <c r="N52" s="12" t="e">
        <f t="shared" si="22"/>
        <v>#DIV/0!</v>
      </c>
      <c r="O52" s="12">
        <f t="shared" si="22"/>
        <v>3.4310834486516048E-2</v>
      </c>
      <c r="P52" s="12">
        <f t="shared" si="22"/>
        <v>1.9256491793253873E-2</v>
      </c>
      <c r="Q52" s="12">
        <f t="shared" si="22"/>
        <v>5.9587876444549215E-2</v>
      </c>
      <c r="R52" s="12">
        <f>(-R49+R43)/R49</f>
        <v>8.0884573274224658E-2</v>
      </c>
    </row>
    <row r="53" spans="1:19" x14ac:dyDescent="0.25">
      <c r="Q53" s="3"/>
    </row>
    <row r="54" spans="1:19" x14ac:dyDescent="0.25">
      <c r="Q54" s="3"/>
    </row>
    <row r="55" spans="1:19" x14ac:dyDescent="0.25">
      <c r="Q55" s="3"/>
    </row>
    <row r="56" spans="1:19" x14ac:dyDescent="0.25">
      <c r="Q56" s="3"/>
    </row>
    <row r="57" spans="1:19" x14ac:dyDescent="0.25">
      <c r="Q57" s="3"/>
    </row>
    <row r="58" spans="1:19" x14ac:dyDescent="0.25">
      <c r="Q58" s="3"/>
    </row>
  </sheetData>
  <mergeCells count="4">
    <mergeCell ref="A6:B6"/>
    <mergeCell ref="A1:R1"/>
    <mergeCell ref="A2:R2"/>
    <mergeCell ref="A3:R3"/>
  </mergeCells>
  <pageMargins left="0.7" right="0.7" top="0.75" bottom="0.75" header="0.3" footer="0.3"/>
  <pageSetup scale="68" orientation="portrait" r:id="rId1"/>
  <headerFooter>
    <oddHeader>&amp;RDPU Exhibit 1.1</oddHeader>
    <oddFooter>&amp;Z&amp;F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191 Filing - Exhibit 1.4</vt:lpstr>
      <vt:lpstr>Sheet2</vt:lpstr>
      <vt:lpstr>Sheet3</vt:lpstr>
      <vt:lpstr>'191 Filing - Exhibit 1.4'!Print_Area</vt:lpstr>
    </vt:vector>
  </TitlesOfParts>
  <Company>Dept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laurieharris</cp:lastModifiedBy>
  <cp:lastPrinted>2014-05-21T22:45:24Z</cp:lastPrinted>
  <dcterms:created xsi:type="dcterms:W3CDTF">2013-11-13T16:50:19Z</dcterms:created>
  <dcterms:modified xsi:type="dcterms:W3CDTF">2014-05-27T17:30:58Z</dcterms:modified>
</cp:coreProperties>
</file>