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omments4.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Websites\Pscweb\utilities\gas\14docs\1405709\"/>
    </mc:Choice>
  </mc:AlternateContent>
  <bookViews>
    <workbookView xWindow="-15" yWindow="-15" windowWidth="19260" windowHeight="5940" firstSheet="5" activeTab="10"/>
  </bookViews>
  <sheets>
    <sheet name="191 Sales Volumes " sheetId="9" r:id="rId1"/>
    <sheet name="Seasonal Sales Volumes" sheetId="26" r:id="rId2"/>
    <sheet name="Gas Balance SD #1" sheetId="29" r:id="rId3"/>
    <sheet name="Price Graph" sheetId="30" r:id="rId4"/>
    <sheet name="Purchases Detail 1.2" sheetId="31" r:id="rId5"/>
    <sheet name="Costs" sheetId="1" r:id="rId6"/>
    <sheet name="Rates" sheetId="2" r:id="rId7"/>
    <sheet name="Gas Mgmt" sheetId="5" r:id="rId8"/>
    <sheet name="GSBill" sheetId="3" r:id="rId9"/>
    <sheet name="Tariff sheets" sheetId="40" r:id="rId10"/>
    <sheet name="DPU Combined" sheetId="22" r:id="rId11"/>
    <sheet name="DPU Combined no round" sheetId="39" r:id="rId12"/>
  </sheets>
  <externalReferences>
    <externalReference r:id="rId13"/>
    <externalReference r:id="rId14"/>
    <externalReference r:id="rId15"/>
    <externalReference r:id="rId16"/>
    <externalReference r:id="rId17"/>
    <externalReference r:id="rId18"/>
  </externalReferences>
  <definedNames>
    <definedName name="\P" localSheetId="10">#REF!</definedName>
    <definedName name="\P" localSheetId="11">#REF!</definedName>
    <definedName name="\P" localSheetId="3">#REF!</definedName>
    <definedName name="\P" localSheetId="4">#REF!</definedName>
    <definedName name="\P">#REF!</definedName>
    <definedName name="calculation">'191 Sales Volumes '!$D$6:$O$221</definedName>
    <definedName name="Calculations">'191 Sales Volumes '!$D$5:$O$221</definedName>
    <definedName name="EXH1.7P2" localSheetId="10">#REF!</definedName>
    <definedName name="EXH1.7P2" localSheetId="11">#REF!</definedName>
    <definedName name="EXH1.7P2" localSheetId="3">#REF!</definedName>
    <definedName name="EXH1.7P2" localSheetId="4">#REF!</definedName>
    <definedName name="EXH1.7P2">#REF!</definedName>
    <definedName name="EXH1.8P2" localSheetId="10">#REF!</definedName>
    <definedName name="EXH1.8P2" localSheetId="11">#REF!</definedName>
    <definedName name="EXH1.8P2">#REF!</definedName>
    <definedName name="EXH1.8P3" localSheetId="10">#REF!</definedName>
    <definedName name="EXH1.8P3" localSheetId="11">#REF!</definedName>
    <definedName name="EXH1.8P3">#REF!</definedName>
    <definedName name="EXH1.8P4" localSheetId="10">#REF!</definedName>
    <definedName name="EXH1.8P4" localSheetId="11">#REF!</definedName>
    <definedName name="EXH1.8P4">#REF!</definedName>
    <definedName name="EXH1.8P5" localSheetId="10">#REF!</definedName>
    <definedName name="EXH1.8P5" localSheetId="11">#REF!</definedName>
    <definedName name="EXH1.8P5">#REF!</definedName>
    <definedName name="INCOME" localSheetId="3">'[1]Utah Summary-by class'!$A$5:$H$39</definedName>
    <definedName name="kernrivertrans">'191 Sales Volumes '!$D$246:$O$251</definedName>
    <definedName name="noncorecredits" localSheetId="11">#REF!</definedName>
    <definedName name="noncorecredits">#REF!</definedName>
    <definedName name="_xlnm.Print_Area" localSheetId="0">'191 Sales Volumes '!$A$149:$P$187</definedName>
    <definedName name="_xlnm.Print_Area" localSheetId="5">Costs!$A$9:$N$151</definedName>
    <definedName name="_xlnm.Print_Area" localSheetId="10">'DPU Combined'!$A$1:$L$102</definedName>
    <definedName name="_xlnm.Print_Area" localSheetId="11">'DPU Combined no round'!$A$1:$L$69</definedName>
    <definedName name="_xlnm.Print_Area" localSheetId="7">'Gas Mgmt'!$A$2:$L$73</definedName>
    <definedName name="_xlnm.Print_Area" localSheetId="8">GSBill!$A$2:$P$44</definedName>
    <definedName name="_xlnm.Print_Area" localSheetId="3">'Price Graph'!$D$427:$N$468</definedName>
    <definedName name="_xlnm.Print_Area" localSheetId="4">'Purchases Detail 1.2'!$D$427:$N$468</definedName>
    <definedName name="_xlnm.Print_Area" localSheetId="6">Rates!$A$2:$L$73</definedName>
    <definedName name="_xlnm.Print_Titles" localSheetId="5">Costs!$2:$8</definedName>
    <definedName name="solver_adj" localSheetId="6" hidden="1">Rates!$G$22,Rates!$H$21:$I$21</definedName>
    <definedName name="solver_cvg" localSheetId="4" hidden="1">0.0001</definedName>
    <definedName name="solver_cvg" localSheetId="6" hidden="1">0.0001</definedName>
    <definedName name="solver_drv" localSheetId="4" hidden="1">1</definedName>
    <definedName name="solver_drv" localSheetId="6" hidden="1">1</definedName>
    <definedName name="solver_est" localSheetId="4" hidden="1">1</definedName>
    <definedName name="solver_est" localSheetId="6" hidden="1">1</definedName>
    <definedName name="solver_itr" localSheetId="4" hidden="1">100</definedName>
    <definedName name="solver_itr" localSheetId="6" hidden="1">100</definedName>
    <definedName name="solver_lin" localSheetId="4" hidden="1">2</definedName>
    <definedName name="solver_lin" localSheetId="6" hidden="1">2</definedName>
    <definedName name="solver_neg" localSheetId="4" hidden="1">2</definedName>
    <definedName name="solver_neg" localSheetId="6" hidden="1">2</definedName>
    <definedName name="solver_num" localSheetId="4" hidden="1">0</definedName>
    <definedName name="solver_num" localSheetId="6" hidden="1">0</definedName>
    <definedName name="solver_nwt" localSheetId="4" hidden="1">1</definedName>
    <definedName name="solver_nwt" localSheetId="6" hidden="1">1</definedName>
    <definedName name="solver_opt" localSheetId="4" hidden="1">'Purchases Detail 1.2'!$J$5</definedName>
    <definedName name="solver_opt" localSheetId="6" hidden="1">Rates!$G$20</definedName>
    <definedName name="solver_pre" localSheetId="4" hidden="1">0.000001</definedName>
    <definedName name="solver_pre" localSheetId="6" hidden="1">0.000001</definedName>
    <definedName name="solver_scl" localSheetId="4" hidden="1">2</definedName>
    <definedName name="solver_scl" localSheetId="6" hidden="1">2</definedName>
    <definedName name="solver_sho" localSheetId="4" hidden="1">2</definedName>
    <definedName name="solver_sho" localSheetId="6" hidden="1">2</definedName>
    <definedName name="solver_tim" localSheetId="4" hidden="1">100</definedName>
    <definedName name="solver_tim" localSheetId="6" hidden="1">100</definedName>
    <definedName name="solver_tol" localSheetId="4" hidden="1">0.05</definedName>
    <definedName name="solver_tol" localSheetId="6" hidden="1">0.05</definedName>
    <definedName name="solver_typ" localSheetId="4" hidden="1">1</definedName>
    <definedName name="solver_typ" localSheetId="6" hidden="1">3</definedName>
    <definedName name="solver_val" localSheetId="4" hidden="1">0</definedName>
    <definedName name="solver_val" localSheetId="6" hidden="1">-25124898</definedName>
    <definedName name="TARIFF" localSheetId="3">'[2]Ut 1.2:Ut 1.7'!$A$1:$CU$149</definedName>
    <definedName name="TARIFF" localSheetId="4">'[2]Ut 1.2:Ut 1.7'!$A$1:$CU$149</definedName>
    <definedName name="TARIFF">'[3]Ut 1.2:Ut 1.7'!$A$1:$CU$149</definedName>
    <definedName name="UtRevRun" localSheetId="11">#REF!</definedName>
    <definedName name="UtRevRun">#REF!</definedName>
    <definedName name="WyStorage" localSheetId="10">#REF!</definedName>
    <definedName name="WyStorage" localSheetId="11">#REF!</definedName>
    <definedName name="WyStorage">#REF!</definedName>
  </definedNames>
  <calcPr calcId="152511"/>
</workbook>
</file>

<file path=xl/calcChain.xml><?xml version="1.0" encoding="utf-8"?>
<calcChain xmlns="http://schemas.openxmlformats.org/spreadsheetml/2006/main">
  <c r="G18" i="22" l="1"/>
  <c r="G21" i="22" s="1"/>
  <c r="G22" i="22" s="1"/>
  <c r="G17" i="22"/>
  <c r="G14" i="22"/>
  <c r="G38" i="22"/>
  <c r="G39" i="22" s="1"/>
  <c r="K99" i="22"/>
  <c r="K98" i="22"/>
  <c r="K97" i="22"/>
  <c r="K96" i="22"/>
  <c r="K95" i="22"/>
  <c r="K100" i="22"/>
  <c r="H130" i="1"/>
  <c r="H129" i="1"/>
  <c r="K120" i="1"/>
  <c r="K115" i="1"/>
  <c r="K113" i="1"/>
  <c r="I113" i="1"/>
  <c r="I115" i="1" s="1"/>
  <c r="I120" i="1" s="1"/>
  <c r="I112" i="1"/>
  <c r="I114" i="1" s="1"/>
  <c r="I119" i="1" s="1"/>
  <c r="K111" i="1"/>
  <c r="G22" i="2"/>
  <c r="G20" i="2" s="1"/>
  <c r="H95" i="22" l="1"/>
  <c r="X58" i="1" l="1"/>
  <c r="F26" i="29"/>
  <c r="J17" i="2"/>
  <c r="K118" i="1"/>
  <c r="K109" i="1"/>
  <c r="K122" i="1" s="1"/>
  <c r="H79" i="1"/>
  <c r="K59" i="1"/>
  <c r="K64" i="1" s="1"/>
  <c r="K50" i="1"/>
  <c r="K17" i="1"/>
  <c r="H15" i="1"/>
  <c r="G14" i="1"/>
  <c r="G16" i="1" s="1"/>
  <c r="I16" i="1" s="1"/>
  <c r="J14" i="1"/>
  <c r="J16" i="1" s="1"/>
  <c r="K13" i="1"/>
  <c r="I13" i="1"/>
  <c r="H13" i="1"/>
  <c r="H20" i="1" l="1"/>
  <c r="J13" i="1"/>
  <c r="K16" i="1"/>
  <c r="G13" i="1"/>
  <c r="CU18" i="30"/>
  <c r="CT18" i="30"/>
  <c r="CS18" i="30"/>
  <c r="CR18" i="30"/>
  <c r="CQ18" i="30"/>
  <c r="CP18" i="30"/>
  <c r="CO18" i="30"/>
  <c r="CN18" i="30"/>
  <c r="CM18" i="30"/>
  <c r="CL18" i="30"/>
  <c r="CV18" i="30" s="1"/>
  <c r="CK18" i="30"/>
  <c r="CJ18" i="30"/>
  <c r="CI18" i="30"/>
  <c r="AC21" i="30"/>
  <c r="AC18" i="30"/>
  <c r="AC23" i="30" s="1"/>
  <c r="AC17" i="30"/>
  <c r="AC22" i="30" s="1"/>
  <c r="AC16" i="30"/>
  <c r="O51" i="9"/>
  <c r="N51" i="9"/>
  <c r="M51" i="9"/>
  <c r="L51" i="9"/>
  <c r="K51" i="9"/>
  <c r="J51" i="9"/>
  <c r="I51" i="9"/>
  <c r="H51" i="9"/>
  <c r="G51" i="9"/>
  <c r="F51" i="9"/>
  <c r="E51" i="9"/>
  <c r="O50" i="9"/>
  <c r="N50" i="9"/>
  <c r="M50" i="9"/>
  <c r="L50" i="9"/>
  <c r="K50" i="9"/>
  <c r="J50" i="9"/>
  <c r="I50" i="9"/>
  <c r="H50" i="9"/>
  <c r="G50" i="9"/>
  <c r="F50" i="9"/>
  <c r="E50" i="9"/>
  <c r="D51" i="9"/>
  <c r="D50" i="9"/>
  <c r="O44" i="9"/>
  <c r="N44" i="9"/>
  <c r="M44" i="9"/>
  <c r="L44" i="9"/>
  <c r="K44" i="9"/>
  <c r="J44" i="9"/>
  <c r="I44" i="9"/>
  <c r="H44" i="9"/>
  <c r="G44" i="9"/>
  <c r="F44" i="9"/>
  <c r="E44" i="9"/>
  <c r="D44" i="9"/>
  <c r="O40" i="9"/>
  <c r="N40" i="9"/>
  <c r="M40" i="9"/>
  <c r="L40" i="9"/>
  <c r="K40" i="9"/>
  <c r="J40" i="9"/>
  <c r="I40" i="9"/>
  <c r="H40" i="9"/>
  <c r="G40" i="9"/>
  <c r="F40" i="9"/>
  <c r="E40" i="9"/>
  <c r="O39" i="9"/>
  <c r="N39" i="9"/>
  <c r="M39" i="9"/>
  <c r="L39" i="9"/>
  <c r="K39" i="9"/>
  <c r="J39" i="9"/>
  <c r="I39" i="9"/>
  <c r="H39" i="9"/>
  <c r="G39" i="9"/>
  <c r="F39" i="9"/>
  <c r="E39" i="9"/>
  <c r="O37" i="9"/>
  <c r="N37" i="9"/>
  <c r="M37" i="9"/>
  <c r="L37" i="9"/>
  <c r="K37" i="9"/>
  <c r="J37" i="9"/>
  <c r="I37" i="9"/>
  <c r="H37" i="9"/>
  <c r="G37" i="9"/>
  <c r="F37" i="9"/>
  <c r="E37" i="9"/>
  <c r="D40" i="9"/>
  <c r="D39" i="9"/>
  <c r="D37" i="9"/>
  <c r="O27" i="9"/>
  <c r="N27" i="9"/>
  <c r="M27" i="9"/>
  <c r="L27" i="9"/>
  <c r="K27" i="9"/>
  <c r="J27" i="9"/>
  <c r="I27" i="9"/>
  <c r="H27" i="9"/>
  <c r="G27" i="9"/>
  <c r="F27" i="9"/>
  <c r="E27" i="9"/>
  <c r="O26" i="9"/>
  <c r="N26" i="9"/>
  <c r="M26" i="9"/>
  <c r="L26" i="9"/>
  <c r="K26" i="9"/>
  <c r="J26" i="9"/>
  <c r="I26" i="9"/>
  <c r="H26" i="9"/>
  <c r="G26" i="9"/>
  <c r="F26" i="9"/>
  <c r="E26" i="9"/>
  <c r="O25" i="9"/>
  <c r="N25" i="9"/>
  <c r="M25" i="9"/>
  <c r="L25" i="9"/>
  <c r="K25" i="9"/>
  <c r="J25" i="9"/>
  <c r="I25" i="9"/>
  <c r="H25" i="9"/>
  <c r="G25" i="9"/>
  <c r="F25" i="9"/>
  <c r="E25" i="9"/>
  <c r="O24" i="9"/>
  <c r="N24" i="9"/>
  <c r="M24" i="9"/>
  <c r="L24" i="9"/>
  <c r="K24" i="9"/>
  <c r="J24" i="9"/>
  <c r="I24" i="9"/>
  <c r="H24" i="9"/>
  <c r="G24" i="9"/>
  <c r="F24" i="9"/>
  <c r="E24" i="9"/>
  <c r="O23" i="9"/>
  <c r="N23" i="9"/>
  <c r="M23" i="9"/>
  <c r="L23" i="9"/>
  <c r="K23" i="9"/>
  <c r="J23" i="9"/>
  <c r="I23" i="9"/>
  <c r="H23" i="9"/>
  <c r="G23" i="9"/>
  <c r="F23" i="9"/>
  <c r="E23" i="9"/>
  <c r="D27" i="9"/>
  <c r="D26" i="9"/>
  <c r="D25" i="9"/>
  <c r="D24" i="9"/>
  <c r="D23" i="9"/>
  <c r="O15" i="9"/>
  <c r="N15" i="9"/>
  <c r="M15" i="9"/>
  <c r="L15" i="9"/>
  <c r="K15" i="9"/>
  <c r="J15" i="9"/>
  <c r="I15" i="9"/>
  <c r="H15" i="9"/>
  <c r="G15" i="9"/>
  <c r="F15" i="9"/>
  <c r="E15" i="9"/>
  <c r="D15" i="9"/>
  <c r="O12" i="9"/>
  <c r="N12" i="9"/>
  <c r="M12" i="9"/>
  <c r="L12" i="9"/>
  <c r="K12" i="9"/>
  <c r="J12" i="9"/>
  <c r="I12" i="9"/>
  <c r="H12" i="9"/>
  <c r="G12" i="9"/>
  <c r="F12" i="9"/>
  <c r="E12" i="9"/>
  <c r="O10" i="9"/>
  <c r="N10" i="9"/>
  <c r="M10" i="9"/>
  <c r="L10" i="9"/>
  <c r="K10" i="9"/>
  <c r="J10" i="9"/>
  <c r="I10" i="9"/>
  <c r="H10" i="9"/>
  <c r="G10" i="9"/>
  <c r="F10" i="9"/>
  <c r="E10" i="9"/>
  <c r="D12" i="9"/>
  <c r="D10" i="9"/>
  <c r="O7" i="9"/>
  <c r="N7" i="9"/>
  <c r="M7" i="9"/>
  <c r="L7" i="9"/>
  <c r="K7" i="9"/>
  <c r="J7" i="9"/>
  <c r="I7" i="9"/>
  <c r="H7" i="9"/>
  <c r="G7" i="9"/>
  <c r="F7" i="9"/>
  <c r="E7" i="9"/>
  <c r="D7" i="9"/>
  <c r="E5" i="9" l="1"/>
  <c r="F5" i="9" s="1"/>
  <c r="G5" i="9" s="1"/>
  <c r="H5" i="9" s="1"/>
  <c r="I5" i="9" s="1"/>
  <c r="J5" i="9" s="1"/>
  <c r="K5" i="9" s="1"/>
  <c r="L5" i="9" s="1"/>
  <c r="M5" i="9" s="1"/>
  <c r="N5" i="9" s="1"/>
  <c r="O5" i="9" s="1"/>
  <c r="CI23" i="30" l="1"/>
  <c r="CH23" i="30"/>
  <c r="CG23" i="30"/>
  <c r="CF23" i="30"/>
  <c r="CE23" i="30"/>
  <c r="CD23" i="30"/>
  <c r="CC23" i="30"/>
  <c r="CB23" i="30"/>
  <c r="CA23" i="30"/>
  <c r="BZ23" i="30"/>
  <c r="BY23" i="30"/>
  <c r="BX23" i="30"/>
  <c r="BW23" i="30"/>
  <c r="CJ23" i="30" s="1"/>
  <c r="CM14" i="30" l="1"/>
  <c r="CM8" i="30" s="1"/>
  <c r="CL14" i="30"/>
  <c r="CL8" i="30" s="1"/>
  <c r="CK14" i="30"/>
  <c r="CK8" i="30" s="1"/>
  <c r="CJ14" i="30"/>
  <c r="CJ8" i="30" s="1"/>
  <c r="CI14" i="30"/>
  <c r="CI8" i="30" s="1"/>
  <c r="CH14" i="30"/>
  <c r="CH8" i="30" s="1"/>
  <c r="CG14" i="30"/>
  <c r="CG8" i="30" s="1"/>
  <c r="CF14" i="30"/>
  <c r="CF8" i="30" s="1"/>
  <c r="CE14" i="30"/>
  <c r="CE8" i="30" s="1"/>
  <c r="CD14" i="30"/>
  <c r="CD8" i="30" s="1"/>
  <c r="CC14" i="30"/>
  <c r="CC8" i="30" s="1"/>
  <c r="CB14" i="30"/>
  <c r="CB8" i="30" s="1"/>
  <c r="CA14" i="30"/>
  <c r="P24" i="9"/>
  <c r="P26" i="9"/>
  <c r="CN14" i="30" l="1"/>
  <c r="CA8" i="30"/>
  <c r="F100" i="22" l="1"/>
  <c r="L80" i="39" l="1"/>
  <c r="L77" i="39"/>
  <c r="L76" i="39"/>
  <c r="AQ4" i="30" l="1"/>
  <c r="AR4" i="30" s="1"/>
  <c r="AS4" i="30" s="1"/>
  <c r="AT4" i="30" s="1"/>
  <c r="AU4" i="30" s="1"/>
  <c r="AV4" i="30" s="1"/>
  <c r="AW4" i="30" s="1"/>
  <c r="AX4" i="30" s="1"/>
  <c r="AY4" i="30" s="1"/>
  <c r="AZ4" i="30" s="1"/>
  <c r="BA4" i="30" s="1"/>
  <c r="BB4" i="30" s="1"/>
  <c r="BC4" i="30" s="1"/>
  <c r="BD4" i="30" s="1"/>
  <c r="BE4" i="30" s="1"/>
  <c r="BF4" i="30" s="1"/>
  <c r="BG4" i="30" s="1"/>
  <c r="BH4" i="30" s="1"/>
  <c r="BI4" i="30" s="1"/>
  <c r="BJ4" i="30" s="1"/>
  <c r="BK4" i="30" s="1"/>
  <c r="BL4" i="30" s="1"/>
  <c r="BM4" i="30" s="1"/>
  <c r="BN4" i="30" s="1"/>
  <c r="BO4" i="30" s="1"/>
  <c r="BP4" i="30" s="1"/>
  <c r="BQ4" i="30" s="1"/>
  <c r="BR4" i="30" s="1"/>
  <c r="BS4" i="30" s="1"/>
  <c r="BT4" i="30" s="1"/>
  <c r="BU4" i="30" s="1"/>
  <c r="BV4" i="30" s="1"/>
  <c r="BW4" i="30" s="1"/>
  <c r="BX4" i="30" l="1"/>
  <c r="BW20" i="30"/>
  <c r="D38" i="39"/>
  <c r="C36" i="39"/>
  <c r="D34" i="39"/>
  <c r="E34" i="39" s="1"/>
  <c r="F34" i="39" s="1"/>
  <c r="D33" i="39"/>
  <c r="E33" i="39" s="1"/>
  <c r="F33" i="39" s="1"/>
  <c r="C23" i="39"/>
  <c r="E22" i="39"/>
  <c r="F22" i="39" s="1"/>
  <c r="D22" i="39"/>
  <c r="D21" i="39"/>
  <c r="D23" i="39" s="1"/>
  <c r="E19" i="39"/>
  <c r="D19" i="39"/>
  <c r="C19" i="39"/>
  <c r="F18" i="39"/>
  <c r="D18" i="39"/>
  <c r="F17" i="39"/>
  <c r="F19" i="39" s="1"/>
  <c r="D17" i="39"/>
  <c r="C15" i="39"/>
  <c r="D13" i="39"/>
  <c r="E13" i="39" s="1"/>
  <c r="F13" i="39" s="1"/>
  <c r="D12" i="39"/>
  <c r="E12" i="39" s="1"/>
  <c r="D13" i="22"/>
  <c r="E13" i="22" s="1"/>
  <c r="F13" i="22" s="1"/>
  <c r="BY4" i="30" l="1"/>
  <c r="BX20" i="30"/>
  <c r="D15" i="39"/>
  <c r="E21" i="39"/>
  <c r="F21" i="39" s="1"/>
  <c r="F23" i="39" s="1"/>
  <c r="F36" i="39"/>
  <c r="E36" i="39"/>
  <c r="D36" i="39"/>
  <c r="E15" i="39"/>
  <c r="F12" i="39"/>
  <c r="F15" i="39" s="1"/>
  <c r="E23" i="39"/>
  <c r="BZ4" i="30" l="1"/>
  <c r="BY20" i="30"/>
  <c r="O229" i="31"/>
  <c r="N229" i="31"/>
  <c r="K84" i="1"/>
  <c r="K85" i="1"/>
  <c r="K76" i="1"/>
  <c r="D13" i="29"/>
  <c r="BZ20" i="30" l="1"/>
  <c r="CA4" i="30"/>
  <c r="M11" i="40"/>
  <c r="W11" i="40"/>
  <c r="AQ11" i="40"/>
  <c r="AQ21" i="40" s="1"/>
  <c r="BA11" i="40"/>
  <c r="BA21" i="40" s="1"/>
  <c r="BK11" i="40"/>
  <c r="BK21" i="40" s="1"/>
  <c r="AG11" i="40"/>
  <c r="C11" i="40"/>
  <c r="BQ6" i="40"/>
  <c r="BR6" i="40"/>
  <c r="BS6" i="40"/>
  <c r="BP6" i="40"/>
  <c r="BF6" i="40"/>
  <c r="AW6" i="40"/>
  <c r="AX6" i="40"/>
  <c r="AY6" i="40"/>
  <c r="AV6" i="40"/>
  <c r="AM6" i="40"/>
  <c r="AN6" i="40"/>
  <c r="AL6" i="40"/>
  <c r="AB6" i="40"/>
  <c r="H8" i="40"/>
  <c r="D8" i="40"/>
  <c r="BP9" i="40"/>
  <c r="BL9" i="40"/>
  <c r="BL11" i="40" s="1"/>
  <c r="BL21" i="40" s="1"/>
  <c r="BF9" i="40"/>
  <c r="AV9" i="40"/>
  <c r="AR9" i="40"/>
  <c r="AS9" i="40" s="1"/>
  <c r="AN9" i="40"/>
  <c r="AM9" i="40"/>
  <c r="AL9" i="40"/>
  <c r="AI9" i="40"/>
  <c r="AI11" i="40" s="1"/>
  <c r="AH9" i="40"/>
  <c r="AH11" i="40" s="1"/>
  <c r="AB9" i="40"/>
  <c r="T9" i="40"/>
  <c r="T11" i="40" s="1"/>
  <c r="S9" i="40"/>
  <c r="S11" i="40" s="1"/>
  <c r="R9" i="40"/>
  <c r="R11" i="40" s="1"/>
  <c r="O9" i="40"/>
  <c r="O11" i="40" s="1"/>
  <c r="N9" i="40"/>
  <c r="N11" i="40" s="1"/>
  <c r="I9" i="40"/>
  <c r="H9" i="40"/>
  <c r="D9" i="40"/>
  <c r="BM9" i="40" l="1"/>
  <c r="BN9" i="40" s="1"/>
  <c r="BQ9" i="40"/>
  <c r="CA20" i="30"/>
  <c r="CA11" i="30"/>
  <c r="CB4" i="30"/>
  <c r="D11" i="40"/>
  <c r="H11" i="40"/>
  <c r="AS11" i="40"/>
  <c r="AS21" i="40" s="1"/>
  <c r="AT9" i="40"/>
  <c r="AT11" i="40" s="1"/>
  <c r="AT21" i="40" s="1"/>
  <c r="AX9" i="40"/>
  <c r="AY9" i="40" s="1"/>
  <c r="AY11" i="40"/>
  <c r="AY21" i="40" s="1"/>
  <c r="AW9" i="40"/>
  <c r="AR11" i="40"/>
  <c r="AR21" i="40" s="1"/>
  <c r="I8" i="40"/>
  <c r="I11" i="40" s="1"/>
  <c r="BQ10" i="40"/>
  <c r="BQ11" i="40" s="1"/>
  <c r="BQ21" i="40" s="1"/>
  <c r="BR10" i="40"/>
  <c r="BS10" i="40"/>
  <c r="BP10" i="40"/>
  <c r="BP11" i="40" s="1"/>
  <c r="BP21" i="40" s="1"/>
  <c r="BF10" i="40"/>
  <c r="BF11" i="40" s="1"/>
  <c r="BF21" i="40" s="1"/>
  <c r="AW10" i="40"/>
  <c r="AX10" i="40"/>
  <c r="AX11" i="40" s="1"/>
  <c r="AX21" i="40" s="1"/>
  <c r="AV10" i="40"/>
  <c r="AV11" i="40" s="1"/>
  <c r="AV21" i="40" s="1"/>
  <c r="AM10" i="40"/>
  <c r="AM11" i="40" s="1"/>
  <c r="AN10" i="40"/>
  <c r="AN11" i="40" s="1"/>
  <c r="AL10" i="40"/>
  <c r="AL11" i="40" s="1"/>
  <c r="AB10" i="40"/>
  <c r="AB11" i="40" s="1"/>
  <c r="BS9" i="40" l="1"/>
  <c r="BS11" i="40" s="1"/>
  <c r="BS21" i="40" s="1"/>
  <c r="BN11" i="40"/>
  <c r="BN21" i="40" s="1"/>
  <c r="CC4" i="30"/>
  <c r="CB20" i="30"/>
  <c r="CB11" i="30"/>
  <c r="BM11" i="40"/>
  <c r="BM21" i="40" s="1"/>
  <c r="BR9" i="40"/>
  <c r="BR11" i="40"/>
  <c r="BR21" i="40" s="1"/>
  <c r="AW11" i="40"/>
  <c r="AW21" i="40" s="1"/>
  <c r="F100" i="39"/>
  <c r="C92" i="39"/>
  <c r="P63" i="39"/>
  <c r="F56" i="39"/>
  <c r="E56" i="39"/>
  <c r="D56" i="39"/>
  <c r="C56" i="39"/>
  <c r="C55" i="39"/>
  <c r="C54" i="39"/>
  <c r="F53" i="39"/>
  <c r="E53" i="39"/>
  <c r="D53" i="39"/>
  <c r="C53" i="39"/>
  <c r="F52" i="39"/>
  <c r="E52" i="39"/>
  <c r="D52" i="39"/>
  <c r="C52" i="39"/>
  <c r="D55" i="39"/>
  <c r="A11" i="39"/>
  <c r="A12" i="39" s="1"/>
  <c r="A13" i="39" s="1"/>
  <c r="A14" i="39" s="1"/>
  <c r="A15" i="39" s="1"/>
  <c r="A16" i="39" s="1"/>
  <c r="A17" i="39" s="1"/>
  <c r="A18" i="39" s="1"/>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P63" i="22"/>
  <c r="D34" i="22"/>
  <c r="E34" i="22" s="1"/>
  <c r="F34" i="22" s="1"/>
  <c r="D33" i="22"/>
  <c r="D22" i="22"/>
  <c r="E22" i="22" s="1"/>
  <c r="F22" i="22" s="1"/>
  <c r="D21" i="22"/>
  <c r="E21" i="22" s="1"/>
  <c r="F21" i="22" s="1"/>
  <c r="F18" i="22"/>
  <c r="D18" i="22"/>
  <c r="F17" i="22"/>
  <c r="D17" i="22"/>
  <c r="D12" i="22"/>
  <c r="E12" i="22" s="1"/>
  <c r="F12" i="22" s="1"/>
  <c r="E33" i="22" l="1"/>
  <c r="F33" i="22" s="1"/>
  <c r="D36" i="22"/>
  <c r="CD4" i="30"/>
  <c r="CC20" i="30"/>
  <c r="CC11" i="30"/>
  <c r="C57" i="39"/>
  <c r="D25" i="39"/>
  <c r="C25" i="39"/>
  <c r="E25" i="39"/>
  <c r="E55" i="39"/>
  <c r="E54" i="39"/>
  <c r="D54" i="39"/>
  <c r="D57" i="39" s="1"/>
  <c r="F55" i="39"/>
  <c r="CE4" i="30" l="1"/>
  <c r="CD20" i="30"/>
  <c r="CD11" i="30"/>
  <c r="E57" i="39"/>
  <c r="D82" i="39"/>
  <c r="D81" i="39"/>
  <c r="D80" i="39"/>
  <c r="D90" i="39"/>
  <c r="D91" i="39"/>
  <c r="N25" i="39"/>
  <c r="O25" i="39" s="1"/>
  <c r="D86" i="39"/>
  <c r="D83" i="39"/>
  <c r="D85" i="39"/>
  <c r="D89" i="39"/>
  <c r="D87" i="39"/>
  <c r="D84" i="39"/>
  <c r="D88" i="39"/>
  <c r="F25" i="39"/>
  <c r="F54" i="39"/>
  <c r="F57" i="39" s="1"/>
  <c r="CF4" i="30" l="1"/>
  <c r="CE20" i="30"/>
  <c r="CE11" i="30"/>
  <c r="D92" i="39"/>
  <c r="CG4" i="30" l="1"/>
  <c r="CF20" i="30"/>
  <c r="CF11" i="30"/>
  <c r="L151" i="2"/>
  <c r="K146" i="2"/>
  <c r="J146" i="2"/>
  <c r="AD73" i="2"/>
  <c r="AD69" i="2"/>
  <c r="AD65" i="2"/>
  <c r="AD64" i="2"/>
  <c r="AD62" i="2"/>
  <c r="O227" i="31"/>
  <c r="N227" i="31"/>
  <c r="O223" i="31"/>
  <c r="O222" i="31"/>
  <c r="N225" i="31"/>
  <c r="P18" i="31"/>
  <c r="Q18" i="31"/>
  <c r="R18" i="31"/>
  <c r="S18" i="31"/>
  <c r="T18" i="31"/>
  <c r="U18" i="31"/>
  <c r="V18" i="31"/>
  <c r="W18" i="31"/>
  <c r="X18" i="31"/>
  <c r="Y18" i="31"/>
  <c r="Z18" i="31"/>
  <c r="L146" i="2" l="1"/>
  <c r="M146" i="2" s="1"/>
  <c r="CH4" i="30"/>
  <c r="CG20" i="30"/>
  <c r="CG11" i="30"/>
  <c r="P5" i="31"/>
  <c r="Q5" i="31"/>
  <c r="R5" i="31"/>
  <c r="S5" i="31"/>
  <c r="T5" i="31"/>
  <c r="U5" i="31"/>
  <c r="V5" i="31"/>
  <c r="W5" i="31"/>
  <c r="X5" i="31"/>
  <c r="Y5" i="31"/>
  <c r="Z5" i="31"/>
  <c r="P6" i="31"/>
  <c r="Q6" i="31"/>
  <c r="R6" i="31"/>
  <c r="S6" i="31"/>
  <c r="T6" i="31"/>
  <c r="U6" i="31"/>
  <c r="V6" i="31"/>
  <c r="W6" i="31"/>
  <c r="X6" i="31"/>
  <c r="Y6" i="31"/>
  <c r="Z6" i="31"/>
  <c r="O6" i="31"/>
  <c r="O5" i="31"/>
  <c r="CI4" i="30" l="1"/>
  <c r="CH20" i="30"/>
  <c r="CH11" i="30"/>
  <c r="BO18" i="30"/>
  <c r="BP18" i="30"/>
  <c r="BQ18" i="30"/>
  <c r="BR18" i="30"/>
  <c r="BS18" i="30"/>
  <c r="BT18" i="30"/>
  <c r="BU18" i="30"/>
  <c r="BV18" i="30"/>
  <c r="BW18" i="30"/>
  <c r="BX18" i="30"/>
  <c r="BY18" i="30"/>
  <c r="BZ18" i="30"/>
  <c r="BN18" i="30"/>
  <c r="CA18" i="30" s="1"/>
  <c r="CJ4" i="30" l="1"/>
  <c r="CI20" i="30"/>
  <c r="CI11" i="30"/>
  <c r="K145" i="1"/>
  <c r="F27" i="29"/>
  <c r="D46" i="29"/>
  <c r="D60" i="29"/>
  <c r="D59" i="29"/>
  <c r="D28" i="29"/>
  <c r="D31" i="29" s="1"/>
  <c r="P51" i="9"/>
  <c r="P50" i="9"/>
  <c r="E53" i="9"/>
  <c r="F53" i="9"/>
  <c r="G53" i="9"/>
  <c r="H53" i="9"/>
  <c r="I53" i="9"/>
  <c r="J53" i="9"/>
  <c r="K53" i="9"/>
  <c r="L53" i="9"/>
  <c r="M53" i="9"/>
  <c r="N53" i="9"/>
  <c r="O53" i="9"/>
  <c r="D53" i="9"/>
  <c r="E31" i="9"/>
  <c r="F31" i="9"/>
  <c r="G31" i="9"/>
  <c r="H31" i="9"/>
  <c r="I31" i="9"/>
  <c r="J31" i="9"/>
  <c r="K31" i="9"/>
  <c r="L31" i="9"/>
  <c r="M31" i="9"/>
  <c r="N31" i="9"/>
  <c r="O31" i="9"/>
  <c r="D31" i="9"/>
  <c r="P23" i="9"/>
  <c r="P25" i="9"/>
  <c r="P27" i="9"/>
  <c r="P28" i="9"/>
  <c r="CK4" i="30" l="1"/>
  <c r="CJ11" i="30"/>
  <c r="P31" i="9"/>
  <c r="P53" i="9"/>
  <c r="CL4" i="30" l="1"/>
  <c r="CK11" i="30"/>
  <c r="K56" i="1"/>
  <c r="K137" i="1" s="1"/>
  <c r="K55" i="1"/>
  <c r="K136" i="1" s="1"/>
  <c r="X56" i="1"/>
  <c r="CM4" i="30" l="1"/>
  <c r="CL11" i="30"/>
  <c r="K27" i="1"/>
  <c r="K26" i="1"/>
  <c r="H27" i="1"/>
  <c r="H26" i="1"/>
  <c r="K24" i="1"/>
  <c r="O53" i="31"/>
  <c r="C155" i="31" s="1"/>
  <c r="P53" i="31"/>
  <c r="D155" i="31" s="1"/>
  <c r="Q53" i="31"/>
  <c r="R53" i="31"/>
  <c r="F155" i="31" s="1"/>
  <c r="O47" i="31"/>
  <c r="C149" i="31" s="1"/>
  <c r="P47" i="31"/>
  <c r="D149" i="31" s="1"/>
  <c r="Q47" i="31"/>
  <c r="E149" i="31" s="1"/>
  <c r="R47" i="31"/>
  <c r="F149" i="31" s="1"/>
  <c r="S47" i="31"/>
  <c r="G149" i="31" s="1"/>
  <c r="O48" i="31"/>
  <c r="C150" i="31" s="1"/>
  <c r="P48" i="31"/>
  <c r="Q48" i="31"/>
  <c r="E150" i="31" s="1"/>
  <c r="R48" i="31"/>
  <c r="F150" i="31" s="1"/>
  <c r="S48" i="31"/>
  <c r="G150" i="31" s="1"/>
  <c r="O49" i="31"/>
  <c r="C151" i="31" s="1"/>
  <c r="P49" i="31"/>
  <c r="D151" i="31" s="1"/>
  <c r="Q49" i="31"/>
  <c r="E151" i="31" s="1"/>
  <c r="R49" i="31"/>
  <c r="F151" i="31" s="1"/>
  <c r="S49" i="31"/>
  <c r="G151" i="31" s="1"/>
  <c r="O50" i="31"/>
  <c r="C152" i="31" s="1"/>
  <c r="P50" i="31"/>
  <c r="D152" i="31" s="1"/>
  <c r="Q50" i="31"/>
  <c r="E152" i="31" s="1"/>
  <c r="R50" i="31"/>
  <c r="F152" i="31" s="1"/>
  <c r="S50" i="31"/>
  <c r="G152" i="31" s="1"/>
  <c r="O51" i="31"/>
  <c r="C153" i="31" s="1"/>
  <c r="P51" i="31"/>
  <c r="D153" i="31" s="1"/>
  <c r="Q51" i="31"/>
  <c r="E153" i="31" s="1"/>
  <c r="R51" i="31"/>
  <c r="F153" i="31" s="1"/>
  <c r="S51" i="31"/>
  <c r="G153" i="31" s="1"/>
  <c r="Q28" i="31"/>
  <c r="E130" i="31" s="1"/>
  <c r="R28" i="31"/>
  <c r="S28" i="31"/>
  <c r="G130" i="31" s="1"/>
  <c r="T28" i="31"/>
  <c r="H130" i="31" s="1"/>
  <c r="U28" i="31"/>
  <c r="I130" i="31" s="1"/>
  <c r="V28" i="31"/>
  <c r="J130" i="31" s="1"/>
  <c r="W28" i="31"/>
  <c r="K130" i="31" s="1"/>
  <c r="X28" i="31"/>
  <c r="L130" i="31" s="1"/>
  <c r="Y28" i="31"/>
  <c r="M130" i="31" s="1"/>
  <c r="Z28" i="31"/>
  <c r="N130" i="31" s="1"/>
  <c r="Q29" i="31"/>
  <c r="E131" i="31" s="1"/>
  <c r="R29" i="31"/>
  <c r="F131" i="31" s="1"/>
  <c r="S29" i="31"/>
  <c r="G131" i="31" s="1"/>
  <c r="T29" i="31"/>
  <c r="U29" i="31"/>
  <c r="I131" i="31" s="1"/>
  <c r="V29" i="31"/>
  <c r="J131" i="31" s="1"/>
  <c r="W29" i="31"/>
  <c r="K131" i="31" s="1"/>
  <c r="X29" i="31"/>
  <c r="L131" i="31" s="1"/>
  <c r="Y29" i="31"/>
  <c r="M131" i="31" s="1"/>
  <c r="Z29" i="31"/>
  <c r="N131" i="31" s="1"/>
  <c r="Q30" i="31"/>
  <c r="E132" i="31" s="1"/>
  <c r="R30" i="31"/>
  <c r="S30" i="31"/>
  <c r="T30" i="31"/>
  <c r="H132" i="31" s="1"/>
  <c r="U30" i="31"/>
  <c r="I132" i="31" s="1"/>
  <c r="V30" i="31"/>
  <c r="J132" i="31" s="1"/>
  <c r="W30" i="31"/>
  <c r="K132" i="31" s="1"/>
  <c r="X30" i="31"/>
  <c r="L132" i="31" s="1"/>
  <c r="Y30" i="31"/>
  <c r="Z30" i="31"/>
  <c r="N132" i="31" s="1"/>
  <c r="Q31" i="31"/>
  <c r="E133" i="31" s="1"/>
  <c r="R31" i="31"/>
  <c r="F133" i="31" s="1"/>
  <c r="S31" i="31"/>
  <c r="G133" i="31" s="1"/>
  <c r="T31" i="31"/>
  <c r="H133" i="31" s="1"/>
  <c r="U31" i="31"/>
  <c r="I133" i="31" s="1"/>
  <c r="V31" i="31"/>
  <c r="J133" i="31" s="1"/>
  <c r="W31" i="31"/>
  <c r="K133" i="31" s="1"/>
  <c r="X31" i="31"/>
  <c r="L133" i="31" s="1"/>
  <c r="Y31" i="31"/>
  <c r="M133" i="31" s="1"/>
  <c r="Z31" i="31"/>
  <c r="N133" i="31" s="1"/>
  <c r="Q32" i="31"/>
  <c r="E134" i="31" s="1"/>
  <c r="R32" i="31"/>
  <c r="F134" i="31" s="1"/>
  <c r="S32" i="31"/>
  <c r="G134" i="31" s="1"/>
  <c r="T32" i="31"/>
  <c r="U32" i="31"/>
  <c r="I134" i="31" s="1"/>
  <c r="V32" i="31"/>
  <c r="W32" i="31"/>
  <c r="K134" i="31" s="1"/>
  <c r="X32" i="31"/>
  <c r="L134" i="31" s="1"/>
  <c r="Y32" i="31"/>
  <c r="M134" i="31" s="1"/>
  <c r="Z32" i="31"/>
  <c r="N134" i="31" s="1"/>
  <c r="Q33" i="31"/>
  <c r="E135" i="31" s="1"/>
  <c r="R33" i="31"/>
  <c r="F135" i="31" s="1"/>
  <c r="S33" i="31"/>
  <c r="G135" i="31" s="1"/>
  <c r="T33" i="31"/>
  <c r="U33" i="31"/>
  <c r="I135" i="31" s="1"/>
  <c r="V33" i="31"/>
  <c r="J135" i="31" s="1"/>
  <c r="W33" i="31"/>
  <c r="K135" i="31" s="1"/>
  <c r="X33" i="31"/>
  <c r="L135" i="31" s="1"/>
  <c r="Y33" i="31"/>
  <c r="M135" i="31" s="1"/>
  <c r="Z33" i="31"/>
  <c r="Q34" i="31"/>
  <c r="E136" i="31" s="1"/>
  <c r="R34" i="31"/>
  <c r="F136" i="31" s="1"/>
  <c r="S34" i="31"/>
  <c r="G136" i="31" s="1"/>
  <c r="T34" i="31"/>
  <c r="H136" i="31" s="1"/>
  <c r="U34" i="31"/>
  <c r="I136" i="31" s="1"/>
  <c r="V34" i="31"/>
  <c r="W34" i="31"/>
  <c r="K136" i="31" s="1"/>
  <c r="X34" i="31"/>
  <c r="L136" i="31" s="1"/>
  <c r="Y34" i="31"/>
  <c r="M136" i="31" s="1"/>
  <c r="Z34" i="31"/>
  <c r="N136" i="31" s="1"/>
  <c r="Q35" i="31"/>
  <c r="E137" i="31" s="1"/>
  <c r="R35" i="31"/>
  <c r="F137" i="31" s="1"/>
  <c r="S35" i="31"/>
  <c r="G137" i="31" s="1"/>
  <c r="T35" i="31"/>
  <c r="H137" i="31" s="1"/>
  <c r="U35" i="31"/>
  <c r="I137" i="31" s="1"/>
  <c r="V35" i="31"/>
  <c r="J137" i="31" s="1"/>
  <c r="W35" i="31"/>
  <c r="K137" i="31" s="1"/>
  <c r="X35" i="31"/>
  <c r="Y35" i="31"/>
  <c r="M137" i="31" s="1"/>
  <c r="Z35" i="31"/>
  <c r="N137" i="31" s="1"/>
  <c r="Q36" i="31"/>
  <c r="E138" i="31" s="1"/>
  <c r="R36" i="31"/>
  <c r="F138" i="31" s="1"/>
  <c r="S36" i="31"/>
  <c r="G138" i="31" s="1"/>
  <c r="T36" i="31"/>
  <c r="U36" i="31"/>
  <c r="I138" i="31" s="1"/>
  <c r="V36" i="31"/>
  <c r="J138" i="31" s="1"/>
  <c r="W36" i="31"/>
  <c r="K138" i="31" s="1"/>
  <c r="X36" i="31"/>
  <c r="L138" i="31" s="1"/>
  <c r="Y36" i="31"/>
  <c r="M138" i="31" s="1"/>
  <c r="Z36" i="31"/>
  <c r="Q37" i="31"/>
  <c r="E139" i="31" s="1"/>
  <c r="R37" i="31"/>
  <c r="F139" i="31" s="1"/>
  <c r="S37" i="31"/>
  <c r="T37" i="31"/>
  <c r="H139" i="31" s="1"/>
  <c r="U37" i="31"/>
  <c r="I139" i="31" s="1"/>
  <c r="V37" i="31"/>
  <c r="J139" i="31" s="1"/>
  <c r="W37" i="31"/>
  <c r="K139" i="31" s="1"/>
  <c r="X37" i="31"/>
  <c r="L139" i="31" s="1"/>
  <c r="Y37" i="31"/>
  <c r="M139" i="31" s="1"/>
  <c r="Z37" i="31"/>
  <c r="Q38" i="31"/>
  <c r="E140" i="31" s="1"/>
  <c r="R38" i="31"/>
  <c r="S38" i="31"/>
  <c r="G140" i="31" s="1"/>
  <c r="T38" i="31"/>
  <c r="H140" i="31" s="1"/>
  <c r="U38" i="31"/>
  <c r="I140" i="31" s="1"/>
  <c r="V38" i="31"/>
  <c r="W38" i="31"/>
  <c r="K140" i="31" s="1"/>
  <c r="X38" i="31"/>
  <c r="Y38" i="31"/>
  <c r="M140" i="31" s="1"/>
  <c r="Z38" i="31"/>
  <c r="N140" i="31" s="1"/>
  <c r="Q39" i="31"/>
  <c r="E141" i="31" s="1"/>
  <c r="R39" i="31"/>
  <c r="F141" i="31" s="1"/>
  <c r="S39" i="31"/>
  <c r="G141" i="31" s="1"/>
  <c r="T39" i="31"/>
  <c r="H141" i="31" s="1"/>
  <c r="U39" i="31"/>
  <c r="I141" i="31" s="1"/>
  <c r="V39" i="31"/>
  <c r="J141" i="31" s="1"/>
  <c r="W39" i="31"/>
  <c r="K141" i="31" s="1"/>
  <c r="X39" i="31"/>
  <c r="Y39" i="31"/>
  <c r="M141" i="31" s="1"/>
  <c r="Z39" i="31"/>
  <c r="N141" i="31" s="1"/>
  <c r="P28" i="31"/>
  <c r="D130" i="31" s="1"/>
  <c r="P29" i="31"/>
  <c r="D131" i="31" s="1"/>
  <c r="P30" i="31"/>
  <c r="D132" i="31" s="1"/>
  <c r="P31" i="31"/>
  <c r="D133" i="31" s="1"/>
  <c r="P32" i="31"/>
  <c r="D134" i="31" s="1"/>
  <c r="P33" i="31"/>
  <c r="D135" i="31" s="1"/>
  <c r="P34" i="31"/>
  <c r="P35" i="31"/>
  <c r="D137" i="31" s="1"/>
  <c r="P36" i="31"/>
  <c r="D138" i="31" s="1"/>
  <c r="P37" i="31"/>
  <c r="D139" i="31" s="1"/>
  <c r="P38" i="31"/>
  <c r="D140" i="31" s="1"/>
  <c r="P39" i="31"/>
  <c r="D141" i="31" s="1"/>
  <c r="O29" i="31"/>
  <c r="C131" i="31" s="1"/>
  <c r="O30" i="31"/>
  <c r="O31" i="31"/>
  <c r="C133" i="31" s="1"/>
  <c r="O32" i="31"/>
  <c r="C134" i="31" s="1"/>
  <c r="O33" i="31"/>
  <c r="C135" i="31" s="1"/>
  <c r="O34" i="31"/>
  <c r="C136" i="31" s="1"/>
  <c r="O35" i="31"/>
  <c r="C137" i="31" s="1"/>
  <c r="O36" i="31"/>
  <c r="O37" i="31"/>
  <c r="C139" i="31" s="1"/>
  <c r="O38" i="31"/>
  <c r="C140" i="31" s="1"/>
  <c r="O39" i="31"/>
  <c r="B236" i="31"/>
  <c r="AB231" i="31"/>
  <c r="P229" i="31"/>
  <c r="P227" i="31"/>
  <c r="Q225" i="31"/>
  <c r="S222" i="31"/>
  <c r="T221" i="31"/>
  <c r="N221" i="31"/>
  <c r="M221" i="31"/>
  <c r="L221" i="31"/>
  <c r="K221" i="31"/>
  <c r="J221" i="31"/>
  <c r="I221" i="31"/>
  <c r="H221" i="31"/>
  <c r="G221" i="31"/>
  <c r="F221" i="31"/>
  <c r="E221" i="31"/>
  <c r="D221" i="31"/>
  <c r="C221" i="31"/>
  <c r="O218" i="31"/>
  <c r="P218" i="31" s="1"/>
  <c r="O217" i="31"/>
  <c r="P217" i="31" s="1"/>
  <c r="B217" i="31"/>
  <c r="O216" i="31"/>
  <c r="P216" i="31" s="1"/>
  <c r="B216" i="31"/>
  <c r="O215" i="31"/>
  <c r="P215" i="31" s="1"/>
  <c r="B215" i="31"/>
  <c r="O214" i="31"/>
  <c r="P214" i="31" s="1"/>
  <c r="B214" i="31"/>
  <c r="O213" i="31"/>
  <c r="P213" i="31" s="1"/>
  <c r="B213" i="31"/>
  <c r="O212" i="31"/>
  <c r="P212" i="31" s="1"/>
  <c r="B212" i="31"/>
  <c r="O211" i="31"/>
  <c r="P211" i="31" s="1"/>
  <c r="B211" i="31"/>
  <c r="O210" i="31"/>
  <c r="P210" i="31" s="1"/>
  <c r="B210" i="31"/>
  <c r="O209" i="31"/>
  <c r="P209" i="31" s="1"/>
  <c r="B209" i="31"/>
  <c r="O208" i="31"/>
  <c r="P208" i="31" s="1"/>
  <c r="B208" i="31"/>
  <c r="O207" i="31"/>
  <c r="P207" i="31" s="1"/>
  <c r="B207" i="31"/>
  <c r="O206" i="31"/>
  <c r="P206" i="31" s="1"/>
  <c r="B206" i="31"/>
  <c r="O205" i="31"/>
  <c r="P205" i="31" s="1"/>
  <c r="B205" i="31"/>
  <c r="O204" i="31"/>
  <c r="P204" i="31" s="1"/>
  <c r="B204" i="31"/>
  <c r="O203" i="31"/>
  <c r="P203" i="31" s="1"/>
  <c r="B203" i="31"/>
  <c r="O202" i="31"/>
  <c r="P202" i="31" s="1"/>
  <c r="B202" i="31"/>
  <c r="O201" i="31"/>
  <c r="P201" i="31" s="1"/>
  <c r="B201" i="31"/>
  <c r="O200" i="31"/>
  <c r="P200" i="31" s="1"/>
  <c r="B200" i="31"/>
  <c r="O199" i="31"/>
  <c r="P199" i="31" s="1"/>
  <c r="B199" i="31"/>
  <c r="O198" i="31"/>
  <c r="P198" i="31" s="1"/>
  <c r="B198" i="31"/>
  <c r="O197" i="31"/>
  <c r="P197" i="31" s="1"/>
  <c r="B197" i="31"/>
  <c r="O196" i="31"/>
  <c r="P196" i="31" s="1"/>
  <c r="B196" i="31"/>
  <c r="O195" i="31"/>
  <c r="P195" i="31" s="1"/>
  <c r="B195" i="31"/>
  <c r="O194" i="31"/>
  <c r="P194" i="31" s="1"/>
  <c r="B194" i="31"/>
  <c r="O193" i="31"/>
  <c r="P193" i="31" s="1"/>
  <c r="B193" i="31"/>
  <c r="O192" i="31"/>
  <c r="P192" i="31" s="1"/>
  <c r="B192" i="31"/>
  <c r="O191" i="31"/>
  <c r="P191" i="31" s="1"/>
  <c r="B191" i="31"/>
  <c r="O190" i="31"/>
  <c r="P190" i="31" s="1"/>
  <c r="B190" i="31"/>
  <c r="O189" i="31"/>
  <c r="P189" i="31" s="1"/>
  <c r="B189" i="31"/>
  <c r="O188" i="31"/>
  <c r="P188" i="31" s="1"/>
  <c r="B188" i="31"/>
  <c r="P187" i="31"/>
  <c r="O187" i="31"/>
  <c r="B187" i="31"/>
  <c r="O186" i="31"/>
  <c r="P186" i="31" s="1"/>
  <c r="B186" i="31"/>
  <c r="O185" i="31"/>
  <c r="P185" i="31" s="1"/>
  <c r="B185" i="31"/>
  <c r="O184" i="31"/>
  <c r="P184" i="31" s="1"/>
  <c r="B184" i="31"/>
  <c r="O183" i="31"/>
  <c r="B183" i="31"/>
  <c r="B181" i="31"/>
  <c r="B180" i="31"/>
  <c r="B179" i="31"/>
  <c r="B178" i="31"/>
  <c r="B177" i="31"/>
  <c r="B176" i="31"/>
  <c r="B175" i="31"/>
  <c r="B174" i="31"/>
  <c r="B173" i="31"/>
  <c r="B172" i="31"/>
  <c r="B171" i="31"/>
  <c r="B170" i="31"/>
  <c r="B169" i="31"/>
  <c r="B168" i="31"/>
  <c r="B167" i="31"/>
  <c r="B166" i="31"/>
  <c r="B165" i="31"/>
  <c r="B164" i="31"/>
  <c r="B163" i="31"/>
  <c r="B162" i="31"/>
  <c r="B161" i="31"/>
  <c r="B160" i="31"/>
  <c r="B159" i="31"/>
  <c r="B158" i="31"/>
  <c r="B157" i="31"/>
  <c r="B156" i="31"/>
  <c r="E155" i="31"/>
  <c r="B155" i="31"/>
  <c r="B154" i="31"/>
  <c r="B153" i="31"/>
  <c r="B152" i="31"/>
  <c r="B151" i="31"/>
  <c r="D150" i="31"/>
  <c r="B150" i="31"/>
  <c r="B149" i="31"/>
  <c r="B148" i="31"/>
  <c r="B147" i="31"/>
  <c r="B146" i="31"/>
  <c r="B145" i="31"/>
  <c r="B144" i="31"/>
  <c r="B143" i="31"/>
  <c r="B142" i="31"/>
  <c r="B141" i="31"/>
  <c r="B140" i="31"/>
  <c r="B139" i="31"/>
  <c r="B138" i="31"/>
  <c r="B137" i="31"/>
  <c r="B136" i="31"/>
  <c r="B135" i="31"/>
  <c r="B134" i="31"/>
  <c r="B133" i="31"/>
  <c r="B132" i="31"/>
  <c r="B131" i="31"/>
  <c r="B130" i="31"/>
  <c r="B129" i="31"/>
  <c r="B128" i="31"/>
  <c r="B127" i="31"/>
  <c r="B126" i="31"/>
  <c r="B125" i="31"/>
  <c r="AG124" i="31"/>
  <c r="B124" i="31"/>
  <c r="B123" i="31"/>
  <c r="B122" i="31"/>
  <c r="N119" i="31"/>
  <c r="M119" i="31"/>
  <c r="L119" i="31"/>
  <c r="K119" i="31"/>
  <c r="J119" i="31"/>
  <c r="I119" i="31"/>
  <c r="H119" i="31"/>
  <c r="G119" i="31"/>
  <c r="F119" i="31"/>
  <c r="E119" i="31"/>
  <c r="D119" i="31"/>
  <c r="C119" i="31"/>
  <c r="M118" i="31"/>
  <c r="L118" i="31"/>
  <c r="K118" i="31"/>
  <c r="J118" i="31"/>
  <c r="I118" i="31"/>
  <c r="H118" i="31"/>
  <c r="G118" i="31"/>
  <c r="F118" i="31"/>
  <c r="E118" i="31"/>
  <c r="D118" i="31"/>
  <c r="C118" i="31"/>
  <c r="AA117" i="31"/>
  <c r="AA116" i="31"/>
  <c r="Z116" i="31"/>
  <c r="Y116" i="31"/>
  <c r="X116" i="31"/>
  <c r="W116" i="31"/>
  <c r="V116" i="31"/>
  <c r="U116" i="31"/>
  <c r="T116" i="31"/>
  <c r="S116" i="31"/>
  <c r="R116" i="31"/>
  <c r="Q116" i="31"/>
  <c r="P116" i="31"/>
  <c r="O116" i="31"/>
  <c r="AA115" i="31"/>
  <c r="Z115" i="31"/>
  <c r="Y115" i="31"/>
  <c r="X115" i="31"/>
  <c r="W115" i="31"/>
  <c r="V115" i="31"/>
  <c r="U115" i="31"/>
  <c r="T115" i="31"/>
  <c r="S115" i="31"/>
  <c r="R115" i="31"/>
  <c r="Q115" i="31"/>
  <c r="P115" i="31"/>
  <c r="O115" i="31"/>
  <c r="AA114" i="31"/>
  <c r="Z114" i="31"/>
  <c r="Y114" i="31"/>
  <c r="X114" i="31"/>
  <c r="W114" i="31"/>
  <c r="V114" i="31"/>
  <c r="U114" i="31"/>
  <c r="T114" i="31"/>
  <c r="S114" i="31"/>
  <c r="R114" i="31"/>
  <c r="Q114" i="31"/>
  <c r="P114" i="31"/>
  <c r="O114" i="31"/>
  <c r="AA113" i="31"/>
  <c r="Z113" i="31"/>
  <c r="Y113" i="31"/>
  <c r="X113" i="31"/>
  <c r="W113" i="31"/>
  <c r="V113" i="31"/>
  <c r="U113" i="31"/>
  <c r="T113" i="31"/>
  <c r="S113" i="31"/>
  <c r="R113" i="31"/>
  <c r="Q113" i="31"/>
  <c r="P113" i="31"/>
  <c r="O113" i="31"/>
  <c r="AA112" i="31"/>
  <c r="Z112" i="31"/>
  <c r="Y112" i="31"/>
  <c r="X112" i="31"/>
  <c r="W112" i="31"/>
  <c r="V112" i="31"/>
  <c r="U112" i="31"/>
  <c r="T112" i="31"/>
  <c r="S112" i="31"/>
  <c r="R112" i="31"/>
  <c r="Q112" i="31"/>
  <c r="P112" i="31"/>
  <c r="O112" i="31"/>
  <c r="AA111" i="31"/>
  <c r="Z111" i="31"/>
  <c r="Y111" i="31"/>
  <c r="X111" i="31"/>
  <c r="W111" i="31"/>
  <c r="V111" i="31"/>
  <c r="U111" i="31"/>
  <c r="T111" i="31"/>
  <c r="S111" i="31"/>
  <c r="R111" i="31"/>
  <c r="Q111" i="31"/>
  <c r="P111" i="31"/>
  <c r="O111" i="31"/>
  <c r="AA110" i="31"/>
  <c r="Z110" i="31"/>
  <c r="Y110" i="31"/>
  <c r="X110" i="31"/>
  <c r="W110" i="31"/>
  <c r="V110" i="31"/>
  <c r="U110" i="31"/>
  <c r="T110" i="31"/>
  <c r="S110" i="31"/>
  <c r="R110" i="31"/>
  <c r="Q110" i="31"/>
  <c r="P110" i="31"/>
  <c r="O110" i="31"/>
  <c r="AA109" i="31"/>
  <c r="Z109" i="31"/>
  <c r="Y109" i="31"/>
  <c r="X109" i="31"/>
  <c r="W109" i="31"/>
  <c r="V109" i="31"/>
  <c r="U109" i="31"/>
  <c r="T109" i="31"/>
  <c r="S109" i="31"/>
  <c r="R109" i="31"/>
  <c r="Q109" i="31"/>
  <c r="P109" i="31"/>
  <c r="O109" i="31"/>
  <c r="AA108" i="31"/>
  <c r="Z108" i="31"/>
  <c r="Y108" i="31"/>
  <c r="X108" i="31"/>
  <c r="W108" i="31"/>
  <c r="V108" i="31"/>
  <c r="U108" i="31"/>
  <c r="T108" i="31"/>
  <c r="S108" i="31"/>
  <c r="R108" i="31"/>
  <c r="Q108" i="31"/>
  <c r="P108" i="31"/>
  <c r="O108" i="31"/>
  <c r="AA107" i="31"/>
  <c r="Z107" i="31"/>
  <c r="Y107" i="31"/>
  <c r="X107" i="31"/>
  <c r="W107" i="31"/>
  <c r="V107" i="31"/>
  <c r="U107" i="31"/>
  <c r="T107" i="31"/>
  <c r="S107" i="31"/>
  <c r="R107" i="31"/>
  <c r="Q107" i="31"/>
  <c r="P107" i="31"/>
  <c r="O107" i="31"/>
  <c r="AA106" i="31"/>
  <c r="Z106" i="31"/>
  <c r="Y106" i="31"/>
  <c r="X106" i="31"/>
  <c r="W106" i="31"/>
  <c r="V106" i="31"/>
  <c r="U106" i="31"/>
  <c r="T106" i="31"/>
  <c r="S106" i="31"/>
  <c r="R106" i="31"/>
  <c r="Q106" i="31"/>
  <c r="P106" i="31"/>
  <c r="O106" i="31"/>
  <c r="AA105" i="31"/>
  <c r="Z105" i="31"/>
  <c r="Y105" i="31"/>
  <c r="X105" i="31"/>
  <c r="W105" i="31"/>
  <c r="V105" i="31"/>
  <c r="U105" i="31"/>
  <c r="T105" i="31"/>
  <c r="S105" i="31"/>
  <c r="R105" i="31"/>
  <c r="Q105" i="31"/>
  <c r="P105" i="31"/>
  <c r="O105" i="31"/>
  <c r="AA104" i="31"/>
  <c r="Z104" i="31"/>
  <c r="Y104" i="31"/>
  <c r="X104" i="31"/>
  <c r="W104" i="31"/>
  <c r="V104" i="31"/>
  <c r="U104" i="31"/>
  <c r="T104" i="31"/>
  <c r="S104" i="31"/>
  <c r="R104" i="31"/>
  <c r="Q104" i="31"/>
  <c r="P104" i="31"/>
  <c r="O104" i="31"/>
  <c r="AA103" i="31"/>
  <c r="Z103" i="31"/>
  <c r="Y103" i="31"/>
  <c r="X103" i="31"/>
  <c r="W103" i="31"/>
  <c r="V103" i="31"/>
  <c r="U103" i="31"/>
  <c r="T103" i="31"/>
  <c r="S103" i="31"/>
  <c r="R103" i="31"/>
  <c r="Q103" i="31"/>
  <c r="P103" i="31"/>
  <c r="O103" i="31"/>
  <c r="AA102" i="31"/>
  <c r="Z102" i="31"/>
  <c r="Y102" i="31"/>
  <c r="X102" i="31"/>
  <c r="W102" i="31"/>
  <c r="V102" i="31"/>
  <c r="U102" i="31"/>
  <c r="T102" i="31"/>
  <c r="S102" i="31"/>
  <c r="R102" i="31"/>
  <c r="Q102" i="31"/>
  <c r="P102" i="31"/>
  <c r="O102" i="31"/>
  <c r="AA101" i="31"/>
  <c r="Z101" i="31"/>
  <c r="Y101" i="31"/>
  <c r="X101" i="31"/>
  <c r="W101" i="31"/>
  <c r="V101" i="31"/>
  <c r="U101" i="31"/>
  <c r="T101" i="31"/>
  <c r="S101" i="31"/>
  <c r="R101" i="31"/>
  <c r="Q101" i="31"/>
  <c r="P101" i="31"/>
  <c r="O101" i="31"/>
  <c r="AA100" i="31"/>
  <c r="Z100" i="31"/>
  <c r="Y100" i="31"/>
  <c r="X100" i="31"/>
  <c r="W100" i="31"/>
  <c r="V100" i="31"/>
  <c r="U100" i="31"/>
  <c r="T100" i="31"/>
  <c r="S100" i="31"/>
  <c r="R100" i="31"/>
  <c r="Q100" i="31"/>
  <c r="P100" i="31"/>
  <c r="O100" i="31"/>
  <c r="AA99" i="31"/>
  <c r="Z99" i="31"/>
  <c r="Y99" i="31"/>
  <c r="X99" i="31"/>
  <c r="W99" i="31"/>
  <c r="V99" i="31"/>
  <c r="U99" i="31"/>
  <c r="T99" i="31"/>
  <c r="S99" i="31"/>
  <c r="R99" i="31"/>
  <c r="Q99" i="31"/>
  <c r="P99" i="31"/>
  <c r="O99" i="31"/>
  <c r="AA98" i="31"/>
  <c r="Z98" i="31"/>
  <c r="Y98" i="31"/>
  <c r="X98" i="31"/>
  <c r="W98" i="31"/>
  <c r="V98" i="31"/>
  <c r="U98" i="31"/>
  <c r="T98" i="31"/>
  <c r="S98" i="31"/>
  <c r="R98" i="31"/>
  <c r="Q98" i="31"/>
  <c r="P98" i="31"/>
  <c r="O98" i="31"/>
  <c r="AA97" i="31"/>
  <c r="Z97" i="31"/>
  <c r="Y97" i="31"/>
  <c r="X97" i="31"/>
  <c r="W97" i="31"/>
  <c r="V97" i="31"/>
  <c r="U97" i="31"/>
  <c r="T97" i="31"/>
  <c r="S97" i="31"/>
  <c r="R97" i="31"/>
  <c r="Q97" i="31"/>
  <c r="P97" i="31"/>
  <c r="O97" i="31"/>
  <c r="AA96" i="31"/>
  <c r="Z96" i="31"/>
  <c r="Y96" i="31"/>
  <c r="X96" i="31"/>
  <c r="W96" i="31"/>
  <c r="V96" i="31"/>
  <c r="U96" i="31"/>
  <c r="T96" i="31"/>
  <c r="S96" i="31"/>
  <c r="R96" i="31"/>
  <c r="Q96" i="31"/>
  <c r="P96" i="31"/>
  <c r="O96" i="31"/>
  <c r="AA95" i="31"/>
  <c r="Z95" i="31"/>
  <c r="Y95" i="31"/>
  <c r="X95" i="31"/>
  <c r="W95" i="31"/>
  <c r="V95" i="31"/>
  <c r="U95" i="31"/>
  <c r="T95" i="31"/>
  <c r="S95" i="31"/>
  <c r="R95" i="31"/>
  <c r="Q95" i="31"/>
  <c r="P95" i="31"/>
  <c r="O95" i="31"/>
  <c r="AA94" i="31"/>
  <c r="Z94" i="31"/>
  <c r="Y94" i="31"/>
  <c r="X94" i="31"/>
  <c r="W94" i="31"/>
  <c r="V94" i="31"/>
  <c r="U94" i="31"/>
  <c r="T94" i="31"/>
  <c r="S94" i="31"/>
  <c r="R94" i="31"/>
  <c r="Q94" i="31"/>
  <c r="P94" i="31"/>
  <c r="O94" i="31"/>
  <c r="AA93" i="31"/>
  <c r="Z93" i="31"/>
  <c r="Y93" i="31"/>
  <c r="X93" i="31"/>
  <c r="W93" i="31"/>
  <c r="V93" i="31"/>
  <c r="U93" i="31"/>
  <c r="T93" i="31"/>
  <c r="S93" i="31"/>
  <c r="R93" i="31"/>
  <c r="Q93" i="31"/>
  <c r="P93" i="31"/>
  <c r="O93" i="31"/>
  <c r="AA92" i="31"/>
  <c r="Z92" i="31"/>
  <c r="Y92" i="31"/>
  <c r="X92" i="31"/>
  <c r="W92" i="31"/>
  <c r="V92" i="31"/>
  <c r="U92" i="31"/>
  <c r="T92" i="31"/>
  <c r="S92" i="31"/>
  <c r="R92" i="31"/>
  <c r="Q92" i="31"/>
  <c r="P92" i="31"/>
  <c r="O92" i="31"/>
  <c r="AA91" i="31"/>
  <c r="Z91" i="31"/>
  <c r="Y91" i="31"/>
  <c r="X91" i="31"/>
  <c r="W91" i="31"/>
  <c r="V91" i="31"/>
  <c r="U91" i="31"/>
  <c r="T91" i="31"/>
  <c r="S91" i="31"/>
  <c r="R91" i="31"/>
  <c r="Q91" i="31"/>
  <c r="P91" i="31"/>
  <c r="O91" i="31"/>
  <c r="AA90" i="31"/>
  <c r="Z90" i="31"/>
  <c r="Y90" i="31"/>
  <c r="X90" i="31"/>
  <c r="W90" i="31"/>
  <c r="V90" i="31"/>
  <c r="U90" i="31"/>
  <c r="T90" i="31"/>
  <c r="S90" i="31"/>
  <c r="R90" i="31"/>
  <c r="Q90" i="31"/>
  <c r="P90" i="31"/>
  <c r="O90" i="31"/>
  <c r="AA89" i="31"/>
  <c r="Z89" i="31"/>
  <c r="Y89" i="31"/>
  <c r="X89" i="31"/>
  <c r="W89" i="31"/>
  <c r="V89" i="31"/>
  <c r="U89" i="31"/>
  <c r="T89" i="31"/>
  <c r="S89" i="31"/>
  <c r="R89" i="31"/>
  <c r="Q89" i="31"/>
  <c r="P89" i="31"/>
  <c r="O89" i="31"/>
  <c r="AA88" i="31"/>
  <c r="Z88" i="31"/>
  <c r="Y88" i="31"/>
  <c r="X88" i="31"/>
  <c r="W88" i="31"/>
  <c r="V88" i="31"/>
  <c r="U88" i="31"/>
  <c r="T88" i="31"/>
  <c r="S88" i="31"/>
  <c r="R88" i="31"/>
  <c r="Q88" i="31"/>
  <c r="P88" i="31"/>
  <c r="O88" i="31"/>
  <c r="AA87" i="31"/>
  <c r="Z87" i="31"/>
  <c r="Y87" i="31"/>
  <c r="X87" i="31"/>
  <c r="W87" i="31"/>
  <c r="V87" i="31"/>
  <c r="U87" i="31"/>
  <c r="T87" i="31"/>
  <c r="S87" i="31"/>
  <c r="R87" i="31"/>
  <c r="Q87" i="31"/>
  <c r="P87" i="31"/>
  <c r="O87" i="31"/>
  <c r="AA86" i="31"/>
  <c r="Z86" i="31"/>
  <c r="Y86" i="31"/>
  <c r="X86" i="31"/>
  <c r="W86" i="31"/>
  <c r="V86" i="31"/>
  <c r="U86" i="31"/>
  <c r="T86" i="31"/>
  <c r="S86" i="31"/>
  <c r="R86" i="31"/>
  <c r="Q86" i="31"/>
  <c r="P86" i="31"/>
  <c r="O86" i="31"/>
  <c r="AA85" i="31"/>
  <c r="Z85" i="31"/>
  <c r="Y85" i="31"/>
  <c r="X85" i="31"/>
  <c r="W85" i="31"/>
  <c r="V85" i="31"/>
  <c r="U85" i="31"/>
  <c r="T85" i="31"/>
  <c r="S85" i="31"/>
  <c r="R85" i="31"/>
  <c r="Q85" i="31"/>
  <c r="P85" i="31"/>
  <c r="O85" i="31"/>
  <c r="AA84" i="31"/>
  <c r="Z84" i="31"/>
  <c r="Y84" i="31"/>
  <c r="X84" i="31"/>
  <c r="W84" i="31"/>
  <c r="V84" i="31"/>
  <c r="U84" i="31"/>
  <c r="T84" i="31"/>
  <c r="S84" i="31"/>
  <c r="R84" i="31"/>
  <c r="Q84" i="31"/>
  <c r="P84" i="31"/>
  <c r="O84" i="31"/>
  <c r="AA83" i="31"/>
  <c r="Z83" i="31"/>
  <c r="Y83" i="31"/>
  <c r="X83" i="31"/>
  <c r="W83" i="31"/>
  <c r="V83" i="31"/>
  <c r="U83" i="31"/>
  <c r="T83" i="31"/>
  <c r="S83" i="31"/>
  <c r="R83" i="31"/>
  <c r="Q83" i="31"/>
  <c r="P83" i="31"/>
  <c r="O83" i="31"/>
  <c r="AA82" i="31"/>
  <c r="Z82" i="31"/>
  <c r="Y82" i="31"/>
  <c r="X82" i="31"/>
  <c r="W82" i="31"/>
  <c r="V82" i="31"/>
  <c r="U82" i="31"/>
  <c r="T82" i="31"/>
  <c r="S82" i="31"/>
  <c r="R82" i="31"/>
  <c r="Q82" i="31"/>
  <c r="P82" i="31"/>
  <c r="O82" i="31"/>
  <c r="AA81" i="31"/>
  <c r="Z81" i="31"/>
  <c r="Y81" i="31"/>
  <c r="X81" i="31"/>
  <c r="W81" i="31"/>
  <c r="V81" i="31"/>
  <c r="U81" i="31"/>
  <c r="T81" i="31"/>
  <c r="S81" i="31"/>
  <c r="R81" i="31"/>
  <c r="Q81" i="31"/>
  <c r="P81" i="31"/>
  <c r="O81" i="31"/>
  <c r="Y80" i="31"/>
  <c r="M181" i="31" s="1"/>
  <c r="X80" i="31"/>
  <c r="L181" i="31" s="1"/>
  <c r="W80" i="31"/>
  <c r="K181" i="31" s="1"/>
  <c r="V80" i="31"/>
  <c r="J181" i="31" s="1"/>
  <c r="U80" i="31"/>
  <c r="I181" i="31" s="1"/>
  <c r="T80" i="31"/>
  <c r="H181" i="31" s="1"/>
  <c r="S80" i="31"/>
  <c r="G181" i="31" s="1"/>
  <c r="R80" i="31"/>
  <c r="F181" i="31" s="1"/>
  <c r="Q80" i="31"/>
  <c r="E181" i="31" s="1"/>
  <c r="P80" i="31"/>
  <c r="D181" i="31" s="1"/>
  <c r="O80" i="31"/>
  <c r="C181" i="31" s="1"/>
  <c r="AA80" i="31"/>
  <c r="AA79" i="31"/>
  <c r="Z79" i="31"/>
  <c r="Y79" i="31"/>
  <c r="M180" i="31" s="1"/>
  <c r="X79" i="31"/>
  <c r="L180" i="31" s="1"/>
  <c r="W79" i="31"/>
  <c r="K180" i="31" s="1"/>
  <c r="V79" i="31"/>
  <c r="J180" i="31" s="1"/>
  <c r="U79" i="31"/>
  <c r="I180" i="31" s="1"/>
  <c r="T79" i="31"/>
  <c r="H180" i="31" s="1"/>
  <c r="S79" i="31"/>
  <c r="G180" i="31" s="1"/>
  <c r="R79" i="31"/>
  <c r="F180" i="31" s="1"/>
  <c r="Q79" i="31"/>
  <c r="E180" i="31" s="1"/>
  <c r="P79" i="31"/>
  <c r="D180" i="31" s="1"/>
  <c r="O79" i="31"/>
  <c r="C180" i="31" s="1"/>
  <c r="AA78" i="31"/>
  <c r="Z78" i="31"/>
  <c r="N179" i="31" s="1"/>
  <c r="Y78" i="31"/>
  <c r="M179" i="31" s="1"/>
  <c r="X78" i="31"/>
  <c r="L179" i="31" s="1"/>
  <c r="W78" i="31"/>
  <c r="K179" i="31" s="1"/>
  <c r="V78" i="31"/>
  <c r="J179" i="31" s="1"/>
  <c r="U78" i="31"/>
  <c r="I179" i="31" s="1"/>
  <c r="T78" i="31"/>
  <c r="H179" i="31" s="1"/>
  <c r="S78" i="31"/>
  <c r="G179" i="31" s="1"/>
  <c r="R78" i="31"/>
  <c r="F179" i="31" s="1"/>
  <c r="Q78" i="31"/>
  <c r="E179" i="31" s="1"/>
  <c r="P78" i="31"/>
  <c r="D179" i="31" s="1"/>
  <c r="O78" i="31"/>
  <c r="C179" i="31" s="1"/>
  <c r="AA77" i="31"/>
  <c r="Z77" i="31"/>
  <c r="N178" i="31" s="1"/>
  <c r="Y77" i="31"/>
  <c r="M178" i="31" s="1"/>
  <c r="X77" i="31"/>
  <c r="L178" i="31" s="1"/>
  <c r="W77" i="31"/>
  <c r="K178" i="31" s="1"/>
  <c r="V77" i="31"/>
  <c r="J178" i="31" s="1"/>
  <c r="U77" i="31"/>
  <c r="I178" i="31" s="1"/>
  <c r="T77" i="31"/>
  <c r="H178" i="31" s="1"/>
  <c r="S77" i="31"/>
  <c r="G178" i="31" s="1"/>
  <c r="R77" i="31"/>
  <c r="F178" i="31" s="1"/>
  <c r="Q77" i="31"/>
  <c r="E178" i="31" s="1"/>
  <c r="P77" i="31"/>
  <c r="D178" i="31" s="1"/>
  <c r="O77" i="31"/>
  <c r="C178" i="31" s="1"/>
  <c r="AA76" i="31"/>
  <c r="Z76" i="31"/>
  <c r="N177" i="31" s="1"/>
  <c r="Y76" i="31"/>
  <c r="M177" i="31" s="1"/>
  <c r="X76" i="31"/>
  <c r="L177" i="31" s="1"/>
  <c r="W76" i="31"/>
  <c r="K177" i="31" s="1"/>
  <c r="V76" i="31"/>
  <c r="J177" i="31" s="1"/>
  <c r="U76" i="31"/>
  <c r="I177" i="31" s="1"/>
  <c r="T76" i="31"/>
  <c r="H177" i="31" s="1"/>
  <c r="S76" i="31"/>
  <c r="G177" i="31" s="1"/>
  <c r="R76" i="31"/>
  <c r="F177" i="31" s="1"/>
  <c r="Q76" i="31"/>
  <c r="E177" i="31" s="1"/>
  <c r="P76" i="31"/>
  <c r="D177" i="31" s="1"/>
  <c r="O76" i="31"/>
  <c r="C177" i="31" s="1"/>
  <c r="AA75" i="31"/>
  <c r="Z75" i="31"/>
  <c r="N176" i="31" s="1"/>
  <c r="Y75" i="31"/>
  <c r="M176" i="31" s="1"/>
  <c r="X75" i="31"/>
  <c r="L176" i="31" s="1"/>
  <c r="W75" i="31"/>
  <c r="K176" i="31" s="1"/>
  <c r="V75" i="31"/>
  <c r="J176" i="31" s="1"/>
  <c r="U75" i="31"/>
  <c r="I176" i="31" s="1"/>
  <c r="T75" i="31"/>
  <c r="H176" i="31" s="1"/>
  <c r="S75" i="31"/>
  <c r="G176" i="31" s="1"/>
  <c r="R75" i="31"/>
  <c r="F176" i="31" s="1"/>
  <c r="Q75" i="31"/>
  <c r="E176" i="31" s="1"/>
  <c r="P75" i="31"/>
  <c r="D176" i="31" s="1"/>
  <c r="O75" i="31"/>
  <c r="C176" i="31" s="1"/>
  <c r="AA74" i="31"/>
  <c r="Z74" i="31"/>
  <c r="N175" i="31" s="1"/>
  <c r="Y74" i="31"/>
  <c r="M175" i="31" s="1"/>
  <c r="X74" i="31"/>
  <c r="L175" i="31" s="1"/>
  <c r="W74" i="31"/>
  <c r="K175" i="31" s="1"/>
  <c r="V74" i="31"/>
  <c r="J175" i="31" s="1"/>
  <c r="U74" i="31"/>
  <c r="I175" i="31" s="1"/>
  <c r="T74" i="31"/>
  <c r="H175" i="31" s="1"/>
  <c r="S74" i="31"/>
  <c r="G175" i="31" s="1"/>
  <c r="R74" i="31"/>
  <c r="F175" i="31" s="1"/>
  <c r="Q74" i="31"/>
  <c r="E175" i="31" s="1"/>
  <c r="P74" i="31"/>
  <c r="D175" i="31" s="1"/>
  <c r="O74" i="31"/>
  <c r="C175" i="31" s="1"/>
  <c r="AA73" i="31"/>
  <c r="Z73" i="31"/>
  <c r="N174" i="31" s="1"/>
  <c r="Y73" i="31"/>
  <c r="M174" i="31" s="1"/>
  <c r="X73" i="31"/>
  <c r="L174" i="31" s="1"/>
  <c r="W73" i="31"/>
  <c r="K174" i="31" s="1"/>
  <c r="V73" i="31"/>
  <c r="J174" i="31" s="1"/>
  <c r="U73" i="31"/>
  <c r="I174" i="31" s="1"/>
  <c r="T73" i="31"/>
  <c r="H174" i="31" s="1"/>
  <c r="S73" i="31"/>
  <c r="G174" i="31" s="1"/>
  <c r="R73" i="31"/>
  <c r="F174" i="31" s="1"/>
  <c r="Q73" i="31"/>
  <c r="E174" i="31" s="1"/>
  <c r="P73" i="31"/>
  <c r="D174" i="31" s="1"/>
  <c r="O73" i="31"/>
  <c r="C174" i="31" s="1"/>
  <c r="AA72" i="31"/>
  <c r="Z72" i="31"/>
  <c r="N173" i="31" s="1"/>
  <c r="Y72" i="31"/>
  <c r="M173" i="31" s="1"/>
  <c r="X72" i="31"/>
  <c r="L173" i="31" s="1"/>
  <c r="W72" i="31"/>
  <c r="K173" i="31" s="1"/>
  <c r="V72" i="31"/>
  <c r="J173" i="31" s="1"/>
  <c r="U72" i="31"/>
  <c r="I173" i="31" s="1"/>
  <c r="T72" i="31"/>
  <c r="H173" i="31" s="1"/>
  <c r="S72" i="31"/>
  <c r="G173" i="31" s="1"/>
  <c r="R72" i="31"/>
  <c r="F173" i="31" s="1"/>
  <c r="Q72" i="31"/>
  <c r="E173" i="31" s="1"/>
  <c r="P72" i="31"/>
  <c r="D173" i="31" s="1"/>
  <c r="O72" i="31"/>
  <c r="C173" i="31" s="1"/>
  <c r="AA71" i="31"/>
  <c r="Z71" i="31"/>
  <c r="N172" i="31" s="1"/>
  <c r="Y71" i="31"/>
  <c r="M172" i="31" s="1"/>
  <c r="X71" i="31"/>
  <c r="L172" i="31" s="1"/>
  <c r="W71" i="31"/>
  <c r="K172" i="31" s="1"/>
  <c r="V71" i="31"/>
  <c r="J172" i="31" s="1"/>
  <c r="U71" i="31"/>
  <c r="I172" i="31" s="1"/>
  <c r="T71" i="31"/>
  <c r="H172" i="31" s="1"/>
  <c r="S71" i="31"/>
  <c r="G172" i="31" s="1"/>
  <c r="R71" i="31"/>
  <c r="F172" i="31" s="1"/>
  <c r="Q71" i="31"/>
  <c r="E172" i="31" s="1"/>
  <c r="P71" i="31"/>
  <c r="D172" i="31" s="1"/>
  <c r="O71" i="31"/>
  <c r="C172" i="31" s="1"/>
  <c r="AA70" i="31"/>
  <c r="Z70" i="31"/>
  <c r="N171" i="31" s="1"/>
  <c r="Y70" i="31"/>
  <c r="M171" i="31" s="1"/>
  <c r="X70" i="31"/>
  <c r="L171" i="31" s="1"/>
  <c r="W70" i="31"/>
  <c r="K171" i="31" s="1"/>
  <c r="V70" i="31"/>
  <c r="J171" i="31" s="1"/>
  <c r="U70" i="31"/>
  <c r="I171" i="31" s="1"/>
  <c r="T70" i="31"/>
  <c r="H171" i="31" s="1"/>
  <c r="S70" i="31"/>
  <c r="G171" i="31" s="1"/>
  <c r="R70" i="31"/>
  <c r="F171" i="31" s="1"/>
  <c r="Q70" i="31"/>
  <c r="E171" i="31" s="1"/>
  <c r="P70" i="31"/>
  <c r="D171" i="31" s="1"/>
  <c r="O70" i="31"/>
  <c r="C171" i="31" s="1"/>
  <c r="AA69" i="31"/>
  <c r="Z69" i="31"/>
  <c r="N170" i="31" s="1"/>
  <c r="Y69" i="31"/>
  <c r="M170" i="31" s="1"/>
  <c r="X69" i="31"/>
  <c r="L170" i="31" s="1"/>
  <c r="W69" i="31"/>
  <c r="K170" i="31" s="1"/>
  <c r="V69" i="31"/>
  <c r="J170" i="31" s="1"/>
  <c r="U69" i="31"/>
  <c r="I170" i="31" s="1"/>
  <c r="T69" i="31"/>
  <c r="H170" i="31" s="1"/>
  <c r="S69" i="31"/>
  <c r="G170" i="31" s="1"/>
  <c r="R69" i="31"/>
  <c r="F170" i="31" s="1"/>
  <c r="Q69" i="31"/>
  <c r="E170" i="31" s="1"/>
  <c r="P69" i="31"/>
  <c r="D170" i="31" s="1"/>
  <c r="O69" i="31"/>
  <c r="C170" i="31" s="1"/>
  <c r="AA68" i="31"/>
  <c r="Z68" i="31"/>
  <c r="N169" i="31" s="1"/>
  <c r="Y68" i="31"/>
  <c r="M169" i="31" s="1"/>
  <c r="X68" i="31"/>
  <c r="L169" i="31" s="1"/>
  <c r="W68" i="31"/>
  <c r="K169" i="31" s="1"/>
  <c r="V68" i="31"/>
  <c r="J169" i="31" s="1"/>
  <c r="U68" i="31"/>
  <c r="I169" i="31" s="1"/>
  <c r="T68" i="31"/>
  <c r="H169" i="31" s="1"/>
  <c r="S68" i="31"/>
  <c r="G169" i="31" s="1"/>
  <c r="R68" i="31"/>
  <c r="F169" i="31" s="1"/>
  <c r="Q68" i="31"/>
  <c r="E169" i="31" s="1"/>
  <c r="P68" i="31"/>
  <c r="D169" i="31" s="1"/>
  <c r="O68" i="31"/>
  <c r="C169" i="31" s="1"/>
  <c r="AA67" i="31"/>
  <c r="Z67" i="31"/>
  <c r="N168" i="31" s="1"/>
  <c r="Y67" i="31"/>
  <c r="M168" i="31" s="1"/>
  <c r="X67" i="31"/>
  <c r="L168" i="31" s="1"/>
  <c r="W67" i="31"/>
  <c r="K168" i="31" s="1"/>
  <c r="V67" i="31"/>
  <c r="J168" i="31" s="1"/>
  <c r="U67" i="31"/>
  <c r="I168" i="31" s="1"/>
  <c r="T67" i="31"/>
  <c r="H168" i="31" s="1"/>
  <c r="S67" i="31"/>
  <c r="G168" i="31" s="1"/>
  <c r="R67" i="31"/>
  <c r="F168" i="31" s="1"/>
  <c r="Q67" i="31"/>
  <c r="E168" i="31" s="1"/>
  <c r="P67" i="31"/>
  <c r="D168" i="31" s="1"/>
  <c r="O67" i="31"/>
  <c r="C168" i="31" s="1"/>
  <c r="AA66" i="31"/>
  <c r="Z66" i="31"/>
  <c r="N167" i="31" s="1"/>
  <c r="Y66" i="31"/>
  <c r="M167" i="31" s="1"/>
  <c r="X66" i="31"/>
  <c r="L167" i="31" s="1"/>
  <c r="W66" i="31"/>
  <c r="K167" i="31" s="1"/>
  <c r="V66" i="31"/>
  <c r="J167" i="31" s="1"/>
  <c r="U66" i="31"/>
  <c r="I167" i="31" s="1"/>
  <c r="T66" i="31"/>
  <c r="H167" i="31" s="1"/>
  <c r="S66" i="31"/>
  <c r="G167" i="31" s="1"/>
  <c r="R66" i="31"/>
  <c r="F167" i="31" s="1"/>
  <c r="Q66" i="31"/>
  <c r="E167" i="31" s="1"/>
  <c r="P66" i="31"/>
  <c r="D167" i="31" s="1"/>
  <c r="O66" i="31"/>
  <c r="C167" i="31" s="1"/>
  <c r="AA65" i="31"/>
  <c r="Z65" i="31"/>
  <c r="N166" i="31" s="1"/>
  <c r="Y65" i="31"/>
  <c r="M166" i="31" s="1"/>
  <c r="X65" i="31"/>
  <c r="L166" i="31" s="1"/>
  <c r="W65" i="31"/>
  <c r="K166" i="31" s="1"/>
  <c r="V65" i="31"/>
  <c r="J166" i="31" s="1"/>
  <c r="U65" i="31"/>
  <c r="I166" i="31" s="1"/>
  <c r="T65" i="31"/>
  <c r="H166" i="31" s="1"/>
  <c r="S65" i="31"/>
  <c r="G166" i="31" s="1"/>
  <c r="R65" i="31"/>
  <c r="F166" i="31" s="1"/>
  <c r="Q65" i="31"/>
  <c r="E166" i="31" s="1"/>
  <c r="P65" i="31"/>
  <c r="D166" i="31" s="1"/>
  <c r="O65" i="31"/>
  <c r="C166" i="31" s="1"/>
  <c r="AA64" i="31"/>
  <c r="Z64" i="31"/>
  <c r="N165" i="31" s="1"/>
  <c r="Y64" i="31"/>
  <c r="M165" i="31" s="1"/>
  <c r="X64" i="31"/>
  <c r="L165" i="31" s="1"/>
  <c r="W64" i="31"/>
  <c r="K165" i="31" s="1"/>
  <c r="V64" i="31"/>
  <c r="J165" i="31" s="1"/>
  <c r="U64" i="31"/>
  <c r="I165" i="31" s="1"/>
  <c r="T64" i="31"/>
  <c r="H165" i="31" s="1"/>
  <c r="S64" i="31"/>
  <c r="G165" i="31" s="1"/>
  <c r="R64" i="31"/>
  <c r="F165" i="31" s="1"/>
  <c r="Q64" i="31"/>
  <c r="E165" i="31" s="1"/>
  <c r="P64" i="31"/>
  <c r="D165" i="31" s="1"/>
  <c r="O64" i="31"/>
  <c r="C165" i="31" s="1"/>
  <c r="AA63" i="31"/>
  <c r="AB63" i="31" s="1"/>
  <c r="Z63" i="31"/>
  <c r="N164" i="31" s="1"/>
  <c r="Y63" i="31"/>
  <c r="M164" i="31" s="1"/>
  <c r="X63" i="31"/>
  <c r="L164" i="31" s="1"/>
  <c r="W63" i="31"/>
  <c r="K164" i="31" s="1"/>
  <c r="V63" i="31"/>
  <c r="J164" i="31" s="1"/>
  <c r="U63" i="31"/>
  <c r="I164" i="31" s="1"/>
  <c r="T63" i="31"/>
  <c r="H164" i="31" s="1"/>
  <c r="S63" i="31"/>
  <c r="G164" i="31" s="1"/>
  <c r="R63" i="31"/>
  <c r="F164" i="31" s="1"/>
  <c r="Q63" i="31"/>
  <c r="E164" i="31" s="1"/>
  <c r="P63" i="31"/>
  <c r="D164" i="31" s="1"/>
  <c r="O63" i="31"/>
  <c r="C164" i="31" s="1"/>
  <c r="Z62" i="31"/>
  <c r="Y62" i="31"/>
  <c r="X62" i="31"/>
  <c r="W62" i="31"/>
  <c r="V62" i="31"/>
  <c r="U62" i="31"/>
  <c r="T62" i="31"/>
  <c r="S62" i="31"/>
  <c r="R62" i="31"/>
  <c r="Q62" i="31"/>
  <c r="P62" i="31"/>
  <c r="O62" i="31"/>
  <c r="AA61" i="31"/>
  <c r="AB61" i="31" s="1"/>
  <c r="Z61" i="31"/>
  <c r="N163" i="31" s="1"/>
  <c r="Y61" i="31"/>
  <c r="M163" i="31" s="1"/>
  <c r="X61" i="31"/>
  <c r="L163" i="31" s="1"/>
  <c r="W61" i="31"/>
  <c r="K163" i="31" s="1"/>
  <c r="V61" i="31"/>
  <c r="J163" i="31" s="1"/>
  <c r="U61" i="31"/>
  <c r="I163" i="31" s="1"/>
  <c r="T61" i="31"/>
  <c r="H163" i="31" s="1"/>
  <c r="S61" i="31"/>
  <c r="G163" i="31" s="1"/>
  <c r="R61" i="31"/>
  <c r="F163" i="31" s="1"/>
  <c r="Q61" i="31"/>
  <c r="E163" i="31" s="1"/>
  <c r="P61" i="31"/>
  <c r="D163" i="31" s="1"/>
  <c r="O61" i="31"/>
  <c r="C163" i="31" s="1"/>
  <c r="AA60" i="31"/>
  <c r="AB60" i="31" s="1"/>
  <c r="Z60" i="31"/>
  <c r="N162" i="31" s="1"/>
  <c r="Y60" i="31"/>
  <c r="M162" i="31" s="1"/>
  <c r="X60" i="31"/>
  <c r="L162" i="31" s="1"/>
  <c r="W60" i="31"/>
  <c r="K162" i="31" s="1"/>
  <c r="V60" i="31"/>
  <c r="J162" i="31" s="1"/>
  <c r="U60" i="31"/>
  <c r="I162" i="31" s="1"/>
  <c r="T60" i="31"/>
  <c r="H162" i="31" s="1"/>
  <c r="S60" i="31"/>
  <c r="G162" i="31" s="1"/>
  <c r="R60" i="31"/>
  <c r="F162" i="31" s="1"/>
  <c r="Q60" i="31"/>
  <c r="E162" i="31" s="1"/>
  <c r="P60" i="31"/>
  <c r="D162" i="31" s="1"/>
  <c r="O60" i="31"/>
  <c r="C162" i="31" s="1"/>
  <c r="AA59" i="31"/>
  <c r="Z59" i="31"/>
  <c r="N161" i="31" s="1"/>
  <c r="Y59" i="31"/>
  <c r="M161" i="31" s="1"/>
  <c r="X59" i="31"/>
  <c r="L161" i="31" s="1"/>
  <c r="W59" i="31"/>
  <c r="K161" i="31" s="1"/>
  <c r="V59" i="31"/>
  <c r="J161" i="31" s="1"/>
  <c r="U59" i="31"/>
  <c r="I161" i="31" s="1"/>
  <c r="T59" i="31"/>
  <c r="H161" i="31" s="1"/>
  <c r="S59" i="31"/>
  <c r="G161" i="31" s="1"/>
  <c r="R59" i="31"/>
  <c r="F161" i="31" s="1"/>
  <c r="Q59" i="31"/>
  <c r="E161" i="31" s="1"/>
  <c r="P59" i="31"/>
  <c r="D161" i="31" s="1"/>
  <c r="O59" i="31"/>
  <c r="C161" i="31" s="1"/>
  <c r="AA58" i="31"/>
  <c r="Z58" i="31"/>
  <c r="N160" i="31" s="1"/>
  <c r="Y58" i="31"/>
  <c r="M160" i="31" s="1"/>
  <c r="X58" i="31"/>
  <c r="L160" i="31" s="1"/>
  <c r="W58" i="31"/>
  <c r="K160" i="31" s="1"/>
  <c r="V58" i="31"/>
  <c r="J160" i="31" s="1"/>
  <c r="U58" i="31"/>
  <c r="I160" i="31" s="1"/>
  <c r="T58" i="31"/>
  <c r="H160" i="31" s="1"/>
  <c r="S58" i="31"/>
  <c r="G160" i="31" s="1"/>
  <c r="R58" i="31"/>
  <c r="F160" i="31" s="1"/>
  <c r="Q58" i="31"/>
  <c r="E160" i="31" s="1"/>
  <c r="P58" i="31"/>
  <c r="D160" i="31" s="1"/>
  <c r="O58" i="31"/>
  <c r="C160" i="31" s="1"/>
  <c r="AA57" i="31"/>
  <c r="Z57" i="31"/>
  <c r="N159" i="31" s="1"/>
  <c r="Y57" i="31"/>
  <c r="M159" i="31" s="1"/>
  <c r="X57" i="31"/>
  <c r="L159" i="31" s="1"/>
  <c r="W57" i="31"/>
  <c r="K159" i="31" s="1"/>
  <c r="V57" i="31"/>
  <c r="J159" i="31" s="1"/>
  <c r="U57" i="31"/>
  <c r="I159" i="31" s="1"/>
  <c r="T57" i="31"/>
  <c r="H159" i="31" s="1"/>
  <c r="S57" i="31"/>
  <c r="G159" i="31" s="1"/>
  <c r="R57" i="31"/>
  <c r="F159" i="31" s="1"/>
  <c r="Q57" i="31"/>
  <c r="E159" i="31" s="1"/>
  <c r="P57" i="31"/>
  <c r="D159" i="31" s="1"/>
  <c r="O57" i="31"/>
  <c r="C159" i="31" s="1"/>
  <c r="AA56" i="31"/>
  <c r="Z56" i="31"/>
  <c r="N158" i="31" s="1"/>
  <c r="Y56" i="31"/>
  <c r="M158" i="31" s="1"/>
  <c r="X56" i="31"/>
  <c r="L158" i="31" s="1"/>
  <c r="W56" i="31"/>
  <c r="K158" i="31" s="1"/>
  <c r="V56" i="31"/>
  <c r="J158" i="31" s="1"/>
  <c r="U56" i="31"/>
  <c r="I158" i="31" s="1"/>
  <c r="T56" i="31"/>
  <c r="H158" i="31" s="1"/>
  <c r="S56" i="31"/>
  <c r="G158" i="31" s="1"/>
  <c r="R56" i="31"/>
  <c r="F158" i="31" s="1"/>
  <c r="Q56" i="31"/>
  <c r="E158" i="31" s="1"/>
  <c r="P56" i="31"/>
  <c r="D158" i="31" s="1"/>
  <c r="O56" i="31"/>
  <c r="C158" i="31" s="1"/>
  <c r="AA55" i="31"/>
  <c r="Z55" i="31"/>
  <c r="N157" i="31" s="1"/>
  <c r="Y55" i="31"/>
  <c r="M157" i="31" s="1"/>
  <c r="X55" i="31"/>
  <c r="L157" i="31" s="1"/>
  <c r="W55" i="31"/>
  <c r="K157" i="31" s="1"/>
  <c r="V55" i="31"/>
  <c r="J157" i="31" s="1"/>
  <c r="U55" i="31"/>
  <c r="I157" i="31" s="1"/>
  <c r="T55" i="31"/>
  <c r="H157" i="31" s="1"/>
  <c r="S55" i="31"/>
  <c r="G157" i="31" s="1"/>
  <c r="R55" i="31"/>
  <c r="F157" i="31" s="1"/>
  <c r="Q55" i="31"/>
  <c r="E157" i="31" s="1"/>
  <c r="P55" i="31"/>
  <c r="D157" i="31" s="1"/>
  <c r="O55" i="31"/>
  <c r="C157" i="31" s="1"/>
  <c r="AA54" i="31"/>
  <c r="Z54" i="31"/>
  <c r="N156" i="31" s="1"/>
  <c r="Y54" i="31"/>
  <c r="M156" i="31" s="1"/>
  <c r="X54" i="31"/>
  <c r="L156" i="31" s="1"/>
  <c r="W54" i="31"/>
  <c r="K156" i="31" s="1"/>
  <c r="V54" i="31"/>
  <c r="J156" i="31" s="1"/>
  <c r="U54" i="31"/>
  <c r="I156" i="31" s="1"/>
  <c r="T54" i="31"/>
  <c r="H156" i="31" s="1"/>
  <c r="S54" i="31"/>
  <c r="G156" i="31" s="1"/>
  <c r="R54" i="31"/>
  <c r="F156" i="31" s="1"/>
  <c r="Q54" i="31"/>
  <c r="E156" i="31" s="1"/>
  <c r="P54" i="31"/>
  <c r="D156" i="31" s="1"/>
  <c r="O54" i="31"/>
  <c r="C156" i="31" s="1"/>
  <c r="AA53" i="31"/>
  <c r="AB53" i="31" s="1"/>
  <c r="Z53" i="31"/>
  <c r="N155" i="31" s="1"/>
  <c r="Y53" i="31"/>
  <c r="M155" i="31" s="1"/>
  <c r="X53" i="31"/>
  <c r="L155" i="31" s="1"/>
  <c r="W53" i="31"/>
  <c r="K155" i="31" s="1"/>
  <c r="V53" i="31"/>
  <c r="J155" i="31" s="1"/>
  <c r="U53" i="31"/>
  <c r="I155" i="31" s="1"/>
  <c r="T53" i="31"/>
  <c r="H155" i="31" s="1"/>
  <c r="S53" i="31"/>
  <c r="G155" i="31" s="1"/>
  <c r="AA52" i="31"/>
  <c r="Z52" i="31"/>
  <c r="N154" i="31" s="1"/>
  <c r="Y52" i="31"/>
  <c r="M154" i="31" s="1"/>
  <c r="X52" i="31"/>
  <c r="L154" i="31" s="1"/>
  <c r="W52" i="31"/>
  <c r="K154" i="31" s="1"/>
  <c r="V52" i="31"/>
  <c r="J154" i="31" s="1"/>
  <c r="U52" i="31"/>
  <c r="I154" i="31" s="1"/>
  <c r="T52" i="31"/>
  <c r="H154" i="31" s="1"/>
  <c r="S52" i="31"/>
  <c r="G154" i="31" s="1"/>
  <c r="R52" i="31"/>
  <c r="F154" i="31" s="1"/>
  <c r="Q52" i="31"/>
  <c r="E154" i="31" s="1"/>
  <c r="P52" i="31"/>
  <c r="D154" i="31" s="1"/>
  <c r="O52" i="31"/>
  <c r="C154" i="31" s="1"/>
  <c r="AA51" i="31"/>
  <c r="AB51" i="31" s="1"/>
  <c r="Z51" i="31"/>
  <c r="N153" i="31" s="1"/>
  <c r="Y51" i="31"/>
  <c r="M153" i="31" s="1"/>
  <c r="X51" i="31"/>
  <c r="L153" i="31" s="1"/>
  <c r="W51" i="31"/>
  <c r="K153" i="31" s="1"/>
  <c r="V51" i="31"/>
  <c r="J153" i="31" s="1"/>
  <c r="U51" i="31"/>
  <c r="I153" i="31" s="1"/>
  <c r="T51" i="31"/>
  <c r="H153" i="31" s="1"/>
  <c r="AA50" i="31"/>
  <c r="AB50" i="31" s="1"/>
  <c r="Z50" i="31"/>
  <c r="N152" i="31" s="1"/>
  <c r="Y50" i="31"/>
  <c r="M152" i="31" s="1"/>
  <c r="X50" i="31"/>
  <c r="L152" i="31" s="1"/>
  <c r="W50" i="31"/>
  <c r="K152" i="31" s="1"/>
  <c r="V50" i="31"/>
  <c r="J152" i="31" s="1"/>
  <c r="U50" i="31"/>
  <c r="I152" i="31" s="1"/>
  <c r="T50" i="31"/>
  <c r="H152" i="31" s="1"/>
  <c r="AA49" i="31"/>
  <c r="AB49" i="31" s="1"/>
  <c r="Z49" i="31"/>
  <c r="N151" i="31" s="1"/>
  <c r="Y49" i="31"/>
  <c r="M151" i="31" s="1"/>
  <c r="X49" i="31"/>
  <c r="L151" i="31" s="1"/>
  <c r="W49" i="31"/>
  <c r="K151" i="31" s="1"/>
  <c r="V49" i="31"/>
  <c r="J151" i="31" s="1"/>
  <c r="U49" i="31"/>
  <c r="I151" i="31" s="1"/>
  <c r="T49" i="31"/>
  <c r="H151" i="31" s="1"/>
  <c r="AA48" i="31"/>
  <c r="AB48" i="31" s="1"/>
  <c r="Z48" i="31"/>
  <c r="N150" i="31" s="1"/>
  <c r="Y48" i="31"/>
  <c r="M150" i="31" s="1"/>
  <c r="X48" i="31"/>
  <c r="L150" i="31" s="1"/>
  <c r="W48" i="31"/>
  <c r="K150" i="31" s="1"/>
  <c r="V48" i="31"/>
  <c r="J150" i="31" s="1"/>
  <c r="U48" i="31"/>
  <c r="I150" i="31" s="1"/>
  <c r="T48" i="31"/>
  <c r="H150" i="31" s="1"/>
  <c r="AA47" i="31"/>
  <c r="AB47" i="31" s="1"/>
  <c r="Z47" i="31"/>
  <c r="N149" i="31" s="1"/>
  <c r="Y47" i="31"/>
  <c r="M149" i="31" s="1"/>
  <c r="X47" i="31"/>
  <c r="L149" i="31" s="1"/>
  <c r="W47" i="31"/>
  <c r="K149" i="31" s="1"/>
  <c r="V47" i="31"/>
  <c r="J149" i="31" s="1"/>
  <c r="U47" i="31"/>
  <c r="I149" i="31" s="1"/>
  <c r="T47" i="31"/>
  <c r="H149" i="31" s="1"/>
  <c r="AA46" i="31"/>
  <c r="Z46" i="31"/>
  <c r="N148" i="31" s="1"/>
  <c r="Y46" i="31"/>
  <c r="M148" i="31" s="1"/>
  <c r="X46" i="31"/>
  <c r="L148" i="31" s="1"/>
  <c r="W46" i="31"/>
  <c r="K148" i="31" s="1"/>
  <c r="V46" i="31"/>
  <c r="J148" i="31" s="1"/>
  <c r="U46" i="31"/>
  <c r="I148" i="31" s="1"/>
  <c r="T46" i="31"/>
  <c r="H148" i="31" s="1"/>
  <c r="S46" i="31"/>
  <c r="G148" i="31" s="1"/>
  <c r="R46" i="31"/>
  <c r="F148" i="31" s="1"/>
  <c r="Q46" i="31"/>
  <c r="E148" i="31" s="1"/>
  <c r="P46" i="31"/>
  <c r="D148" i="31" s="1"/>
  <c r="O46" i="31"/>
  <c r="C148" i="31" s="1"/>
  <c r="AA45" i="31"/>
  <c r="AB45" i="31" s="1"/>
  <c r="Z45" i="31"/>
  <c r="N147" i="31" s="1"/>
  <c r="Y45" i="31"/>
  <c r="M147" i="31" s="1"/>
  <c r="X45" i="31"/>
  <c r="L147" i="31" s="1"/>
  <c r="W45" i="31"/>
  <c r="K147" i="31" s="1"/>
  <c r="V45" i="31"/>
  <c r="J147" i="31" s="1"/>
  <c r="U45" i="31"/>
  <c r="I147" i="31" s="1"/>
  <c r="T45" i="31"/>
  <c r="H147" i="31" s="1"/>
  <c r="S45" i="31"/>
  <c r="G147" i="31" s="1"/>
  <c r="R45" i="31"/>
  <c r="F147" i="31" s="1"/>
  <c r="Q45" i="31"/>
  <c r="E147" i="31" s="1"/>
  <c r="P45" i="31"/>
  <c r="D147" i="31" s="1"/>
  <c r="O45" i="31"/>
  <c r="C147" i="31" s="1"/>
  <c r="AA44" i="31"/>
  <c r="AB44" i="31" s="1"/>
  <c r="Z44" i="31"/>
  <c r="N146" i="31" s="1"/>
  <c r="Y44" i="31"/>
  <c r="M146" i="31" s="1"/>
  <c r="X44" i="31"/>
  <c r="L146" i="31" s="1"/>
  <c r="W44" i="31"/>
  <c r="K146" i="31" s="1"/>
  <c r="V44" i="31"/>
  <c r="J146" i="31" s="1"/>
  <c r="U44" i="31"/>
  <c r="I146" i="31" s="1"/>
  <c r="T44" i="31"/>
  <c r="H146" i="31" s="1"/>
  <c r="S44" i="31"/>
  <c r="G146" i="31" s="1"/>
  <c r="R44" i="31"/>
  <c r="F146" i="31" s="1"/>
  <c r="Q44" i="31"/>
  <c r="E146" i="31" s="1"/>
  <c r="P44" i="31"/>
  <c r="D146" i="31" s="1"/>
  <c r="O44" i="31"/>
  <c r="C146" i="31" s="1"/>
  <c r="AA43" i="31"/>
  <c r="AB43" i="31" s="1"/>
  <c r="Z43" i="31"/>
  <c r="N145" i="31" s="1"/>
  <c r="Y43" i="31"/>
  <c r="M145" i="31" s="1"/>
  <c r="X43" i="31"/>
  <c r="L145" i="31" s="1"/>
  <c r="W43" i="31"/>
  <c r="K145" i="31" s="1"/>
  <c r="V43" i="31"/>
  <c r="J145" i="31" s="1"/>
  <c r="U43" i="31"/>
  <c r="I145" i="31" s="1"/>
  <c r="T43" i="31"/>
  <c r="H145" i="31" s="1"/>
  <c r="S43" i="31"/>
  <c r="G145" i="31" s="1"/>
  <c r="R43" i="31"/>
  <c r="F145" i="31" s="1"/>
  <c r="Q43" i="31"/>
  <c r="E145" i="31" s="1"/>
  <c r="P43" i="31"/>
  <c r="D145" i="31" s="1"/>
  <c r="O43" i="31"/>
  <c r="C145" i="31" s="1"/>
  <c r="AA42" i="31"/>
  <c r="Z42" i="31"/>
  <c r="N144" i="31" s="1"/>
  <c r="Y42" i="31"/>
  <c r="M144" i="31" s="1"/>
  <c r="X42" i="31"/>
  <c r="L144" i="31" s="1"/>
  <c r="W42" i="31"/>
  <c r="K144" i="31" s="1"/>
  <c r="V42" i="31"/>
  <c r="J144" i="31" s="1"/>
  <c r="U42" i="31"/>
  <c r="I144" i="31" s="1"/>
  <c r="T42" i="31"/>
  <c r="H144" i="31" s="1"/>
  <c r="S42" i="31"/>
  <c r="G144" i="31" s="1"/>
  <c r="R42" i="31"/>
  <c r="F144" i="31" s="1"/>
  <c r="Q42" i="31"/>
  <c r="E144" i="31" s="1"/>
  <c r="P42" i="31"/>
  <c r="D144" i="31" s="1"/>
  <c r="O42" i="31"/>
  <c r="C144" i="31" s="1"/>
  <c r="AA41" i="31"/>
  <c r="AB41" i="31" s="1"/>
  <c r="Z41" i="31"/>
  <c r="N143" i="31" s="1"/>
  <c r="Y41" i="31"/>
  <c r="M143" i="31" s="1"/>
  <c r="X41" i="31"/>
  <c r="L143" i="31" s="1"/>
  <c r="W41" i="31"/>
  <c r="K143" i="31" s="1"/>
  <c r="V41" i="31"/>
  <c r="J143" i="31" s="1"/>
  <c r="U41" i="31"/>
  <c r="I143" i="31" s="1"/>
  <c r="T41" i="31"/>
  <c r="H143" i="31" s="1"/>
  <c r="S41" i="31"/>
  <c r="G143" i="31" s="1"/>
  <c r="R41" i="31"/>
  <c r="F143" i="31" s="1"/>
  <c r="Q41" i="31"/>
  <c r="E143" i="31" s="1"/>
  <c r="P41" i="31"/>
  <c r="D143" i="31" s="1"/>
  <c r="O41" i="31"/>
  <c r="C143" i="31" s="1"/>
  <c r="AA40" i="31"/>
  <c r="AB40" i="31" s="1"/>
  <c r="Z40" i="31"/>
  <c r="N142" i="31" s="1"/>
  <c r="Y40" i="31"/>
  <c r="M142" i="31" s="1"/>
  <c r="X40" i="31"/>
  <c r="L142" i="31" s="1"/>
  <c r="W40" i="31"/>
  <c r="K142" i="31" s="1"/>
  <c r="V40" i="31"/>
  <c r="J142" i="31" s="1"/>
  <c r="U40" i="31"/>
  <c r="I142" i="31" s="1"/>
  <c r="T40" i="31"/>
  <c r="H142" i="31" s="1"/>
  <c r="S40" i="31"/>
  <c r="G142" i="31" s="1"/>
  <c r="R40" i="31"/>
  <c r="F142" i="31" s="1"/>
  <c r="Q40" i="31"/>
  <c r="E142" i="31" s="1"/>
  <c r="P40" i="31"/>
  <c r="D142" i="31" s="1"/>
  <c r="O40" i="31"/>
  <c r="C142" i="31" s="1"/>
  <c r="AA39" i="31"/>
  <c r="AB39" i="31" s="1"/>
  <c r="L141" i="31"/>
  <c r="C141" i="31"/>
  <c r="AA38" i="31"/>
  <c r="AB38" i="31" s="1"/>
  <c r="L140" i="31"/>
  <c r="J140" i="31"/>
  <c r="F140" i="31"/>
  <c r="AA37" i="31"/>
  <c r="AB37" i="31" s="1"/>
  <c r="N139" i="31"/>
  <c r="G139" i="31"/>
  <c r="AA36" i="31"/>
  <c r="AB36" i="31" s="1"/>
  <c r="N138" i="31"/>
  <c r="H138" i="31"/>
  <c r="C138" i="31"/>
  <c r="AA35" i="31"/>
  <c r="AB35" i="31" s="1"/>
  <c r="L137" i="31"/>
  <c r="AA34" i="31"/>
  <c r="AB34" i="31" s="1"/>
  <c r="J136" i="31"/>
  <c r="D136" i="31"/>
  <c r="AA33" i="31"/>
  <c r="AB33" i="31" s="1"/>
  <c r="N135" i="31"/>
  <c r="H135" i="31"/>
  <c r="AA32" i="31"/>
  <c r="AB32" i="31" s="1"/>
  <c r="J134" i="31"/>
  <c r="H134" i="31"/>
  <c r="AA31" i="31"/>
  <c r="AB31" i="31" s="1"/>
  <c r="AA30" i="31"/>
  <c r="M132" i="31"/>
  <c r="G132" i="31"/>
  <c r="F132" i="31"/>
  <c r="C132" i="31"/>
  <c r="AA29" i="31"/>
  <c r="AB29" i="31" s="1"/>
  <c r="H131" i="31"/>
  <c r="AA28" i="31"/>
  <c r="AB28" i="31" s="1"/>
  <c r="F130" i="31"/>
  <c r="O28" i="31"/>
  <c r="C130" i="31" s="1"/>
  <c r="AA27" i="31"/>
  <c r="Z27" i="31"/>
  <c r="N129" i="31" s="1"/>
  <c r="Y27" i="31"/>
  <c r="M129" i="31" s="1"/>
  <c r="X27" i="31"/>
  <c r="L129" i="31" s="1"/>
  <c r="W27" i="31"/>
  <c r="K129" i="31" s="1"/>
  <c r="V27" i="31"/>
  <c r="J129" i="31" s="1"/>
  <c r="U27" i="31"/>
  <c r="I129" i="31" s="1"/>
  <c r="T27" i="31"/>
  <c r="H129" i="31" s="1"/>
  <c r="S27" i="31"/>
  <c r="G129" i="31" s="1"/>
  <c r="R27" i="31"/>
  <c r="F129" i="31" s="1"/>
  <c r="Q27" i="31"/>
  <c r="E129" i="31" s="1"/>
  <c r="P27" i="31"/>
  <c r="D129" i="31" s="1"/>
  <c r="O27" i="31"/>
  <c r="C129" i="31" s="1"/>
  <c r="Z26" i="31"/>
  <c r="N128" i="31" s="1"/>
  <c r="Y26" i="31"/>
  <c r="M128" i="31" s="1"/>
  <c r="X26" i="31"/>
  <c r="L128" i="31" s="1"/>
  <c r="W26" i="31"/>
  <c r="K128" i="31" s="1"/>
  <c r="V26" i="31"/>
  <c r="J128" i="31" s="1"/>
  <c r="U26" i="31"/>
  <c r="I128" i="31" s="1"/>
  <c r="T26" i="31"/>
  <c r="H128" i="31" s="1"/>
  <c r="S26" i="31"/>
  <c r="G128" i="31" s="1"/>
  <c r="R26" i="31"/>
  <c r="F128" i="31" s="1"/>
  <c r="Q26" i="31"/>
  <c r="E128" i="31" s="1"/>
  <c r="P26" i="31"/>
  <c r="D128" i="31" s="1"/>
  <c r="O26" i="31"/>
  <c r="C128" i="31" s="1"/>
  <c r="AA25" i="31"/>
  <c r="AB25" i="31" s="1"/>
  <c r="Z25" i="31"/>
  <c r="N127" i="31" s="1"/>
  <c r="Y25" i="31"/>
  <c r="M127" i="31" s="1"/>
  <c r="X25" i="31"/>
  <c r="L127" i="31" s="1"/>
  <c r="W25" i="31"/>
  <c r="K127" i="31" s="1"/>
  <c r="V25" i="31"/>
  <c r="J127" i="31" s="1"/>
  <c r="U25" i="31"/>
  <c r="I127" i="31" s="1"/>
  <c r="T25" i="31"/>
  <c r="H127" i="31" s="1"/>
  <c r="S25" i="31"/>
  <c r="G127" i="31" s="1"/>
  <c r="R25" i="31"/>
  <c r="F127" i="31" s="1"/>
  <c r="Q25" i="31"/>
  <c r="E127" i="31" s="1"/>
  <c r="P25" i="31"/>
  <c r="D127" i="31" s="1"/>
  <c r="O25" i="31"/>
  <c r="C127" i="31" s="1"/>
  <c r="AA24" i="31"/>
  <c r="AB24" i="31" s="1"/>
  <c r="Z24" i="31"/>
  <c r="N126" i="31" s="1"/>
  <c r="Y24" i="31"/>
  <c r="M126" i="31" s="1"/>
  <c r="X24" i="31"/>
  <c r="L126" i="31" s="1"/>
  <c r="W24" i="31"/>
  <c r="K126" i="31" s="1"/>
  <c r="V24" i="31"/>
  <c r="J126" i="31" s="1"/>
  <c r="U24" i="31"/>
  <c r="I126" i="31" s="1"/>
  <c r="T24" i="31"/>
  <c r="H126" i="31" s="1"/>
  <c r="S24" i="31"/>
  <c r="G126" i="31" s="1"/>
  <c r="R24" i="31"/>
  <c r="F126" i="31" s="1"/>
  <c r="Q24" i="31"/>
  <c r="E126" i="31" s="1"/>
  <c r="P24" i="31"/>
  <c r="D126" i="31" s="1"/>
  <c r="O24" i="31"/>
  <c r="C126" i="31" s="1"/>
  <c r="AA23" i="31"/>
  <c r="Z23" i="31"/>
  <c r="N125" i="31" s="1"/>
  <c r="Y23" i="31"/>
  <c r="M125" i="31" s="1"/>
  <c r="X23" i="31"/>
  <c r="L125" i="31" s="1"/>
  <c r="S23" i="31"/>
  <c r="G125" i="31" s="1"/>
  <c r="R23" i="31"/>
  <c r="F125" i="31" s="1"/>
  <c r="Q23" i="31"/>
  <c r="E125" i="31" s="1"/>
  <c r="P23" i="31"/>
  <c r="D125" i="31" s="1"/>
  <c r="O23" i="31"/>
  <c r="C125" i="31" s="1"/>
  <c r="AA22" i="31"/>
  <c r="Z22" i="31"/>
  <c r="N124" i="31" s="1"/>
  <c r="Y22" i="31"/>
  <c r="M124" i="31" s="1"/>
  <c r="X22" i="31"/>
  <c r="L124" i="31" s="1"/>
  <c r="T22" i="31"/>
  <c r="H124" i="31" s="1"/>
  <c r="S22" i="31"/>
  <c r="G124" i="31" s="1"/>
  <c r="R22" i="31"/>
  <c r="F124" i="31" s="1"/>
  <c r="Q22" i="31"/>
  <c r="E124" i="31" s="1"/>
  <c r="P22" i="31"/>
  <c r="D124" i="31" s="1"/>
  <c r="O22" i="31"/>
  <c r="C124" i="31" s="1"/>
  <c r="AA21" i="31"/>
  <c r="AB21" i="31" s="1"/>
  <c r="Z21" i="31"/>
  <c r="N123" i="31" s="1"/>
  <c r="Y21" i="31"/>
  <c r="M123" i="31" s="1"/>
  <c r="X21" i="31"/>
  <c r="L123" i="31" s="1"/>
  <c r="T21" i="31"/>
  <c r="H123" i="31" s="1"/>
  <c r="S21" i="31"/>
  <c r="G123" i="31" s="1"/>
  <c r="R21" i="31"/>
  <c r="F123" i="31" s="1"/>
  <c r="Q21" i="31"/>
  <c r="E123" i="31" s="1"/>
  <c r="P21" i="31"/>
  <c r="D123" i="31" s="1"/>
  <c r="O21" i="31"/>
  <c r="C123" i="31" s="1"/>
  <c r="AA20" i="31"/>
  <c r="Z20" i="31"/>
  <c r="N122" i="31" s="1"/>
  <c r="Y20" i="31"/>
  <c r="M122" i="31" s="1"/>
  <c r="S20" i="31"/>
  <c r="G122" i="31" s="1"/>
  <c r="R20" i="31"/>
  <c r="F122" i="31" s="1"/>
  <c r="Q20" i="31"/>
  <c r="E122" i="31" s="1"/>
  <c r="P20" i="31"/>
  <c r="D122" i="31" s="1"/>
  <c r="O20" i="31"/>
  <c r="C122" i="31" s="1"/>
  <c r="O18" i="31"/>
  <c r="E16" i="31"/>
  <c r="F16" i="31" s="1"/>
  <c r="G16" i="31" s="1"/>
  <c r="H16" i="31" s="1"/>
  <c r="I16" i="31" s="1"/>
  <c r="J16" i="31" s="1"/>
  <c r="K16" i="31" s="1"/>
  <c r="L16" i="31" s="1"/>
  <c r="M16" i="31" s="1"/>
  <c r="N16" i="31" s="1"/>
  <c r="O12" i="31"/>
  <c r="Z8" i="31"/>
  <c r="Z15" i="31" s="1"/>
  <c r="Y8" i="31"/>
  <c r="Y15" i="31" s="1"/>
  <c r="X8" i="31"/>
  <c r="X15" i="31" s="1"/>
  <c r="X20" i="31" s="1"/>
  <c r="L122" i="31" s="1"/>
  <c r="W8" i="31"/>
  <c r="W15" i="31" s="1"/>
  <c r="V8" i="31"/>
  <c r="V15" i="31" s="1"/>
  <c r="V22" i="31" s="1"/>
  <c r="J124" i="31" s="1"/>
  <c r="U8" i="31"/>
  <c r="U15" i="31" s="1"/>
  <c r="T8" i="31"/>
  <c r="T15" i="31" s="1"/>
  <c r="T23" i="31" s="1"/>
  <c r="H125" i="31" s="1"/>
  <c r="S8" i="31"/>
  <c r="S15" i="31" s="1"/>
  <c r="R8" i="31"/>
  <c r="R15" i="31" s="1"/>
  <c r="Q8" i="31"/>
  <c r="Q15" i="31" s="1"/>
  <c r="P8" i="31"/>
  <c r="P15" i="31" s="1"/>
  <c r="O8" i="31"/>
  <c r="O15" i="31" s="1"/>
  <c r="Z7" i="31"/>
  <c r="BA6" i="31" s="1"/>
  <c r="Y7" i="31"/>
  <c r="X7" i="31"/>
  <c r="W7" i="31"/>
  <c r="V7" i="31"/>
  <c r="U7" i="31"/>
  <c r="AV6" i="31" s="1"/>
  <c r="T7" i="31"/>
  <c r="AU6" i="31" s="1"/>
  <c r="S7" i="31"/>
  <c r="AT6" i="31" s="1"/>
  <c r="R7" i="31"/>
  <c r="AS6" i="31" s="1"/>
  <c r="Q7" i="31"/>
  <c r="AR6" i="31" s="1"/>
  <c r="P7" i="31"/>
  <c r="AQ6" i="31" s="1"/>
  <c r="O7" i="31"/>
  <c r="AP6" i="31" s="1"/>
  <c r="AZ6" i="31"/>
  <c r="AY6" i="31"/>
  <c r="AX6" i="31"/>
  <c r="AW6" i="31"/>
  <c r="AA3" i="31"/>
  <c r="N237" i="30"/>
  <c r="N238" i="30" s="1"/>
  <c r="M237" i="30"/>
  <c r="M238" i="30" s="1"/>
  <c r="L237" i="30"/>
  <c r="L238" i="30" s="1"/>
  <c r="K237" i="30"/>
  <c r="K238" i="30" s="1"/>
  <c r="B236" i="30"/>
  <c r="AB231" i="30"/>
  <c r="AA231" i="30"/>
  <c r="AA232" i="30" s="1"/>
  <c r="P229" i="30"/>
  <c r="P227" i="30"/>
  <c r="AB226" i="30"/>
  <c r="AA226" i="30"/>
  <c r="AB225" i="30"/>
  <c r="AB227" i="30" s="1"/>
  <c r="AA225" i="30"/>
  <c r="Q225" i="30"/>
  <c r="N225" i="30"/>
  <c r="N231" i="30" s="1"/>
  <c r="S222" i="30"/>
  <c r="T221" i="30"/>
  <c r="N221" i="30"/>
  <c r="N235" i="30" s="1"/>
  <c r="M221" i="30"/>
  <c r="M235" i="30" s="1"/>
  <c r="L221" i="30"/>
  <c r="L235" i="30" s="1"/>
  <c r="K221" i="30"/>
  <c r="K235" i="30" s="1"/>
  <c r="J221" i="30"/>
  <c r="J235" i="30" s="1"/>
  <c r="I221" i="30"/>
  <c r="I235" i="30" s="1"/>
  <c r="H221" i="30"/>
  <c r="H235" i="30" s="1"/>
  <c r="G221" i="30"/>
  <c r="G235" i="30" s="1"/>
  <c r="F221" i="30"/>
  <c r="F235" i="30" s="1"/>
  <c r="E221" i="30"/>
  <c r="E235" i="30" s="1"/>
  <c r="D221" i="30"/>
  <c r="D235" i="30" s="1"/>
  <c r="C221" i="30"/>
  <c r="C235" i="30" s="1"/>
  <c r="N219" i="30"/>
  <c r="M219" i="30"/>
  <c r="L219" i="30"/>
  <c r="K219" i="30"/>
  <c r="J219" i="30"/>
  <c r="I219" i="30"/>
  <c r="H219" i="30"/>
  <c r="G219" i="30"/>
  <c r="F219" i="30"/>
  <c r="E219" i="30"/>
  <c r="D219" i="30"/>
  <c r="C219" i="30"/>
  <c r="O218" i="30"/>
  <c r="P218" i="30" s="1"/>
  <c r="O217" i="30"/>
  <c r="P217" i="30" s="1"/>
  <c r="B217" i="30"/>
  <c r="O216" i="30"/>
  <c r="P216" i="30" s="1"/>
  <c r="B216" i="30"/>
  <c r="O215" i="30"/>
  <c r="P215" i="30" s="1"/>
  <c r="B215" i="30"/>
  <c r="O214" i="30"/>
  <c r="P214" i="30" s="1"/>
  <c r="B214" i="30"/>
  <c r="O213" i="30"/>
  <c r="P213" i="30" s="1"/>
  <c r="B213" i="30"/>
  <c r="P212" i="30"/>
  <c r="O212" i="30"/>
  <c r="B212" i="30"/>
  <c r="O211" i="30"/>
  <c r="P211" i="30" s="1"/>
  <c r="B211" i="30"/>
  <c r="O210" i="30"/>
  <c r="P210" i="30" s="1"/>
  <c r="B210" i="30"/>
  <c r="O209" i="30"/>
  <c r="P209" i="30" s="1"/>
  <c r="B209" i="30"/>
  <c r="O208" i="30"/>
  <c r="P208" i="30" s="1"/>
  <c r="B208" i="30"/>
  <c r="O207" i="30"/>
  <c r="P207" i="30" s="1"/>
  <c r="B207" i="30"/>
  <c r="O206" i="30"/>
  <c r="P206" i="30" s="1"/>
  <c r="B206" i="30"/>
  <c r="O205" i="30"/>
  <c r="P205" i="30" s="1"/>
  <c r="B205" i="30"/>
  <c r="O204" i="30"/>
  <c r="P204" i="30" s="1"/>
  <c r="B204" i="30"/>
  <c r="O203" i="30"/>
  <c r="P203" i="30" s="1"/>
  <c r="B203" i="30"/>
  <c r="P202" i="30"/>
  <c r="O202" i="30"/>
  <c r="B202" i="30"/>
  <c r="O201" i="30"/>
  <c r="P201" i="30" s="1"/>
  <c r="B201" i="30"/>
  <c r="O200" i="30"/>
  <c r="P200" i="30" s="1"/>
  <c r="B200" i="30"/>
  <c r="O199" i="30"/>
  <c r="P199" i="30" s="1"/>
  <c r="B199" i="30"/>
  <c r="O198" i="30"/>
  <c r="P198" i="30" s="1"/>
  <c r="B198" i="30"/>
  <c r="O197" i="30"/>
  <c r="P197" i="30" s="1"/>
  <c r="B197" i="30"/>
  <c r="O196" i="30"/>
  <c r="P196" i="30" s="1"/>
  <c r="B196" i="30"/>
  <c r="O195" i="30"/>
  <c r="P195" i="30" s="1"/>
  <c r="B195" i="30"/>
  <c r="O194" i="30"/>
  <c r="P194" i="30" s="1"/>
  <c r="B194" i="30"/>
  <c r="O193" i="30"/>
  <c r="P193" i="30" s="1"/>
  <c r="B193" i="30"/>
  <c r="P192" i="30"/>
  <c r="O192" i="30"/>
  <c r="B192" i="30"/>
  <c r="O191" i="30"/>
  <c r="P191" i="30" s="1"/>
  <c r="B191" i="30"/>
  <c r="O190" i="30"/>
  <c r="P190" i="30" s="1"/>
  <c r="B190" i="30"/>
  <c r="O189" i="30"/>
  <c r="P189" i="30" s="1"/>
  <c r="B189" i="30"/>
  <c r="P188" i="30"/>
  <c r="O188" i="30"/>
  <c r="B188" i="30"/>
  <c r="O187" i="30"/>
  <c r="P187" i="30" s="1"/>
  <c r="B187" i="30"/>
  <c r="O186" i="30"/>
  <c r="P186" i="30" s="1"/>
  <c r="B186" i="30"/>
  <c r="O185" i="30"/>
  <c r="P185" i="30" s="1"/>
  <c r="B185" i="30"/>
  <c r="O184" i="30"/>
  <c r="P184" i="30" s="1"/>
  <c r="B184" i="30"/>
  <c r="O183" i="30"/>
  <c r="B183" i="30"/>
  <c r="N181" i="30"/>
  <c r="M181" i="30"/>
  <c r="L181" i="30"/>
  <c r="K181" i="30"/>
  <c r="J181" i="30"/>
  <c r="I181" i="30"/>
  <c r="H181" i="30"/>
  <c r="G181" i="30"/>
  <c r="F181" i="30"/>
  <c r="E181" i="30"/>
  <c r="D181" i="30"/>
  <c r="C181" i="30"/>
  <c r="B181" i="30"/>
  <c r="M180" i="30"/>
  <c r="L180" i="30"/>
  <c r="K180" i="30"/>
  <c r="J180" i="30"/>
  <c r="I180" i="30"/>
  <c r="H180" i="30"/>
  <c r="G180" i="30"/>
  <c r="F180" i="30"/>
  <c r="E180" i="30"/>
  <c r="D180" i="30"/>
  <c r="C180" i="30"/>
  <c r="B180" i="30"/>
  <c r="N179" i="30"/>
  <c r="M179" i="30"/>
  <c r="L179" i="30"/>
  <c r="K179" i="30"/>
  <c r="J179" i="30"/>
  <c r="I179" i="30"/>
  <c r="H179" i="30"/>
  <c r="G179" i="30"/>
  <c r="F179" i="30"/>
  <c r="E179" i="30"/>
  <c r="D179" i="30"/>
  <c r="C179" i="30"/>
  <c r="B179" i="30"/>
  <c r="N178" i="30"/>
  <c r="M178" i="30"/>
  <c r="L178" i="30"/>
  <c r="K178" i="30"/>
  <c r="J178" i="30"/>
  <c r="I178" i="30"/>
  <c r="H178" i="30"/>
  <c r="G178" i="30"/>
  <c r="F178" i="30"/>
  <c r="E178" i="30"/>
  <c r="D178" i="30"/>
  <c r="C178" i="30"/>
  <c r="B178" i="30"/>
  <c r="N177" i="30"/>
  <c r="M177" i="30"/>
  <c r="L177" i="30"/>
  <c r="K177" i="30"/>
  <c r="J177" i="30"/>
  <c r="I177" i="30"/>
  <c r="H177" i="30"/>
  <c r="G177" i="30"/>
  <c r="F177" i="30"/>
  <c r="E177" i="30"/>
  <c r="D177" i="30"/>
  <c r="C177" i="30"/>
  <c r="B177" i="30"/>
  <c r="N176" i="30"/>
  <c r="M176" i="30"/>
  <c r="L176" i="30"/>
  <c r="K176" i="30"/>
  <c r="J176" i="30"/>
  <c r="I176" i="30"/>
  <c r="H176" i="30"/>
  <c r="G176" i="30"/>
  <c r="F176" i="30"/>
  <c r="E176" i="30"/>
  <c r="D176" i="30"/>
  <c r="C176" i="30"/>
  <c r="B176" i="30"/>
  <c r="N175" i="30"/>
  <c r="M175" i="30"/>
  <c r="L175" i="30"/>
  <c r="K175" i="30"/>
  <c r="J175" i="30"/>
  <c r="I175" i="30"/>
  <c r="H175" i="30"/>
  <c r="G175" i="30"/>
  <c r="F175" i="30"/>
  <c r="E175" i="30"/>
  <c r="D175" i="30"/>
  <c r="C175" i="30"/>
  <c r="B175" i="30"/>
  <c r="N174" i="30"/>
  <c r="M174" i="30"/>
  <c r="L174" i="30"/>
  <c r="K174" i="30"/>
  <c r="J174" i="30"/>
  <c r="I174" i="30"/>
  <c r="H174" i="30"/>
  <c r="G174" i="30"/>
  <c r="F174" i="30"/>
  <c r="E174" i="30"/>
  <c r="D174" i="30"/>
  <c r="C174" i="30"/>
  <c r="B174" i="30"/>
  <c r="N173" i="30"/>
  <c r="M173" i="30"/>
  <c r="L173" i="30"/>
  <c r="K173" i="30"/>
  <c r="J173" i="30"/>
  <c r="I173" i="30"/>
  <c r="H173" i="30"/>
  <c r="G173" i="30"/>
  <c r="F173" i="30"/>
  <c r="E173" i="30"/>
  <c r="D173" i="30"/>
  <c r="C173" i="30"/>
  <c r="B173" i="30"/>
  <c r="N172" i="30"/>
  <c r="M172" i="30"/>
  <c r="L172" i="30"/>
  <c r="K172" i="30"/>
  <c r="J172" i="30"/>
  <c r="I172" i="30"/>
  <c r="H172" i="30"/>
  <c r="G172" i="30"/>
  <c r="F172" i="30"/>
  <c r="E172" i="30"/>
  <c r="D172" i="30"/>
  <c r="C172" i="30"/>
  <c r="B172" i="30"/>
  <c r="N171" i="30"/>
  <c r="M171" i="30"/>
  <c r="L171" i="30"/>
  <c r="K171" i="30"/>
  <c r="J171" i="30"/>
  <c r="I171" i="30"/>
  <c r="H171" i="30"/>
  <c r="G171" i="30"/>
  <c r="F171" i="30"/>
  <c r="E171" i="30"/>
  <c r="D171" i="30"/>
  <c r="C171" i="30"/>
  <c r="B171" i="30"/>
  <c r="N170" i="30"/>
  <c r="M170" i="30"/>
  <c r="L170" i="30"/>
  <c r="K170" i="30"/>
  <c r="J170" i="30"/>
  <c r="I170" i="30"/>
  <c r="H170" i="30"/>
  <c r="G170" i="30"/>
  <c r="F170" i="30"/>
  <c r="E170" i="30"/>
  <c r="D170" i="30"/>
  <c r="C170" i="30"/>
  <c r="B170" i="30"/>
  <c r="N169" i="30"/>
  <c r="M169" i="30"/>
  <c r="L169" i="30"/>
  <c r="K169" i="30"/>
  <c r="J169" i="30"/>
  <c r="I169" i="30"/>
  <c r="H169" i="30"/>
  <c r="G169" i="30"/>
  <c r="F169" i="30"/>
  <c r="E169" i="30"/>
  <c r="D169" i="30"/>
  <c r="C169" i="30"/>
  <c r="B169" i="30"/>
  <c r="N168" i="30"/>
  <c r="M168" i="30"/>
  <c r="L168" i="30"/>
  <c r="K168" i="30"/>
  <c r="J168" i="30"/>
  <c r="I168" i="30"/>
  <c r="H168" i="30"/>
  <c r="G168" i="30"/>
  <c r="F168" i="30"/>
  <c r="E168" i="30"/>
  <c r="D168" i="30"/>
  <c r="C168" i="30"/>
  <c r="B168" i="30"/>
  <c r="N167" i="30"/>
  <c r="M167" i="30"/>
  <c r="L167" i="30"/>
  <c r="K167" i="30"/>
  <c r="J167" i="30"/>
  <c r="I167" i="30"/>
  <c r="H167" i="30"/>
  <c r="G167" i="30"/>
  <c r="F167" i="30"/>
  <c r="E167" i="30"/>
  <c r="D167" i="30"/>
  <c r="C167" i="30"/>
  <c r="B167" i="30"/>
  <c r="N166" i="30"/>
  <c r="M166" i="30"/>
  <c r="L166" i="30"/>
  <c r="K166" i="30"/>
  <c r="J166" i="30"/>
  <c r="I166" i="30"/>
  <c r="H166" i="30"/>
  <c r="G166" i="30"/>
  <c r="F166" i="30"/>
  <c r="E166" i="30"/>
  <c r="D166" i="30"/>
  <c r="C166" i="30"/>
  <c r="B166" i="30"/>
  <c r="AG124" i="30"/>
  <c r="BO15" i="30"/>
  <c r="BP15" i="30" s="1"/>
  <c r="BQ15" i="30" s="1"/>
  <c r="BR15" i="30" s="1"/>
  <c r="BS15" i="30" s="1"/>
  <c r="BT15" i="30" s="1"/>
  <c r="BU15" i="30" s="1"/>
  <c r="BV15" i="30" s="1"/>
  <c r="BW15" i="30" s="1"/>
  <c r="BX15" i="30" s="1"/>
  <c r="BY15" i="30" s="1"/>
  <c r="BZ15" i="30" s="1"/>
  <c r="AA3" i="30"/>
  <c r="Z1" i="30"/>
  <c r="Y1" i="30"/>
  <c r="X1" i="30"/>
  <c r="W1" i="30"/>
  <c r="V1" i="30"/>
  <c r="U1" i="30"/>
  <c r="T1" i="30"/>
  <c r="S1" i="30"/>
  <c r="R1" i="30"/>
  <c r="Q1" i="30"/>
  <c r="P1" i="30"/>
  <c r="O1" i="30"/>
  <c r="K220" i="30" l="1"/>
  <c r="G220" i="30"/>
  <c r="O170" i="30"/>
  <c r="P170" i="30" s="1"/>
  <c r="O178" i="30"/>
  <c r="P178" i="30" s="1"/>
  <c r="D120" i="31"/>
  <c r="C220" i="30"/>
  <c r="T220" i="30" s="1"/>
  <c r="O174" i="30"/>
  <c r="P174" i="30" s="1"/>
  <c r="CN4" i="30"/>
  <c r="CO4" i="30" s="1"/>
  <c r="CP4" i="30" s="1"/>
  <c r="CQ4" i="30" s="1"/>
  <c r="CR4" i="30" s="1"/>
  <c r="CS4" i="30" s="1"/>
  <c r="CT4" i="30" s="1"/>
  <c r="CU4" i="30" s="1"/>
  <c r="CV4" i="30" s="1"/>
  <c r="CW4" i="30" s="1"/>
  <c r="CX4" i="30" s="1"/>
  <c r="CY4" i="30" s="1"/>
  <c r="CZ4" i="30" s="1"/>
  <c r="DA4" i="30" s="1"/>
  <c r="DB4" i="30" s="1"/>
  <c r="DC4" i="30" s="1"/>
  <c r="DD4" i="30" s="1"/>
  <c r="DE4" i="30" s="1"/>
  <c r="DF4" i="30" s="1"/>
  <c r="DG4" i="30" s="1"/>
  <c r="DH4" i="30" s="1"/>
  <c r="DI4" i="30" s="1"/>
  <c r="DJ4" i="30" s="1"/>
  <c r="DK4" i="30" s="1"/>
  <c r="DL4" i="30" s="1"/>
  <c r="CM11" i="30"/>
  <c r="F220" i="30"/>
  <c r="N220" i="30"/>
  <c r="N234" i="30" s="1"/>
  <c r="O169" i="30"/>
  <c r="P169" i="30" s="1"/>
  <c r="O173" i="30"/>
  <c r="P173" i="30" s="1"/>
  <c r="O177" i="30"/>
  <c r="P177" i="30" s="1"/>
  <c r="O221" i="30"/>
  <c r="P221" i="30" s="1"/>
  <c r="E220" i="30"/>
  <c r="E182" i="30" s="1"/>
  <c r="I220" i="30"/>
  <c r="M220" i="30"/>
  <c r="O168" i="30"/>
  <c r="P168" i="30" s="1"/>
  <c r="O172" i="30"/>
  <c r="P172" i="30" s="1"/>
  <c r="O176" i="30"/>
  <c r="P176" i="30" s="1"/>
  <c r="O181" i="30"/>
  <c r="P181" i="30" s="1"/>
  <c r="O219" i="30"/>
  <c r="P219" i="30" s="1"/>
  <c r="AC225" i="30"/>
  <c r="O163" i="31"/>
  <c r="P163" i="31" s="1"/>
  <c r="J220" i="30"/>
  <c r="O180" i="30"/>
  <c r="P180" i="30" s="1"/>
  <c r="D220" i="30"/>
  <c r="D234" i="30" s="1"/>
  <c r="H220" i="30"/>
  <c r="L220" i="30"/>
  <c r="L234" i="30" s="1"/>
  <c r="O167" i="30"/>
  <c r="P167" i="30" s="1"/>
  <c r="O171" i="30"/>
  <c r="P171" i="30" s="1"/>
  <c r="O175" i="30"/>
  <c r="P175" i="30" s="1"/>
  <c r="O179" i="30"/>
  <c r="P179" i="30" s="1"/>
  <c r="AC226" i="30"/>
  <c r="AC231" i="30"/>
  <c r="G120" i="31"/>
  <c r="O164" i="31"/>
  <c r="P164" i="31" s="1"/>
  <c r="E120" i="31"/>
  <c r="M120" i="31"/>
  <c r="O162" i="31"/>
  <c r="P162" i="31" s="1"/>
  <c r="O161" i="31"/>
  <c r="P161" i="31" s="1"/>
  <c r="F120" i="31"/>
  <c r="O221" i="31"/>
  <c r="AB230" i="31" s="1"/>
  <c r="AB232" i="31" s="1"/>
  <c r="L220" i="31"/>
  <c r="L222" i="31" s="1"/>
  <c r="O148" i="31"/>
  <c r="P148" i="31" s="1"/>
  <c r="AA7" i="31"/>
  <c r="O127" i="31"/>
  <c r="P127" i="31" s="1"/>
  <c r="O146" i="31"/>
  <c r="P146" i="31" s="1"/>
  <c r="O126" i="31"/>
  <c r="P126" i="31" s="1"/>
  <c r="O128" i="31"/>
  <c r="P128" i="31" s="1"/>
  <c r="O145" i="31"/>
  <c r="P145" i="31" s="1"/>
  <c r="O147" i="31"/>
  <c r="P147" i="31" s="1"/>
  <c r="O154" i="31"/>
  <c r="P154" i="31" s="1"/>
  <c r="O157" i="31"/>
  <c r="P157" i="31" s="1"/>
  <c r="O159" i="31"/>
  <c r="P159" i="31" s="1"/>
  <c r="O165" i="31"/>
  <c r="P165" i="31" s="1"/>
  <c r="O167" i="31"/>
  <c r="P167" i="31" s="1"/>
  <c r="O169" i="31"/>
  <c r="P169" i="31" s="1"/>
  <c r="O171" i="31"/>
  <c r="P171" i="31" s="1"/>
  <c r="O173" i="31"/>
  <c r="P173" i="31" s="1"/>
  <c r="O175" i="31"/>
  <c r="P175" i="31" s="1"/>
  <c r="O177" i="31"/>
  <c r="P177" i="31" s="1"/>
  <c r="O179" i="31"/>
  <c r="P179" i="31" s="1"/>
  <c r="P183" i="31"/>
  <c r="Q221" i="31"/>
  <c r="AA119" i="31"/>
  <c r="I120" i="31"/>
  <c r="K120" i="31"/>
  <c r="H120" i="31"/>
  <c r="J120" i="31"/>
  <c r="L120" i="31"/>
  <c r="L234" i="31"/>
  <c r="O130" i="31"/>
  <c r="P130" i="31" s="1"/>
  <c r="O132" i="31"/>
  <c r="P132" i="31" s="1"/>
  <c r="D220" i="31"/>
  <c r="D234" i="31" s="1"/>
  <c r="F220" i="31"/>
  <c r="F234" i="31" s="1"/>
  <c r="O131" i="31"/>
  <c r="P131" i="31" s="1"/>
  <c r="AA15" i="31"/>
  <c r="O13" i="31"/>
  <c r="P13" i="31"/>
  <c r="P12" i="31" s="1"/>
  <c r="Q13" i="31"/>
  <c r="R13" i="31"/>
  <c r="S13" i="31"/>
  <c r="T13" i="31"/>
  <c r="U23" i="31"/>
  <c r="I125" i="31" s="1"/>
  <c r="U20" i="31"/>
  <c r="I122" i="31" s="1"/>
  <c r="U13" i="31"/>
  <c r="U22" i="31"/>
  <c r="I124" i="31" s="1"/>
  <c r="U21" i="31"/>
  <c r="I123" i="31" s="1"/>
  <c r="V13" i="31"/>
  <c r="W23" i="31"/>
  <c r="K125" i="31" s="1"/>
  <c r="W20" i="31"/>
  <c r="K122" i="31" s="1"/>
  <c r="W13" i="31"/>
  <c r="W22" i="31"/>
  <c r="K124" i="31" s="1"/>
  <c r="W21" i="31"/>
  <c r="K123" i="31" s="1"/>
  <c r="X13" i="31"/>
  <c r="Y13" i="31"/>
  <c r="Z13" i="31"/>
  <c r="E19" i="31"/>
  <c r="Q19" i="31" s="1"/>
  <c r="Q14" i="31" s="1"/>
  <c r="Q1" i="31" s="1"/>
  <c r="C19" i="31"/>
  <c r="O19" i="31" s="1"/>
  <c r="O14" i="31" s="1"/>
  <c r="O1" i="31" s="1"/>
  <c r="O16" i="31"/>
  <c r="P16" i="31" s="1"/>
  <c r="Q16" i="31" s="1"/>
  <c r="R16" i="31" s="1"/>
  <c r="S16" i="31" s="1"/>
  <c r="T16" i="31" s="1"/>
  <c r="U16" i="31" s="1"/>
  <c r="V16" i="31" s="1"/>
  <c r="W16" i="31" s="1"/>
  <c r="X16" i="31" s="1"/>
  <c r="Y16" i="31" s="1"/>
  <c r="Z16" i="31" s="1"/>
  <c r="L19" i="31"/>
  <c r="X19" i="31" s="1"/>
  <c r="X14" i="31" s="1"/>
  <c r="X1" i="31" s="1"/>
  <c r="J19" i="31"/>
  <c r="V19" i="31" s="1"/>
  <c r="V14" i="31" s="1"/>
  <c r="V1" i="31" s="1"/>
  <c r="D19" i="31"/>
  <c r="P19" i="31" s="1"/>
  <c r="P14" i="31" s="1"/>
  <c r="P1" i="31" s="1"/>
  <c r="AN20" i="31"/>
  <c r="AL20" i="31"/>
  <c r="AJ20" i="31"/>
  <c r="AH20" i="31"/>
  <c r="AF20" i="31"/>
  <c r="AD20" i="31"/>
  <c r="AM20" i="31"/>
  <c r="AK20" i="31"/>
  <c r="AI20" i="31"/>
  <c r="AG20" i="31"/>
  <c r="AE20" i="31"/>
  <c r="AC20" i="31"/>
  <c r="AA226" i="31"/>
  <c r="AB59" i="31"/>
  <c r="AB118" i="31" s="1"/>
  <c r="T20" i="31"/>
  <c r="H122" i="31" s="1"/>
  <c r="H220" i="31" s="1"/>
  <c r="H234" i="31" s="1"/>
  <c r="V20" i="31"/>
  <c r="J122" i="31" s="1"/>
  <c r="V23" i="31"/>
  <c r="J125" i="31" s="1"/>
  <c r="AA26" i="31"/>
  <c r="AA225" i="31" s="1"/>
  <c r="C220" i="31"/>
  <c r="C234" i="31" s="1"/>
  <c r="E220" i="31"/>
  <c r="E234" i="31" s="1"/>
  <c r="G220" i="31"/>
  <c r="G234" i="31" s="1"/>
  <c r="M220" i="31"/>
  <c r="M234" i="31" s="1"/>
  <c r="V21" i="31"/>
  <c r="J123" i="31" s="1"/>
  <c r="O129" i="31"/>
  <c r="P129" i="31" s="1"/>
  <c r="O133" i="31"/>
  <c r="P133" i="31" s="1"/>
  <c r="O134" i="31"/>
  <c r="P134" i="31" s="1"/>
  <c r="O135" i="31"/>
  <c r="P135" i="31" s="1"/>
  <c r="O136" i="31"/>
  <c r="P136" i="31" s="1"/>
  <c r="O137" i="31"/>
  <c r="P137" i="31" s="1"/>
  <c r="O138" i="31"/>
  <c r="P138" i="31" s="1"/>
  <c r="O139" i="31"/>
  <c r="P139" i="31" s="1"/>
  <c r="O140" i="31"/>
  <c r="P140" i="31" s="1"/>
  <c r="O141" i="31"/>
  <c r="P141" i="31" s="1"/>
  <c r="O142" i="31"/>
  <c r="P142" i="31" s="1"/>
  <c r="O143" i="31"/>
  <c r="P143" i="31" s="1"/>
  <c r="O144" i="31"/>
  <c r="P144" i="31" s="1"/>
  <c r="O149" i="31"/>
  <c r="P149" i="31" s="1"/>
  <c r="O150" i="31"/>
  <c r="P150" i="31" s="1"/>
  <c r="O151" i="31"/>
  <c r="P151" i="31" s="1"/>
  <c r="O152" i="31"/>
  <c r="P152" i="31" s="1"/>
  <c r="O153" i="31"/>
  <c r="P153" i="31" s="1"/>
  <c r="D235" i="31"/>
  <c r="D219" i="31"/>
  <c r="P117" i="31" s="1"/>
  <c r="F235" i="31"/>
  <c r="F219" i="31"/>
  <c r="R117" i="31" s="1"/>
  <c r="H235" i="31"/>
  <c r="H219" i="31"/>
  <c r="T117" i="31" s="1"/>
  <c r="J235" i="31"/>
  <c r="J219" i="31"/>
  <c r="V117" i="31" s="1"/>
  <c r="L235" i="31"/>
  <c r="L219" i="31"/>
  <c r="X117" i="31" s="1"/>
  <c r="N235" i="31"/>
  <c r="N219" i="31"/>
  <c r="Z117" i="31" s="1"/>
  <c r="O156" i="31"/>
  <c r="P156" i="31" s="1"/>
  <c r="O158" i="31"/>
  <c r="P158" i="31" s="1"/>
  <c r="O160" i="31"/>
  <c r="P160" i="31" s="1"/>
  <c r="O166" i="31"/>
  <c r="P166" i="31" s="1"/>
  <c r="O168" i="31"/>
  <c r="P168" i="31" s="1"/>
  <c r="O170" i="31"/>
  <c r="P170" i="31" s="1"/>
  <c r="O172" i="31"/>
  <c r="P172" i="31" s="1"/>
  <c r="O174" i="31"/>
  <c r="P174" i="31" s="1"/>
  <c r="O176" i="31"/>
  <c r="P176" i="31" s="1"/>
  <c r="O178" i="31"/>
  <c r="P178" i="31" s="1"/>
  <c r="O180" i="31"/>
  <c r="P180" i="31" s="1"/>
  <c r="O155" i="31"/>
  <c r="P155" i="31" s="1"/>
  <c r="C235" i="31"/>
  <c r="C219" i="31"/>
  <c r="E235" i="31"/>
  <c r="E219" i="31"/>
  <c r="Q117" i="31" s="1"/>
  <c r="G235" i="31"/>
  <c r="G219" i="31"/>
  <c r="S117" i="31" s="1"/>
  <c r="I235" i="31"/>
  <c r="I219" i="31"/>
  <c r="U117" i="31" s="1"/>
  <c r="K235" i="31"/>
  <c r="K219" i="31"/>
  <c r="W117" i="31" s="1"/>
  <c r="M235" i="31"/>
  <c r="M219" i="31"/>
  <c r="Y117" i="31" s="1"/>
  <c r="P221" i="31"/>
  <c r="Z80" i="31"/>
  <c r="N181" i="31" s="1"/>
  <c r="N220" i="31" s="1"/>
  <c r="N118" i="31"/>
  <c r="N120" i="31" s="1"/>
  <c r="O119" i="31"/>
  <c r="AA231" i="31" s="1"/>
  <c r="AA232" i="31" s="1"/>
  <c r="C120" i="31"/>
  <c r="H234" i="30"/>
  <c r="H222" i="30"/>
  <c r="H232" i="30" s="1"/>
  <c r="H182" i="30"/>
  <c r="C234" i="30"/>
  <c r="O234" i="30" s="1"/>
  <c r="C222" i="30"/>
  <c r="C232" i="30" s="1"/>
  <c r="G234" i="30"/>
  <c r="G222" i="30"/>
  <c r="G232" i="30" s="1"/>
  <c r="G182" i="30"/>
  <c r="I234" i="30"/>
  <c r="I222" i="30"/>
  <c r="I232" i="30" s="1"/>
  <c r="I182" i="30"/>
  <c r="K234" i="30"/>
  <c r="K222" i="30"/>
  <c r="K232" i="30" s="1"/>
  <c r="K182" i="30"/>
  <c r="M234" i="30"/>
  <c r="M222" i="30"/>
  <c r="M232" i="30" s="1"/>
  <c r="M182" i="30"/>
  <c r="O235" i="30"/>
  <c r="F234" i="30"/>
  <c r="F222" i="30"/>
  <c r="F232" i="30" s="1"/>
  <c r="F182" i="30"/>
  <c r="J234" i="30"/>
  <c r="J222" i="30"/>
  <c r="J232" i="30" s="1"/>
  <c r="J182" i="30"/>
  <c r="L222" i="30"/>
  <c r="L232" i="30" s="1"/>
  <c r="L182" i="30"/>
  <c r="O166" i="30"/>
  <c r="P183" i="30"/>
  <c r="Q221" i="30"/>
  <c r="AA227" i="30"/>
  <c r="AC227" i="30" s="1"/>
  <c r="E234" i="30" l="1"/>
  <c r="D182" i="30"/>
  <c r="N182" i="30"/>
  <c r="C182" i="30"/>
  <c r="D222" i="30"/>
  <c r="D232" i="30" s="1"/>
  <c r="H19" i="31"/>
  <c r="T19" i="31" s="1"/>
  <c r="T14" i="31" s="1"/>
  <c r="T1" i="31" s="1"/>
  <c r="AB120" i="31"/>
  <c r="AB230" i="30"/>
  <c r="AB232" i="30" s="1"/>
  <c r="AC232" i="30" s="1"/>
  <c r="E222" i="30"/>
  <c r="E232" i="30" s="1"/>
  <c r="N222" i="30"/>
  <c r="N232" i="30" s="1"/>
  <c r="AA227" i="31"/>
  <c r="AB226" i="31"/>
  <c r="AC231" i="31"/>
  <c r="L182" i="31"/>
  <c r="O124" i="31"/>
  <c r="P124" i="31" s="1"/>
  <c r="O125" i="31"/>
  <c r="P125" i="31" s="1"/>
  <c r="D182" i="31"/>
  <c r="O123" i="31"/>
  <c r="P123" i="31" s="1"/>
  <c r="O122" i="31"/>
  <c r="D222" i="31"/>
  <c r="F182" i="31"/>
  <c r="F222" i="31"/>
  <c r="F19" i="31"/>
  <c r="R19" i="31" s="1"/>
  <c r="R14" i="31" s="1"/>
  <c r="R1" i="31" s="1"/>
  <c r="N19" i="31"/>
  <c r="Z19" i="31" s="1"/>
  <c r="Z14" i="31" s="1"/>
  <c r="Z1" i="31" s="1"/>
  <c r="G19" i="31"/>
  <c r="S19" i="31" s="1"/>
  <c r="S14" i="31" s="1"/>
  <c r="S1" i="31" s="1"/>
  <c r="N234" i="31"/>
  <c r="N222" i="31"/>
  <c r="N182" i="31"/>
  <c r="AB121" i="31"/>
  <c r="O120" i="31"/>
  <c r="AA120" i="31"/>
  <c r="AC120" i="31" s="1"/>
  <c r="P219" i="31"/>
  <c r="O117" i="31"/>
  <c r="M222" i="31"/>
  <c r="M182" i="31"/>
  <c r="E222" i="31"/>
  <c r="E182" i="31"/>
  <c r="T220" i="31"/>
  <c r="C222" i="31"/>
  <c r="C182" i="31"/>
  <c r="AA118" i="31"/>
  <c r="AC232" i="31"/>
  <c r="J220" i="31"/>
  <c r="J234" i="31" s="1"/>
  <c r="K19" i="31"/>
  <c r="W19" i="31" s="1"/>
  <c r="W14" i="31" s="1"/>
  <c r="W1" i="31" s="1"/>
  <c r="K220" i="31"/>
  <c r="K234" i="31" s="1"/>
  <c r="I220" i="31"/>
  <c r="I234" i="31" s="1"/>
  <c r="G222" i="31"/>
  <c r="G182" i="31"/>
  <c r="H222" i="31"/>
  <c r="H182" i="31"/>
  <c r="Q12" i="31"/>
  <c r="R12" i="31" s="1"/>
  <c r="S12" i="31" s="1"/>
  <c r="T12" i="31" s="1"/>
  <c r="U12" i="31" s="1"/>
  <c r="V12" i="31" s="1"/>
  <c r="W12" i="31" s="1"/>
  <c r="X12" i="31" s="1"/>
  <c r="Y12" i="31" s="1"/>
  <c r="Z12" i="31" s="1"/>
  <c r="O235" i="31"/>
  <c r="O118" i="31"/>
  <c r="O181" i="31"/>
  <c r="P181" i="31" s="1"/>
  <c r="AC226" i="31"/>
  <c r="I19" i="31"/>
  <c r="U19" i="31" s="1"/>
  <c r="U14" i="31" s="1"/>
  <c r="U1" i="31" s="1"/>
  <c r="M19" i="31"/>
  <c r="Y19" i="31" s="1"/>
  <c r="Y14" i="31" s="1"/>
  <c r="Y1" i="31" s="1"/>
  <c r="O220" i="30"/>
  <c r="P166" i="30"/>
  <c r="O182" i="30"/>
  <c r="P182" i="30" s="1"/>
  <c r="AB122" i="31" l="1"/>
  <c r="AB225" i="31"/>
  <c r="AC225" i="31" s="1"/>
  <c r="P122" i="31"/>
  <c r="O234" i="31"/>
  <c r="N231" i="31"/>
  <c r="H25" i="1"/>
  <c r="I222" i="31"/>
  <c r="I182" i="31"/>
  <c r="O182" i="31"/>
  <c r="P182" i="31" s="1"/>
  <c r="O220" i="31"/>
  <c r="K222" i="31"/>
  <c r="K182" i="31"/>
  <c r="J222" i="31"/>
  <c r="J182" i="31"/>
  <c r="AA12" i="31"/>
  <c r="O222" i="30"/>
  <c r="P220" i="30"/>
  <c r="AB227" i="31" l="1"/>
  <c r="AC227" i="31" s="1"/>
  <c r="K23" i="1"/>
  <c r="P220" i="31"/>
  <c r="P222" i="30"/>
  <c r="O225" i="30"/>
  <c r="P222" i="31" l="1"/>
  <c r="O225" i="31"/>
  <c r="P225" i="30"/>
  <c r="O231" i="30"/>
  <c r="P231" i="30" s="1"/>
  <c r="P225" i="31" l="1"/>
  <c r="O231" i="31"/>
  <c r="P231" i="31" s="1"/>
  <c r="D38" i="29" l="1"/>
  <c r="F47" i="29"/>
  <c r="E47" i="29"/>
  <c r="T109" i="2" l="1"/>
  <c r="T108" i="2"/>
  <c r="R110" i="2"/>
  <c r="R109" i="2"/>
  <c r="R108" i="2"/>
  <c r="D15" i="29" l="1"/>
  <c r="H7" i="26"/>
  <c r="G7" i="26"/>
  <c r="G6" i="26"/>
  <c r="H6" i="26"/>
  <c r="H5" i="26"/>
  <c r="G5" i="26"/>
  <c r="G4" i="26"/>
  <c r="H4" i="26"/>
  <c r="V111" i="2" l="1"/>
  <c r="X111" i="2" s="1"/>
  <c r="U111" i="2"/>
  <c r="W111" i="2" s="1"/>
  <c r="T110" i="2"/>
  <c r="R104" i="2"/>
  <c r="T104" i="2" s="1"/>
  <c r="U96" i="2"/>
  <c r="T96" i="2"/>
  <c r="S96" i="2"/>
  <c r="R95" i="2"/>
  <c r="T95" i="2" s="1"/>
  <c r="R94" i="2"/>
  <c r="T94" i="2" s="1"/>
  <c r="R93" i="2"/>
  <c r="T93" i="2" s="1"/>
  <c r="X89" i="2"/>
  <c r="W89" i="2"/>
  <c r="S89" i="2"/>
  <c r="T89" i="2" s="1"/>
  <c r="R88" i="2"/>
  <c r="T88" i="2" s="1"/>
  <c r="R87" i="2"/>
  <c r="T87" i="2" s="1"/>
  <c r="R86" i="2"/>
  <c r="T86" i="2" s="1"/>
  <c r="V96" i="2" l="1"/>
  <c r="Y89" i="2"/>
  <c r="Y111" i="2"/>
  <c r="AB73" i="2" l="1"/>
  <c r="AB69" i="2"/>
  <c r="AB65" i="2"/>
  <c r="AB64" i="2"/>
  <c r="AB62" i="2"/>
  <c r="AB61" i="2"/>
  <c r="J88" i="2" l="1"/>
  <c r="V81" i="1" l="1"/>
  <c r="W81" i="1"/>
  <c r="T73" i="1"/>
  <c r="K40" i="1"/>
  <c r="C92" i="22" l="1"/>
  <c r="F56" i="22" l="1"/>
  <c r="E56" i="22"/>
  <c r="D56" i="22"/>
  <c r="C56" i="22"/>
  <c r="F55" i="22"/>
  <c r="E55" i="22"/>
  <c r="D55" i="22"/>
  <c r="C55" i="22"/>
  <c r="F54" i="22"/>
  <c r="E54" i="22"/>
  <c r="D54" i="22"/>
  <c r="C54" i="22"/>
  <c r="F53" i="22"/>
  <c r="E53" i="22"/>
  <c r="D53" i="22"/>
  <c r="C53" i="22"/>
  <c r="F52" i="22"/>
  <c r="E52" i="22"/>
  <c r="D52" i="22"/>
  <c r="C52" i="22"/>
  <c r="F36" i="22"/>
  <c r="E36" i="22"/>
  <c r="C36" i="22"/>
  <c r="F23" i="22"/>
  <c r="E23" i="22"/>
  <c r="D23" i="22"/>
  <c r="C23" i="22"/>
  <c r="F19" i="22"/>
  <c r="E19" i="22"/>
  <c r="D19" i="22"/>
  <c r="C19" i="22"/>
  <c r="F15" i="22"/>
  <c r="E15" i="22"/>
  <c r="D15" i="22"/>
  <c r="C15" i="22"/>
  <c r="A11" i="22"/>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C57" i="22" l="1"/>
  <c r="C25" i="22"/>
  <c r="D57" i="22"/>
  <c r="F25" i="22"/>
  <c r="E25" i="22"/>
  <c r="D90" i="22" s="1"/>
  <c r="D25" i="22"/>
  <c r="D87" i="22"/>
  <c r="D86" i="22"/>
  <c r="D83" i="22"/>
  <c r="D85" i="22"/>
  <c r="D89" i="22"/>
  <c r="D84" i="22"/>
  <c r="D88" i="22"/>
  <c r="E57" i="22"/>
  <c r="F57" i="22"/>
  <c r="P40" i="9"/>
  <c r="P39" i="9"/>
  <c r="P37" i="9"/>
  <c r="D6" i="26"/>
  <c r="J6" i="26" s="1"/>
  <c r="C6" i="26"/>
  <c r="P10" i="9"/>
  <c r="P7" i="9"/>
  <c r="I77" i="2"/>
  <c r="I79" i="2" s="1"/>
  <c r="S41" i="1"/>
  <c r="O45" i="9"/>
  <c r="M45" i="9"/>
  <c r="L45" i="9"/>
  <c r="I45" i="9"/>
  <c r="G45" i="9"/>
  <c r="E45" i="9"/>
  <c r="D45" i="9"/>
  <c r="O41" i="9"/>
  <c r="M41" i="9"/>
  <c r="K41" i="9"/>
  <c r="I41" i="9"/>
  <c r="G41" i="9"/>
  <c r="F41" i="9"/>
  <c r="E41" i="9"/>
  <c r="D41" i="9"/>
  <c r="O16" i="9"/>
  <c r="N16" i="9"/>
  <c r="M16" i="9"/>
  <c r="M17" i="9" s="1"/>
  <c r="L16" i="9"/>
  <c r="K16" i="9"/>
  <c r="J16" i="9"/>
  <c r="I16" i="9"/>
  <c r="I17" i="9" s="1"/>
  <c r="H16" i="9"/>
  <c r="G16" i="9"/>
  <c r="F16" i="9"/>
  <c r="F17" i="9" s="1"/>
  <c r="E16" i="9"/>
  <c r="E17" i="9" s="1"/>
  <c r="D16" i="9"/>
  <c r="N13" i="9"/>
  <c r="L13" i="9"/>
  <c r="I13" i="9"/>
  <c r="G13" i="9"/>
  <c r="F13" i="9"/>
  <c r="E13" i="9"/>
  <c r="D13" i="9"/>
  <c r="T73" i="2"/>
  <c r="T69" i="2"/>
  <c r="R103" i="2" s="1"/>
  <c r="T103" i="2" s="1"/>
  <c r="T67" i="2"/>
  <c r="T65" i="2"/>
  <c r="R102" i="2" s="1"/>
  <c r="T64" i="2"/>
  <c r="T102" i="2" s="1"/>
  <c r="T62" i="2"/>
  <c r="R101" i="2" s="1"/>
  <c r="T61" i="2"/>
  <c r="T101" i="2" s="1"/>
  <c r="U36" i="2"/>
  <c r="S67" i="2" s="1"/>
  <c r="U37" i="2"/>
  <c r="U38" i="2"/>
  <c r="J62" i="2" s="1"/>
  <c r="U39" i="2"/>
  <c r="U34" i="2"/>
  <c r="U35" i="2"/>
  <c r="U32" i="2"/>
  <c r="U33" i="2"/>
  <c r="K45" i="1"/>
  <c r="K4" i="1"/>
  <c r="G159" i="1"/>
  <c r="G15" i="1"/>
  <c r="I15" i="1" s="1"/>
  <c r="J15" i="1"/>
  <c r="K25" i="1"/>
  <c r="G25" i="1" s="1"/>
  <c r="N68" i="1"/>
  <c r="K82" i="1"/>
  <c r="K86" i="1"/>
  <c r="K87" i="1"/>
  <c r="H106" i="1"/>
  <c r="K106" i="1" s="1"/>
  <c r="K146" i="1" s="1"/>
  <c r="N66" i="1"/>
  <c r="L31" i="2"/>
  <c r="K39" i="1"/>
  <c r="K41" i="1"/>
  <c r="F16" i="5"/>
  <c r="K16" i="5"/>
  <c r="F15" i="5" s="1"/>
  <c r="I41" i="2"/>
  <c r="J47" i="2"/>
  <c r="K15" i="2"/>
  <c r="G38" i="5"/>
  <c r="H38" i="5"/>
  <c r="H39" i="5" s="1"/>
  <c r="H40" i="5" s="1"/>
  <c r="I38" i="5"/>
  <c r="I42" i="2"/>
  <c r="K69" i="1"/>
  <c r="M69" i="1"/>
  <c r="N24" i="3"/>
  <c r="M24" i="3"/>
  <c r="H24" i="3"/>
  <c r="G24" i="3"/>
  <c r="H34" i="3" s="1"/>
  <c r="L24" i="3"/>
  <c r="M21" i="3"/>
  <c r="K43" i="3" s="1"/>
  <c r="N41" i="3"/>
  <c r="K21" i="3"/>
  <c r="K35" i="3" s="1"/>
  <c r="N40" i="3"/>
  <c r="N39" i="3"/>
  <c r="N38" i="3"/>
  <c r="N37" i="3"/>
  <c r="N36" i="3"/>
  <c r="N35" i="3"/>
  <c r="K34" i="3"/>
  <c r="K33" i="3"/>
  <c r="H28" i="1"/>
  <c r="F24" i="3"/>
  <c r="H51" i="1"/>
  <c r="K32" i="1"/>
  <c r="K33" i="1"/>
  <c r="K34" i="1"/>
  <c r="K75" i="1"/>
  <c r="K77" i="1"/>
  <c r="K78" i="1"/>
  <c r="G83" i="1"/>
  <c r="K83" i="1" s="1"/>
  <c r="E43" i="3"/>
  <c r="E42" i="3"/>
  <c r="H41" i="3"/>
  <c r="E41" i="3"/>
  <c r="H40" i="3"/>
  <c r="E40" i="3"/>
  <c r="H39" i="3"/>
  <c r="E39" i="3"/>
  <c r="H38" i="3"/>
  <c r="E38" i="3"/>
  <c r="H37" i="3"/>
  <c r="E37" i="3"/>
  <c r="H36" i="3"/>
  <c r="E36" i="3"/>
  <c r="H35" i="3"/>
  <c r="E35" i="3"/>
  <c r="E34" i="3"/>
  <c r="E33" i="3"/>
  <c r="E32" i="3"/>
  <c r="F33" i="5"/>
  <c r="A4" i="5"/>
  <c r="A5" i="5"/>
  <c r="N21" i="3"/>
  <c r="L21" i="3"/>
  <c r="K57" i="1"/>
  <c r="G57" i="1" s="1"/>
  <c r="K131" i="1"/>
  <c r="K140" i="1" s="1"/>
  <c r="K135" i="1"/>
  <c r="G130" i="1"/>
  <c r="G129" i="1"/>
  <c r="G26" i="1"/>
  <c r="G27" i="1"/>
  <c r="I79" i="1"/>
  <c r="I88" i="1"/>
  <c r="H88" i="1"/>
  <c r="G106" i="1"/>
  <c r="G158" i="1"/>
  <c r="H158" i="1"/>
  <c r="H159" i="1"/>
  <c r="H160" i="1"/>
  <c r="D43" i="3"/>
  <c r="D42" i="3"/>
  <c r="D41" i="3"/>
  <c r="D40" i="3"/>
  <c r="D39" i="3"/>
  <c r="D38" i="3"/>
  <c r="D37" i="3"/>
  <c r="D36" i="3"/>
  <c r="D35" i="3"/>
  <c r="D34" i="3"/>
  <c r="D33" i="3"/>
  <c r="D32" i="3"/>
  <c r="A5" i="3"/>
  <c r="A4" i="3"/>
  <c r="C44" i="3"/>
  <c r="A5" i="2"/>
  <c r="A4" i="2"/>
  <c r="K41" i="2"/>
  <c r="L41" i="2" s="1"/>
  <c r="K42" i="2"/>
  <c r="L42" i="2"/>
  <c r="K43" i="2"/>
  <c r="L43" i="2" s="1"/>
  <c r="N32" i="3"/>
  <c r="K42" i="3"/>
  <c r="K57" i="2"/>
  <c r="K58" i="2"/>
  <c r="E62" i="9"/>
  <c r="E63" i="9" s="1"/>
  <c r="G62" i="9"/>
  <c r="G63" i="9" s="1"/>
  <c r="I62" i="9"/>
  <c r="I63" i="9" s="1"/>
  <c r="K62" i="9"/>
  <c r="K63" i="9" s="1"/>
  <c r="K71" i="9" s="1"/>
  <c r="M62" i="9"/>
  <c r="M63" i="9" s="1"/>
  <c r="O62" i="9"/>
  <c r="O63" i="9" s="1"/>
  <c r="J17" i="9"/>
  <c r="P44" i="9"/>
  <c r="D62" i="9"/>
  <c r="D63" i="9" s="1"/>
  <c r="H62" i="9"/>
  <c r="H63" i="9" s="1"/>
  <c r="L62" i="9"/>
  <c r="L63" i="9" s="1"/>
  <c r="P12" i="9"/>
  <c r="K40" i="3"/>
  <c r="K15" i="1" l="1"/>
  <c r="K20" i="1" s="1"/>
  <c r="K125" i="1" s="1"/>
  <c r="K38" i="3"/>
  <c r="F13" i="29"/>
  <c r="H126" i="1"/>
  <c r="K88" i="1"/>
  <c r="K51" i="1"/>
  <c r="H46" i="1"/>
  <c r="K46" i="1" s="1"/>
  <c r="K47" i="1" s="1"/>
  <c r="D11" i="29"/>
  <c r="F11" i="29" s="1"/>
  <c r="D80" i="22"/>
  <c r="D82" i="22"/>
  <c r="D91" i="22"/>
  <c r="N25" i="22"/>
  <c r="O25" i="22" s="1"/>
  <c r="D81" i="22"/>
  <c r="K32" i="3"/>
  <c r="K28" i="1"/>
  <c r="G28" i="1" s="1"/>
  <c r="G126" i="1" s="1"/>
  <c r="H33" i="3"/>
  <c r="H43" i="3"/>
  <c r="H42" i="3"/>
  <c r="H62" i="1"/>
  <c r="G62" i="1" s="1"/>
  <c r="H128" i="2"/>
  <c r="H133" i="2" s="1"/>
  <c r="H129" i="2"/>
  <c r="H134" i="2" s="1"/>
  <c r="H139" i="2" s="1"/>
  <c r="H32" i="3"/>
  <c r="E48" i="9"/>
  <c r="E56" i="9" s="1"/>
  <c r="M65" i="9"/>
  <c r="J61" i="2"/>
  <c r="H125" i="1"/>
  <c r="P43" i="9"/>
  <c r="P45" i="9" s="1"/>
  <c r="S73" i="2"/>
  <c r="O146" i="2" s="1"/>
  <c r="J64" i="2"/>
  <c r="S69" i="2"/>
  <c r="O139" i="2" s="1"/>
  <c r="J60" i="2"/>
  <c r="S65" i="2"/>
  <c r="J55" i="2"/>
  <c r="S64" i="2"/>
  <c r="J54" i="2"/>
  <c r="S62" i="2"/>
  <c r="J52" i="2"/>
  <c r="K22" i="3" s="1"/>
  <c r="L39" i="3" s="1"/>
  <c r="S61" i="2"/>
  <c r="J51" i="2"/>
  <c r="M22" i="3" s="1"/>
  <c r="N22" i="3" s="1"/>
  <c r="K23" i="3"/>
  <c r="M36" i="3" s="1"/>
  <c r="S71" i="1"/>
  <c r="S72" i="1"/>
  <c r="S70" i="1"/>
  <c r="J38" i="5"/>
  <c r="D61" i="29"/>
  <c r="K52" i="1"/>
  <c r="K36" i="1"/>
  <c r="E20" i="9"/>
  <c r="E34" i="9" s="1"/>
  <c r="E6" i="26"/>
  <c r="I6" i="26"/>
  <c r="K6" i="26" s="1"/>
  <c r="K17" i="9"/>
  <c r="P16" i="9"/>
  <c r="G17" i="9"/>
  <c r="G20" i="9" s="1"/>
  <c r="G34" i="9" s="1"/>
  <c r="N45" i="9"/>
  <c r="N17" i="9"/>
  <c r="N20" i="9" s="1"/>
  <c r="D17" i="9"/>
  <c r="D20" i="9" s="1"/>
  <c r="P8" i="9"/>
  <c r="P9" i="9"/>
  <c r="L17" i="9"/>
  <c r="L20" i="9" s="1"/>
  <c r="H17" i="9"/>
  <c r="P15" i="9"/>
  <c r="C7" i="26"/>
  <c r="I7" i="26" s="1"/>
  <c r="J13" i="9"/>
  <c r="J20" i="9" s="1"/>
  <c r="J34" i="9" s="1"/>
  <c r="H13" i="9"/>
  <c r="H20" i="9" s="1"/>
  <c r="H34" i="9" s="1"/>
  <c r="N41" i="9"/>
  <c r="J41" i="9"/>
  <c r="H61" i="2"/>
  <c r="P11" i="9"/>
  <c r="D7" i="26"/>
  <c r="J7" i="26" s="1"/>
  <c r="G62" i="2"/>
  <c r="AG15" i="40" s="1"/>
  <c r="K42" i="1"/>
  <c r="O48" i="9"/>
  <c r="O56" i="9" s="1"/>
  <c r="J45" i="9"/>
  <c r="H45" i="9"/>
  <c r="N62" i="9"/>
  <c r="N63" i="9" s="1"/>
  <c r="N70" i="9" s="1"/>
  <c r="J62" i="9"/>
  <c r="J63" i="9" s="1"/>
  <c r="J64" i="9" s="1"/>
  <c r="F62" i="9"/>
  <c r="F63" i="9" s="1"/>
  <c r="F70" i="9" s="1"/>
  <c r="F45" i="9"/>
  <c r="F48" i="9" s="1"/>
  <c r="H41" i="9"/>
  <c r="L41" i="9"/>
  <c r="L48" i="9" s="1"/>
  <c r="O64" i="9"/>
  <c r="O65" i="9"/>
  <c r="G71" i="9"/>
  <c r="I65" i="9"/>
  <c r="I70" i="9"/>
  <c r="E65" i="9"/>
  <c r="M48" i="9"/>
  <c r="M56" i="9" s="1"/>
  <c r="I158" i="1"/>
  <c r="F20" i="9"/>
  <c r="F34" i="9" s="1"/>
  <c r="I20" i="9"/>
  <c r="M13" i="9"/>
  <c r="M20" i="9" s="1"/>
  <c r="M34" i="9" s="1"/>
  <c r="N42" i="3"/>
  <c r="N33" i="3"/>
  <c r="N34" i="3"/>
  <c r="N5" i="1"/>
  <c r="M5" i="1"/>
  <c r="M39" i="1" s="1"/>
  <c r="K45" i="9"/>
  <c r="K48" i="9" s="1"/>
  <c r="K79" i="1"/>
  <c r="K143" i="1" s="1"/>
  <c r="O70" i="9"/>
  <c r="M64" i="9"/>
  <c r="M70" i="9"/>
  <c r="K65" i="9"/>
  <c r="K64" i="9"/>
  <c r="I64" i="9"/>
  <c r="G70" i="9"/>
  <c r="G65" i="9"/>
  <c r="E64" i="9"/>
  <c r="H131" i="1"/>
  <c r="I25" i="1"/>
  <c r="I27" i="1"/>
  <c r="I26" i="1"/>
  <c r="K41" i="3"/>
  <c r="K37" i="3"/>
  <c r="K36" i="3"/>
  <c r="K39" i="3"/>
  <c r="O17" i="9"/>
  <c r="G48" i="9"/>
  <c r="N43" i="3"/>
  <c r="F14" i="5"/>
  <c r="P38" i="9"/>
  <c r="P41" i="9" s="1"/>
  <c r="I48" i="9"/>
  <c r="I159" i="1"/>
  <c r="N69" i="1"/>
  <c r="K13" i="9"/>
  <c r="O13" i="9"/>
  <c r="L71" i="9"/>
  <c r="L64" i="9"/>
  <c r="L65" i="9"/>
  <c r="L70" i="9"/>
  <c r="H65" i="9"/>
  <c r="H64" i="9"/>
  <c r="H71" i="9"/>
  <c r="H70" i="9"/>
  <c r="D71" i="9"/>
  <c r="D70" i="9"/>
  <c r="D64" i="9"/>
  <c r="D65" i="9"/>
  <c r="J65" i="9"/>
  <c r="D48" i="9"/>
  <c r="G64" i="9"/>
  <c r="Q64" i="9" s="1"/>
  <c r="E70" i="9"/>
  <c r="E71" i="9"/>
  <c r="I71" i="9"/>
  <c r="M71" i="9"/>
  <c r="K70" i="9"/>
  <c r="O71" i="9"/>
  <c r="K141" i="1" l="1"/>
  <c r="O128" i="2"/>
  <c r="L37" i="3"/>
  <c r="O37" i="3" s="1"/>
  <c r="P37" i="3" s="1"/>
  <c r="L38" i="3"/>
  <c r="G20" i="1"/>
  <c r="G125" i="1" s="1"/>
  <c r="AL15" i="40"/>
  <c r="AL21" i="40" s="1"/>
  <c r="AG21" i="40"/>
  <c r="AH15" i="40"/>
  <c r="K139" i="1"/>
  <c r="N48" i="9"/>
  <c r="D44" i="29"/>
  <c r="D17" i="29"/>
  <c r="M40" i="1"/>
  <c r="M76" i="1"/>
  <c r="N40" i="1"/>
  <c r="N76" i="1"/>
  <c r="D92" i="22"/>
  <c r="K126" i="1"/>
  <c r="K127" i="1" s="1"/>
  <c r="F71" i="9"/>
  <c r="M37" i="3"/>
  <c r="S78" i="1"/>
  <c r="O129" i="2"/>
  <c r="S79" i="1"/>
  <c r="O134" i="2"/>
  <c r="U79" i="1"/>
  <c r="O133" i="2"/>
  <c r="J71" i="9"/>
  <c r="Q70" i="9"/>
  <c r="K20" i="9"/>
  <c r="K34" i="9" s="1"/>
  <c r="AE69" i="2"/>
  <c r="G139" i="2"/>
  <c r="Q139" i="2"/>
  <c r="H127" i="1"/>
  <c r="L41" i="3"/>
  <c r="J48" i="9"/>
  <c r="J56" i="9" s="1"/>
  <c r="J59" i="9" s="1"/>
  <c r="N65" i="9"/>
  <c r="N71" i="9"/>
  <c r="F65" i="9"/>
  <c r="P65" i="9" s="1"/>
  <c r="M35" i="3"/>
  <c r="M38" i="3"/>
  <c r="O38" i="3" s="1"/>
  <c r="P38" i="3" s="1"/>
  <c r="L42" i="3"/>
  <c r="I94" i="2"/>
  <c r="U77" i="2"/>
  <c r="P13" i="9"/>
  <c r="O20" i="9"/>
  <c r="R20" i="9" s="1"/>
  <c r="L40" i="3"/>
  <c r="L22" i="3"/>
  <c r="L32" i="3"/>
  <c r="L33" i="3"/>
  <c r="G88" i="1"/>
  <c r="K144" i="1"/>
  <c r="K71" i="1"/>
  <c r="K142" i="1"/>
  <c r="K134" i="1"/>
  <c r="K138" i="1" s="1"/>
  <c r="H48" i="9"/>
  <c r="H56" i="9" s="1"/>
  <c r="H59" i="9" s="1"/>
  <c r="L23" i="3"/>
  <c r="I93" i="2"/>
  <c r="S71" i="2"/>
  <c r="S80" i="1"/>
  <c r="U80" i="1"/>
  <c r="K25" i="3"/>
  <c r="L35" i="3"/>
  <c r="L36" i="3"/>
  <c r="O36" i="3" s="1"/>
  <c r="P36" i="3" s="1"/>
  <c r="AC26" i="2"/>
  <c r="U78" i="1"/>
  <c r="L43" i="3"/>
  <c r="L34" i="3"/>
  <c r="M41" i="3"/>
  <c r="M39" i="3"/>
  <c r="O39" i="3" s="1"/>
  <c r="P39" i="3" s="1"/>
  <c r="M23" i="3"/>
  <c r="M34" i="3" s="1"/>
  <c r="U70" i="1"/>
  <c r="U71" i="1"/>
  <c r="U72" i="1"/>
  <c r="M40" i="3"/>
  <c r="N23" i="3"/>
  <c r="N25" i="3" s="1"/>
  <c r="D39" i="29"/>
  <c r="D48" i="29"/>
  <c r="L34" i="9"/>
  <c r="E59" i="9"/>
  <c r="F64" i="9"/>
  <c r="N64" i="9"/>
  <c r="G33" i="2"/>
  <c r="P17" i="9"/>
  <c r="K7" i="26"/>
  <c r="X96" i="2"/>
  <c r="W96" i="2"/>
  <c r="N34" i="9"/>
  <c r="D34" i="9"/>
  <c r="G34" i="2"/>
  <c r="Y73" i="1"/>
  <c r="Y81" i="1"/>
  <c r="X73" i="1"/>
  <c r="E7" i="26"/>
  <c r="X81" i="1"/>
  <c r="W71" i="2"/>
  <c r="P144" i="2" s="1"/>
  <c r="K62" i="2"/>
  <c r="L62" i="2" s="1"/>
  <c r="U71" i="2"/>
  <c r="G61" i="2"/>
  <c r="P35" i="1"/>
  <c r="L56" i="9"/>
  <c r="F56" i="9"/>
  <c r="F59" i="9" s="1"/>
  <c r="J70" i="9"/>
  <c r="P70" i="9" s="1"/>
  <c r="P48" i="9"/>
  <c r="P56" i="9" s="1"/>
  <c r="M59" i="9"/>
  <c r="I34" i="9"/>
  <c r="N56" i="9"/>
  <c r="I56" i="9"/>
  <c r="G56" i="9"/>
  <c r="G59" i="9" s="1"/>
  <c r="N33" i="1"/>
  <c r="N75" i="1"/>
  <c r="N77" i="1"/>
  <c r="N39" i="1"/>
  <c r="N41" i="1"/>
  <c r="N32" i="1"/>
  <c r="N78" i="1"/>
  <c r="N35" i="1"/>
  <c r="N55" i="1"/>
  <c r="N136" i="1" s="1"/>
  <c r="N34" i="1"/>
  <c r="G79" i="1"/>
  <c r="K90" i="1"/>
  <c r="K56" i="9"/>
  <c r="M32" i="1"/>
  <c r="M41" i="1"/>
  <c r="M34" i="1"/>
  <c r="M55" i="1"/>
  <c r="M33" i="1"/>
  <c r="K5" i="1"/>
  <c r="M77" i="1"/>
  <c r="M35" i="1"/>
  <c r="M78" i="1"/>
  <c r="M75" i="1"/>
  <c r="I28" i="1"/>
  <c r="D56" i="9"/>
  <c r="P64" i="9" l="1"/>
  <c r="M136" i="1"/>
  <c r="D50" i="29"/>
  <c r="AM15" i="40"/>
  <c r="AM21" i="40" s="1"/>
  <c r="AI15" i="40"/>
  <c r="AH21" i="40"/>
  <c r="P71" i="9"/>
  <c r="P72" i="9" s="1"/>
  <c r="O40" i="3"/>
  <c r="P40" i="3" s="1"/>
  <c r="O34" i="9"/>
  <c r="O59" i="9" s="1"/>
  <c r="T71" i="2"/>
  <c r="O144" i="2"/>
  <c r="Q144" i="2" s="1"/>
  <c r="D5" i="26"/>
  <c r="G133" i="2" s="1"/>
  <c r="Q133" i="2"/>
  <c r="Z73" i="1"/>
  <c r="P136" i="1"/>
  <c r="O35" i="3"/>
  <c r="P35" i="3" s="1"/>
  <c r="G127" i="1"/>
  <c r="U73" i="1"/>
  <c r="U74" i="1" s="1"/>
  <c r="G144" i="2"/>
  <c r="R144" i="2"/>
  <c r="J139" i="2"/>
  <c r="L25" i="3"/>
  <c r="M33" i="3"/>
  <c r="O33" i="3" s="1"/>
  <c r="P33" i="3" s="1"/>
  <c r="O41" i="3"/>
  <c r="P41" i="3" s="1"/>
  <c r="G35" i="2"/>
  <c r="Y96" i="2"/>
  <c r="G29" i="2"/>
  <c r="H43" i="2" s="1"/>
  <c r="M43" i="2" s="1"/>
  <c r="P20" i="9"/>
  <c r="P34" i="9" s="1"/>
  <c r="Q34" i="9" s="1"/>
  <c r="G28" i="2"/>
  <c r="K59" i="9"/>
  <c r="M32" i="3"/>
  <c r="O32" i="3" s="1"/>
  <c r="P32" i="3" s="1"/>
  <c r="G76" i="2"/>
  <c r="Q104" i="2"/>
  <c r="D4" i="26"/>
  <c r="G128" i="2" s="1"/>
  <c r="O34" i="3"/>
  <c r="P34" i="3" s="1"/>
  <c r="K149" i="1"/>
  <c r="K159" i="1" s="1"/>
  <c r="K147" i="1"/>
  <c r="L59" i="9"/>
  <c r="D59" i="9"/>
  <c r="N59" i="9"/>
  <c r="M25" i="3"/>
  <c r="M43" i="3"/>
  <c r="O43" i="3" s="1"/>
  <c r="P43" i="3" s="1"/>
  <c r="M42" i="3"/>
  <c r="O42" i="3" s="1"/>
  <c r="P42" i="3" s="1"/>
  <c r="M79" i="1"/>
  <c r="M143" i="1" s="1"/>
  <c r="Z81" i="1"/>
  <c r="I61" i="2"/>
  <c r="K61" i="2"/>
  <c r="L61" i="2" s="1"/>
  <c r="N42" i="1"/>
  <c r="S55" i="1" s="1"/>
  <c r="I59" i="9"/>
  <c r="N79" i="1"/>
  <c r="M42" i="1"/>
  <c r="M36" i="1"/>
  <c r="N36" i="1"/>
  <c r="H45" i="2" l="1"/>
  <c r="H46" i="2" s="1"/>
  <c r="G46" i="2"/>
  <c r="M7" i="1"/>
  <c r="M150" i="1" s="1"/>
  <c r="AI21" i="40"/>
  <c r="AN15" i="40"/>
  <c r="AN21" i="40" s="1"/>
  <c r="Q134" i="2"/>
  <c r="Q135" i="2" s="1"/>
  <c r="Q71" i="9"/>
  <c r="C5" i="26" s="1"/>
  <c r="G134" i="2" s="1"/>
  <c r="J134" i="2" s="1"/>
  <c r="G160" i="1"/>
  <c r="S20" i="9"/>
  <c r="D5" i="29"/>
  <c r="D8" i="29" s="1"/>
  <c r="D19" i="29" s="1"/>
  <c r="R48" i="9"/>
  <c r="M141" i="1"/>
  <c r="J5" i="26"/>
  <c r="AE64" i="2"/>
  <c r="S54" i="1"/>
  <c r="N141" i="1"/>
  <c r="S62" i="1"/>
  <c r="N143" i="1"/>
  <c r="P143" i="1" s="1"/>
  <c r="J133" i="2"/>
  <c r="Q65" i="9"/>
  <c r="Q129" i="2"/>
  <c r="J4" i="26"/>
  <c r="Q128" i="2"/>
  <c r="P66" i="9"/>
  <c r="J128" i="2"/>
  <c r="J144" i="2"/>
  <c r="K144" i="2"/>
  <c r="S144" i="2"/>
  <c r="T144" i="2" s="1"/>
  <c r="I43" i="2"/>
  <c r="H30" i="5"/>
  <c r="H33" i="5" s="1"/>
  <c r="G30" i="2"/>
  <c r="N7" i="1" s="1"/>
  <c r="AE61" i="2"/>
  <c r="P44" i="3"/>
  <c r="S104" i="2"/>
  <c r="V104" i="2" s="1"/>
  <c r="X104" i="2" s="1"/>
  <c r="U104" i="2"/>
  <c r="W104" i="2" s="1"/>
  <c r="P141" i="1" l="1"/>
  <c r="H62" i="2"/>
  <c r="H93" i="2" s="1"/>
  <c r="J93" i="2" s="1"/>
  <c r="I160" i="1"/>
  <c r="K7" i="1"/>
  <c r="D37" i="29" s="1"/>
  <c r="J35" i="2"/>
  <c r="J135" i="2"/>
  <c r="E5" i="26"/>
  <c r="AE65" i="2"/>
  <c r="I5" i="26"/>
  <c r="K5" i="26" s="1"/>
  <c r="G135" i="2"/>
  <c r="Q72" i="9"/>
  <c r="Q94" i="2"/>
  <c r="S94" i="2" s="1"/>
  <c r="V94" i="2" s="1"/>
  <c r="X94" i="2" s="1"/>
  <c r="C43" i="39"/>
  <c r="D43" i="39" s="1"/>
  <c r="E43" i="39" s="1"/>
  <c r="F43" i="39" s="1"/>
  <c r="F5" i="29"/>
  <c r="J8" i="26"/>
  <c r="M46" i="2"/>
  <c r="W18" i="40"/>
  <c r="AB18" i="40" s="1"/>
  <c r="M18" i="40"/>
  <c r="C18" i="40"/>
  <c r="Q93" i="2"/>
  <c r="U93" i="2" s="1"/>
  <c r="C43" i="22"/>
  <c r="I46" i="2"/>
  <c r="Q95" i="2"/>
  <c r="U95" i="2" s="1"/>
  <c r="W95" i="2" s="1"/>
  <c r="N150" i="1"/>
  <c r="K46" i="2"/>
  <c r="L46" i="2" s="1"/>
  <c r="C4" i="26"/>
  <c r="Q66" i="9"/>
  <c r="Q130" i="2"/>
  <c r="Q148" i="2" s="1"/>
  <c r="L144" i="2"/>
  <c r="M144" i="2" s="1"/>
  <c r="P59" i="9"/>
  <c r="P60" i="9"/>
  <c r="Y104" i="2"/>
  <c r="D41" i="29"/>
  <c r="D53" i="29" s="1"/>
  <c r="U94" i="2"/>
  <c r="W94" i="2" s="1"/>
  <c r="H94" i="2"/>
  <c r="J94" i="2" s="1"/>
  <c r="G78" i="2"/>
  <c r="M62" i="2"/>
  <c r="AC30" i="2" s="1"/>
  <c r="I62" i="2"/>
  <c r="G79" i="2" s="1"/>
  <c r="M8" i="1"/>
  <c r="M121" i="1" s="1"/>
  <c r="N8" i="1"/>
  <c r="K150" i="1"/>
  <c r="K151" i="1" s="1"/>
  <c r="N59" i="1" l="1"/>
  <c r="N56" i="1"/>
  <c r="N121" i="1"/>
  <c r="M62" i="1"/>
  <c r="M59" i="1"/>
  <c r="N18" i="1"/>
  <c r="N16" i="1"/>
  <c r="N14" i="1"/>
  <c r="M13" i="1"/>
  <c r="M18" i="1"/>
  <c r="M16" i="1"/>
  <c r="M14" i="1"/>
  <c r="F37" i="29"/>
  <c r="M84" i="1"/>
  <c r="M85" i="1"/>
  <c r="O25" i="1"/>
  <c r="P25" i="1" s="1"/>
  <c r="N84" i="1"/>
  <c r="N85" i="1"/>
  <c r="S93" i="2"/>
  <c r="V93" i="2" s="1"/>
  <c r="X93" i="2" s="1"/>
  <c r="D18" i="40"/>
  <c r="H18" i="40"/>
  <c r="I18" i="40" s="1"/>
  <c r="R18" i="40"/>
  <c r="N18" i="40"/>
  <c r="W93" i="2"/>
  <c r="C64" i="39"/>
  <c r="D43" i="22"/>
  <c r="C64" i="22"/>
  <c r="S95" i="2"/>
  <c r="V95" i="2" s="1"/>
  <c r="X95" i="2" s="1"/>
  <c r="Y95" i="2" s="1"/>
  <c r="G129" i="2"/>
  <c r="I4" i="26"/>
  <c r="AE62" i="2"/>
  <c r="AE73" i="2" s="1"/>
  <c r="E4" i="26"/>
  <c r="E8" i="26" s="1"/>
  <c r="Q39" i="1"/>
  <c r="E38" i="29"/>
  <c r="E44" i="29"/>
  <c r="E59" i="29"/>
  <c r="E60" i="29"/>
  <c r="E39" i="29"/>
  <c r="E61" i="29"/>
  <c r="E48" i="29"/>
  <c r="E46" i="29"/>
  <c r="E50" i="29"/>
  <c r="F38" i="29"/>
  <c r="F59" i="29"/>
  <c r="F44" i="29"/>
  <c r="F60" i="29"/>
  <c r="F39" i="29"/>
  <c r="F61" i="29"/>
  <c r="F48" i="29"/>
  <c r="F46" i="29"/>
  <c r="F50" i="29"/>
  <c r="E37" i="29"/>
  <c r="Y94" i="2"/>
  <c r="W97" i="2"/>
  <c r="G80" i="2"/>
  <c r="N117" i="1"/>
  <c r="N86" i="1"/>
  <c r="N118" i="1"/>
  <c r="N15" i="1"/>
  <c r="N26" i="1"/>
  <c r="G15" i="5"/>
  <c r="I15" i="5" s="1"/>
  <c r="S21" i="1"/>
  <c r="N63" i="1"/>
  <c r="N145" i="1" s="1"/>
  <c r="N46" i="1"/>
  <c r="N113" i="1"/>
  <c r="N109" i="1"/>
  <c r="N120" i="1"/>
  <c r="N50" i="1"/>
  <c r="N82" i="1"/>
  <c r="N45" i="1"/>
  <c r="N129" i="1"/>
  <c r="N25" i="1"/>
  <c r="N87" i="1"/>
  <c r="N17" i="1"/>
  <c r="N130" i="1"/>
  <c r="N83" i="1"/>
  <c r="N51" i="1"/>
  <c r="N106" i="1"/>
  <c r="N115" i="1"/>
  <c r="N116" i="1"/>
  <c r="N13" i="1"/>
  <c r="N27" i="1"/>
  <c r="N111" i="1"/>
  <c r="G14" i="5"/>
  <c r="N62" i="1"/>
  <c r="M87" i="1"/>
  <c r="M86" i="1"/>
  <c r="M63" i="1"/>
  <c r="M145" i="1" s="1"/>
  <c r="M51" i="1"/>
  <c r="M25" i="1"/>
  <c r="M15" i="1"/>
  <c r="M116" i="1"/>
  <c r="M115" i="1"/>
  <c r="M106" i="1"/>
  <c r="M56" i="1"/>
  <c r="M57" i="1" s="1"/>
  <c r="M130" i="1"/>
  <c r="M50" i="1"/>
  <c r="M111" i="1"/>
  <c r="M46" i="1"/>
  <c r="M27" i="1"/>
  <c r="M117" i="1"/>
  <c r="M45" i="1"/>
  <c r="M17" i="1"/>
  <c r="M109" i="1"/>
  <c r="M120" i="1"/>
  <c r="M118" i="1"/>
  <c r="M83" i="1"/>
  <c r="M129" i="1"/>
  <c r="M26" i="1"/>
  <c r="M82" i="1"/>
  <c r="M113" i="1"/>
  <c r="K8" i="1"/>
  <c r="N64" i="1" l="1"/>
  <c r="S61" i="1" s="1"/>
  <c r="P145" i="1"/>
  <c r="M122" i="1"/>
  <c r="N122" i="1"/>
  <c r="R12" i="1" s="1"/>
  <c r="S12" i="1" s="1"/>
  <c r="M64" i="1"/>
  <c r="N20" i="1"/>
  <c r="M20" i="1"/>
  <c r="Y93" i="2"/>
  <c r="Y97" i="2" s="1"/>
  <c r="M137" i="1"/>
  <c r="N57" i="1"/>
  <c r="N137" i="1"/>
  <c r="O18" i="40"/>
  <c r="T18" i="40" s="1"/>
  <c r="S18" i="40"/>
  <c r="D64" i="39"/>
  <c r="E43" i="22"/>
  <c r="D64" i="22"/>
  <c r="X97" i="2"/>
  <c r="J129" i="2"/>
  <c r="J130" i="2" s="1"/>
  <c r="J148" i="2" s="1"/>
  <c r="G130" i="2"/>
  <c r="G148" i="2" s="1"/>
  <c r="I8" i="26"/>
  <c r="K8" i="26" s="1"/>
  <c r="N37" i="2" s="1"/>
  <c r="J85" i="2" s="1"/>
  <c r="K4" i="26"/>
  <c r="M131" i="1"/>
  <c r="F41" i="29"/>
  <c r="E41" i="29"/>
  <c r="G37" i="29" s="1"/>
  <c r="N47" i="1"/>
  <c r="S56" i="1"/>
  <c r="M47" i="1"/>
  <c r="M52" i="1"/>
  <c r="M142" i="1" s="1"/>
  <c r="N28" i="1"/>
  <c r="N52" i="1"/>
  <c r="N142" i="1" s="1"/>
  <c r="G16" i="5"/>
  <c r="I14" i="5"/>
  <c r="I16" i="5" s="1"/>
  <c r="I18" i="5" s="1"/>
  <c r="M88" i="1"/>
  <c r="M90" i="1" s="1"/>
  <c r="N88" i="1"/>
  <c r="N90" i="1" s="1"/>
  <c r="M28" i="1"/>
  <c r="N131" i="1"/>
  <c r="M71" i="1" l="1"/>
  <c r="N71" i="1"/>
  <c r="Y56" i="1"/>
  <c r="S58" i="1"/>
  <c r="M149" i="1"/>
  <c r="N149" i="1"/>
  <c r="O149" i="1" s="1"/>
  <c r="R13" i="1"/>
  <c r="S13" i="1" s="1"/>
  <c r="P142" i="1"/>
  <c r="N147" i="1"/>
  <c r="P137" i="1"/>
  <c r="M147" i="1"/>
  <c r="E64" i="39"/>
  <c r="F64" i="39"/>
  <c r="F43" i="22"/>
  <c r="F64" i="22" s="1"/>
  <c r="E64" i="22"/>
  <c r="G44" i="29"/>
  <c r="G46" i="29"/>
  <c r="G38" i="29"/>
  <c r="G39" i="29"/>
  <c r="G48" i="29"/>
  <c r="M151" i="1"/>
  <c r="R20" i="1"/>
  <c r="G16" i="2"/>
  <c r="U67" i="2" s="1"/>
  <c r="S57" i="1"/>
  <c r="R11" i="1"/>
  <c r="R17" i="1"/>
  <c r="S17" i="1" s="1"/>
  <c r="AB79" i="1"/>
  <c r="R22" i="1"/>
  <c r="G32" i="5"/>
  <c r="I32" i="5" s="1"/>
  <c r="G31" i="5"/>
  <c r="I31" i="5" s="1"/>
  <c r="G27" i="5"/>
  <c r="G30" i="5"/>
  <c r="I30" i="5" s="1"/>
  <c r="K30" i="5" s="1"/>
  <c r="G25" i="5"/>
  <c r="G26" i="5"/>
  <c r="I26" i="5" s="1"/>
  <c r="S63" i="1" l="1"/>
  <c r="U63" i="1" s="1"/>
  <c r="AB71" i="1"/>
  <c r="AB149" i="1" s="1"/>
  <c r="G41" i="29"/>
  <c r="G50" i="29"/>
  <c r="K16" i="2"/>
  <c r="I66" i="2"/>
  <c r="N36" i="2" s="1"/>
  <c r="AC28" i="2"/>
  <c r="AD28" i="2" s="1"/>
  <c r="AD30" i="2" s="1"/>
  <c r="J84" i="2"/>
  <c r="S11" i="1"/>
  <c r="S26" i="1" s="1"/>
  <c r="R15" i="1"/>
  <c r="S15" i="1" s="1"/>
  <c r="S29" i="1" s="1"/>
  <c r="R49" i="1"/>
  <c r="I29" i="5"/>
  <c r="K29" i="5" s="1"/>
  <c r="I27" i="5"/>
  <c r="I28" i="5"/>
  <c r="K28" i="5" s="1"/>
  <c r="K26" i="5"/>
  <c r="M31" i="5"/>
  <c r="K31" i="5"/>
  <c r="G33" i="5"/>
  <c r="I33" i="5" s="1"/>
  <c r="K33" i="5" s="1"/>
  <c r="I25" i="5"/>
  <c r="M32" i="5"/>
  <c r="K32" i="5"/>
  <c r="S20" i="1"/>
  <c r="R31" i="1"/>
  <c r="R23" i="1"/>
  <c r="U64" i="2" l="1"/>
  <c r="S102" i="2" s="1"/>
  <c r="V102" i="2" s="1"/>
  <c r="X102" i="2" s="1"/>
  <c r="U61" i="2"/>
  <c r="U69" i="2"/>
  <c r="Q103" i="2" s="1"/>
  <c r="U103" i="2" s="1"/>
  <c r="W103" i="2" s="1"/>
  <c r="N151" i="1"/>
  <c r="I157" i="1"/>
  <c r="S66" i="1" s="1"/>
  <c r="U66" i="1" s="1"/>
  <c r="G17" i="2"/>
  <c r="N153" i="1"/>
  <c r="I67" i="2"/>
  <c r="L51" i="2" s="1"/>
  <c r="L63" i="2" s="1"/>
  <c r="U62" i="2"/>
  <c r="C38" i="22" s="1"/>
  <c r="U73" i="2"/>
  <c r="P146" i="2" s="1"/>
  <c r="J86" i="2"/>
  <c r="J90" i="2" s="1"/>
  <c r="U65" i="2"/>
  <c r="Q102" i="2" s="1"/>
  <c r="U102" i="2" s="1"/>
  <c r="W102" i="2" s="1"/>
  <c r="Y102" i="2" s="1"/>
  <c r="R24" i="1"/>
  <c r="R26" i="1" s="1"/>
  <c r="K25" i="5"/>
  <c r="I37" i="5"/>
  <c r="I39" i="5" s="1"/>
  <c r="I40" i="5" s="1"/>
  <c r="K27" i="5"/>
  <c r="M27" i="5"/>
  <c r="K68" i="2" l="1"/>
  <c r="G14" i="2"/>
  <c r="G45" i="2" s="1"/>
  <c r="E38" i="22"/>
  <c r="E38" i="39"/>
  <c r="S103" i="2"/>
  <c r="V103" i="2" s="1"/>
  <c r="X103" i="2" s="1"/>
  <c r="Y103" i="2" s="1"/>
  <c r="I161" i="1"/>
  <c r="AE30" i="2"/>
  <c r="G63" i="2"/>
  <c r="K63" i="2" s="1"/>
  <c r="L54" i="2"/>
  <c r="S101" i="2"/>
  <c r="V101" i="2" s="1"/>
  <c r="X101" i="2" s="1"/>
  <c r="J96" i="2"/>
  <c r="W61" i="2" s="1"/>
  <c r="Q101" i="2"/>
  <c r="U101" i="2" s="1"/>
  <c r="W101" i="2" s="1"/>
  <c r="G52" i="2"/>
  <c r="K52" i="2" s="1"/>
  <c r="G55" i="2"/>
  <c r="K55" i="2" s="1"/>
  <c r="L59" i="2"/>
  <c r="G59" i="2"/>
  <c r="K59" i="2" s="1"/>
  <c r="L58" i="2"/>
  <c r="G51" i="2"/>
  <c r="K51" i="2" s="1"/>
  <c r="L64" i="2"/>
  <c r="G54" i="2"/>
  <c r="K54" i="2" s="1"/>
  <c r="L52" i="2"/>
  <c r="L60" i="2"/>
  <c r="L57" i="2"/>
  <c r="G64" i="2"/>
  <c r="K64" i="2" s="1"/>
  <c r="L55" i="2"/>
  <c r="G60" i="2"/>
  <c r="K60" i="2" s="1"/>
  <c r="R34" i="1"/>
  <c r="W62" i="2" l="1"/>
  <c r="C42" i="39"/>
  <c r="D42" i="39" s="1"/>
  <c r="M45" i="2"/>
  <c r="N46" i="2" s="1"/>
  <c r="C44" i="39"/>
  <c r="F38" i="39"/>
  <c r="Q86" i="2"/>
  <c r="S86" i="2" s="1"/>
  <c r="V86" i="2" s="1"/>
  <c r="X86" i="2" s="1"/>
  <c r="G47" i="2"/>
  <c r="M47" i="2" s="1"/>
  <c r="C42" i="22"/>
  <c r="C63" i="22" s="1"/>
  <c r="C65" i="22" s="1"/>
  <c r="G18" i="2"/>
  <c r="K45" i="2"/>
  <c r="K47" i="2" s="1"/>
  <c r="L47" i="2" s="1"/>
  <c r="G37" i="5"/>
  <c r="J37" i="5" s="1"/>
  <c r="J39" i="5" s="1"/>
  <c r="J40" i="5" s="1"/>
  <c r="Q88" i="2"/>
  <c r="U88" i="2" s="1"/>
  <c r="W88" i="2" s="1"/>
  <c r="W17" i="40"/>
  <c r="M17" i="40"/>
  <c r="C17" i="40"/>
  <c r="I45" i="2"/>
  <c r="I47" i="2" s="1"/>
  <c r="Q87" i="2"/>
  <c r="S87" i="2" s="1"/>
  <c r="V87" i="2" s="1"/>
  <c r="X87" i="2" s="1"/>
  <c r="C59" i="39"/>
  <c r="E59" i="39"/>
  <c r="D38" i="22"/>
  <c r="C59" i="22"/>
  <c r="F38" i="22"/>
  <c r="E59" i="22"/>
  <c r="T78" i="1"/>
  <c r="W78" i="1" s="1"/>
  <c r="Y78" i="1" s="1"/>
  <c r="V61" i="2"/>
  <c r="E39" i="39" s="1"/>
  <c r="F39" i="39" s="1"/>
  <c r="G22" i="3"/>
  <c r="P128" i="2"/>
  <c r="R128" i="2" s="1"/>
  <c r="S128" i="2" s="1"/>
  <c r="X105" i="2"/>
  <c r="Y101" i="2"/>
  <c r="Y105" i="2" s="1"/>
  <c r="W105" i="2"/>
  <c r="W64" i="2"/>
  <c r="W73" i="2"/>
  <c r="W69" i="2"/>
  <c r="W65" i="2"/>
  <c r="G39" i="5"/>
  <c r="G40" i="5" s="1"/>
  <c r="D42" i="22" l="1"/>
  <c r="C63" i="39"/>
  <c r="C65" i="39" s="1"/>
  <c r="I129" i="2"/>
  <c r="I134" i="2" s="1"/>
  <c r="E40" i="39"/>
  <c r="F40" i="39"/>
  <c r="D44" i="39"/>
  <c r="E42" i="39"/>
  <c r="L45" i="2"/>
  <c r="L29" i="5"/>
  <c r="M29" i="5" s="1"/>
  <c r="R71" i="1"/>
  <c r="V71" i="1" s="1"/>
  <c r="X71" i="1" s="1"/>
  <c r="E23" i="3"/>
  <c r="G23" i="3" s="1"/>
  <c r="L25" i="5"/>
  <c r="M25" i="5" s="1"/>
  <c r="R70" i="1"/>
  <c r="V70" i="1" s="1"/>
  <c r="X70" i="1" s="1"/>
  <c r="I128" i="2"/>
  <c r="I133" i="2" s="1"/>
  <c r="K133" i="2" s="1"/>
  <c r="L26" i="5"/>
  <c r="M26" i="5" s="1"/>
  <c r="L28" i="5"/>
  <c r="M28" i="5" s="1"/>
  <c r="R72" i="1"/>
  <c r="V72" i="1" s="1"/>
  <c r="X72" i="1" s="1"/>
  <c r="S88" i="2"/>
  <c r="V88" i="2" s="1"/>
  <c r="X88" i="2" s="1"/>
  <c r="X90" i="2" s="1"/>
  <c r="U87" i="2"/>
  <c r="W87" i="2" s="1"/>
  <c r="Y87" i="2" s="1"/>
  <c r="D63" i="39"/>
  <c r="D65" i="39" s="1"/>
  <c r="U86" i="2"/>
  <c r="W86" i="2" s="1"/>
  <c r="Y86" i="2" s="1"/>
  <c r="D17" i="40"/>
  <c r="D19" i="40" s="1"/>
  <c r="C19" i="40"/>
  <c r="H17" i="40"/>
  <c r="W19" i="40"/>
  <c r="AB17" i="40"/>
  <c r="AB19" i="40" s="1"/>
  <c r="C44" i="22"/>
  <c r="M19" i="40"/>
  <c r="R17" i="40"/>
  <c r="R19" i="40" s="1"/>
  <c r="N17" i="40"/>
  <c r="D59" i="22"/>
  <c r="E42" i="22"/>
  <c r="D63" i="22"/>
  <c r="D65" i="22" s="1"/>
  <c r="D44" i="22"/>
  <c r="F59" i="22"/>
  <c r="F59" i="39"/>
  <c r="D59" i="39"/>
  <c r="E39" i="22"/>
  <c r="K129" i="2"/>
  <c r="L129" i="2" s="1"/>
  <c r="T79" i="1"/>
  <c r="W79" i="1" s="1"/>
  <c r="Y79" i="1" s="1"/>
  <c r="P133" i="2"/>
  <c r="R133" i="2" s="1"/>
  <c r="V64" i="2"/>
  <c r="T80" i="1"/>
  <c r="W80" i="1" s="1"/>
  <c r="Y80" i="1" s="1"/>
  <c r="P139" i="2"/>
  <c r="R139" i="2" s="1"/>
  <c r="S139" i="2" s="1"/>
  <c r="V69" i="2"/>
  <c r="W14" i="40" s="1"/>
  <c r="AB14" i="40" s="1"/>
  <c r="P134" i="2"/>
  <c r="R134" i="2" s="1"/>
  <c r="S134" i="2" s="1"/>
  <c r="V65" i="2"/>
  <c r="V73" i="2"/>
  <c r="Y73" i="2" s="1"/>
  <c r="P129" i="2"/>
  <c r="R129" i="2" s="1"/>
  <c r="V62" i="2"/>
  <c r="C39" i="22" s="1"/>
  <c r="E22" i="3"/>
  <c r="F42" i="3" s="1"/>
  <c r="S108" i="2"/>
  <c r="V108" i="2" s="1"/>
  <c r="X108" i="2" s="1"/>
  <c r="Y61" i="2"/>
  <c r="K128" i="2" l="1"/>
  <c r="K130" i="2" s="1"/>
  <c r="C14" i="40"/>
  <c r="D14" i="40" s="1"/>
  <c r="C39" i="39"/>
  <c r="F42" i="39"/>
  <c r="F44" i="39" s="1"/>
  <c r="E44" i="39"/>
  <c r="T72" i="1"/>
  <c r="W72" i="1" s="1"/>
  <c r="Y72" i="1" s="1"/>
  <c r="Z72" i="1" s="1"/>
  <c r="T70" i="1"/>
  <c r="W70" i="1" s="1"/>
  <c r="Y70" i="1" s="1"/>
  <c r="Z70" i="1" s="1"/>
  <c r="X74" i="1"/>
  <c r="T71" i="1"/>
  <c r="W71" i="1" s="1"/>
  <c r="Y71" i="1" s="1"/>
  <c r="Z71" i="1" s="1"/>
  <c r="F23" i="3"/>
  <c r="G40" i="3"/>
  <c r="G39" i="3"/>
  <c r="G41" i="3"/>
  <c r="G35" i="3"/>
  <c r="H23" i="3"/>
  <c r="G37" i="3"/>
  <c r="G38" i="3"/>
  <c r="G36" i="3"/>
  <c r="Y88" i="2"/>
  <c r="Y90" i="2" s="1"/>
  <c r="Z97" i="2" s="1"/>
  <c r="W90" i="2"/>
  <c r="Q110" i="2"/>
  <c r="S110" i="2" s="1"/>
  <c r="V110" i="2" s="1"/>
  <c r="X110" i="2" s="1"/>
  <c r="N19" i="40"/>
  <c r="O17" i="40"/>
  <c r="S17" i="40"/>
  <c r="S19" i="40" s="1"/>
  <c r="I17" i="40"/>
  <c r="I19" i="40" s="1"/>
  <c r="H19" i="40"/>
  <c r="Y65" i="2"/>
  <c r="M14" i="40"/>
  <c r="N14" i="40" s="1"/>
  <c r="O14" i="40" s="1"/>
  <c r="S109" i="2"/>
  <c r="V109" i="2" s="1"/>
  <c r="X109" i="2" s="1"/>
  <c r="R14" i="40"/>
  <c r="S14" i="40" s="1"/>
  <c r="T14" i="40" s="1"/>
  <c r="F39" i="22"/>
  <c r="E60" i="22"/>
  <c r="E61" i="22" s="1"/>
  <c r="E40" i="22"/>
  <c r="F42" i="22"/>
  <c r="E63" i="22"/>
  <c r="E65" i="22" s="1"/>
  <c r="E44" i="22"/>
  <c r="E60" i="39"/>
  <c r="E61" i="39" s="1"/>
  <c r="L128" i="2"/>
  <c r="I139" i="2"/>
  <c r="K139" i="2" s="1"/>
  <c r="L139" i="2" s="1"/>
  <c r="M139" i="2" s="1"/>
  <c r="K134" i="2"/>
  <c r="L134" i="2" s="1"/>
  <c r="V134" i="2" s="1"/>
  <c r="L133" i="2"/>
  <c r="Q109" i="2"/>
  <c r="U109" i="2" s="1"/>
  <c r="W109" i="2" s="1"/>
  <c r="F43" i="3"/>
  <c r="Y62" i="2"/>
  <c r="Q108" i="2"/>
  <c r="U108" i="2" s="1"/>
  <c r="W108" i="2" s="1"/>
  <c r="Y108" i="2" s="1"/>
  <c r="Y82" i="1"/>
  <c r="S133" i="2"/>
  <c r="R135" i="2"/>
  <c r="R130" i="2"/>
  <c r="S129" i="2"/>
  <c r="T139" i="2"/>
  <c r="Y69" i="2"/>
  <c r="Y64" i="2"/>
  <c r="G43" i="3"/>
  <c r="G33" i="3"/>
  <c r="G42" i="3"/>
  <c r="G34" i="3"/>
  <c r="G32" i="3"/>
  <c r="H14" i="40" l="1"/>
  <c r="I14" i="40" s="1"/>
  <c r="C40" i="39"/>
  <c r="C46" i="39" s="1"/>
  <c r="D39" i="39"/>
  <c r="D40" i="39" s="1"/>
  <c r="E63" i="39"/>
  <c r="E65" i="39" s="1"/>
  <c r="E67" i="39" s="1"/>
  <c r="E46" i="39"/>
  <c r="E68" i="39" s="1"/>
  <c r="U110" i="2"/>
  <c r="W110" i="2" s="1"/>
  <c r="W112" i="2" s="1"/>
  <c r="X112" i="2"/>
  <c r="O19" i="40"/>
  <c r="T17" i="40"/>
  <c r="T19" i="40" s="1"/>
  <c r="Y109" i="2"/>
  <c r="E67" i="22"/>
  <c r="F60" i="39"/>
  <c r="F61" i="39" s="1"/>
  <c r="D39" i="22"/>
  <c r="C60" i="22"/>
  <c r="C61" i="22" s="1"/>
  <c r="C67" i="22" s="1"/>
  <c r="C40" i="22"/>
  <c r="C46" i="22" s="1"/>
  <c r="F63" i="39"/>
  <c r="F65" i="39" s="1"/>
  <c r="F63" i="22"/>
  <c r="F65" i="22" s="1"/>
  <c r="F44" i="22"/>
  <c r="E46" i="22"/>
  <c r="C60" i="39"/>
  <c r="C61" i="39" s="1"/>
  <c r="C67" i="39" s="1"/>
  <c r="F60" i="22"/>
  <c r="F61" i="22" s="1"/>
  <c r="F40" i="22"/>
  <c r="V139" i="2"/>
  <c r="W139" i="2" s="1"/>
  <c r="L130" i="2"/>
  <c r="V128" i="2"/>
  <c r="L135" i="2"/>
  <c r="M135" i="2" s="1"/>
  <c r="K135" i="2"/>
  <c r="K148" i="2" s="1"/>
  <c r="S135" i="2"/>
  <c r="T135" i="2" s="1"/>
  <c r="V133" i="2"/>
  <c r="V135" i="2" s="1"/>
  <c r="W135" i="2" s="1"/>
  <c r="R148" i="2"/>
  <c r="S148" i="2" s="1"/>
  <c r="S130" i="2"/>
  <c r="V129" i="2"/>
  <c r="Y74" i="1"/>
  <c r="Z74" i="1"/>
  <c r="K14" i="2"/>
  <c r="K17" i="2" s="1"/>
  <c r="F67" i="22" l="1"/>
  <c r="F46" i="22"/>
  <c r="F68" i="22" s="1"/>
  <c r="E80" i="39"/>
  <c r="F80" i="39" s="1"/>
  <c r="F46" i="39"/>
  <c r="F68" i="39" s="1"/>
  <c r="E90" i="39"/>
  <c r="F90" i="39" s="1"/>
  <c r="G90" i="39" s="1"/>
  <c r="Y110" i="2"/>
  <c r="Y112" i="2" s="1"/>
  <c r="Z112" i="2" s="1"/>
  <c r="Z115" i="2" s="1"/>
  <c r="E82" i="39"/>
  <c r="F82" i="39" s="1"/>
  <c r="G82" i="39" s="1"/>
  <c r="E91" i="39"/>
  <c r="F91" i="39" s="1"/>
  <c r="G91" i="39" s="1"/>
  <c r="E81" i="39"/>
  <c r="F81" i="39" s="1"/>
  <c r="G81" i="39" s="1"/>
  <c r="C68" i="22"/>
  <c r="E84" i="22"/>
  <c r="F84" i="22" s="1"/>
  <c r="G84" i="22" s="1"/>
  <c r="E88" i="22"/>
  <c r="F88" i="22" s="1"/>
  <c r="G88" i="22" s="1"/>
  <c r="E87" i="22"/>
  <c r="F87" i="22" s="1"/>
  <c r="G87" i="22" s="1"/>
  <c r="E83" i="22"/>
  <c r="F83" i="22" s="1"/>
  <c r="G83" i="22" s="1"/>
  <c r="E85" i="22"/>
  <c r="F85" i="22" s="1"/>
  <c r="G85" i="22" s="1"/>
  <c r="E86" i="22"/>
  <c r="F86" i="22" s="1"/>
  <c r="G86" i="22" s="1"/>
  <c r="E89" i="22"/>
  <c r="F89" i="22" s="1"/>
  <c r="G89" i="22" s="1"/>
  <c r="E68" i="22"/>
  <c r="E91" i="22"/>
  <c r="F91" i="22" s="1"/>
  <c r="G91" i="22" s="1"/>
  <c r="E80" i="22"/>
  <c r="E81" i="22"/>
  <c r="F81" i="22" s="1"/>
  <c r="G81" i="22" s="1"/>
  <c r="E90" i="22"/>
  <c r="F90" i="22" s="1"/>
  <c r="G90" i="22" s="1"/>
  <c r="E82" i="22"/>
  <c r="F82" i="22" s="1"/>
  <c r="G82" i="22" s="1"/>
  <c r="C68" i="39"/>
  <c r="E86" i="39"/>
  <c r="F86" i="39" s="1"/>
  <c r="G86" i="39" s="1"/>
  <c r="E83" i="39"/>
  <c r="F83" i="39" s="1"/>
  <c r="G83" i="39" s="1"/>
  <c r="E84" i="39"/>
  <c r="F84" i="39" s="1"/>
  <c r="G84" i="39" s="1"/>
  <c r="E85" i="39"/>
  <c r="F85" i="39" s="1"/>
  <c r="G85" i="39" s="1"/>
  <c r="E89" i="39"/>
  <c r="F89" i="39" s="1"/>
  <c r="G89" i="39" s="1"/>
  <c r="E88" i="39"/>
  <c r="F88" i="39" s="1"/>
  <c r="G88" i="39" s="1"/>
  <c r="E87" i="39"/>
  <c r="F87" i="39" s="1"/>
  <c r="G87" i="39" s="1"/>
  <c r="D60" i="22"/>
  <c r="D61" i="22" s="1"/>
  <c r="D67" i="22" s="1"/>
  <c r="D40" i="22"/>
  <c r="D46" i="22" s="1"/>
  <c r="D68" i="22" s="1"/>
  <c r="F67" i="39"/>
  <c r="D60" i="39"/>
  <c r="D61" i="39" s="1"/>
  <c r="D67" i="39" s="1"/>
  <c r="D46" i="39"/>
  <c r="D68" i="39" s="1"/>
  <c r="V130" i="2"/>
  <c r="V141" i="2" s="1"/>
  <c r="V151" i="2" s="1"/>
  <c r="M130" i="2"/>
  <c r="L148" i="2"/>
  <c r="M148" i="2" s="1"/>
  <c r="S141" i="2"/>
  <c r="S151" i="2" s="1"/>
  <c r="T130" i="2"/>
  <c r="X73" i="2"/>
  <c r="X69" i="2"/>
  <c r="W13" i="40" s="1"/>
  <c r="X64" i="2"/>
  <c r="X62" i="2"/>
  <c r="C13" i="40" s="1"/>
  <c r="D13" i="40" l="1"/>
  <c r="C15" i="40"/>
  <c r="C21" i="40" s="1"/>
  <c r="W15" i="40"/>
  <c r="W21" i="40" s="1"/>
  <c r="AB13" i="40"/>
  <c r="AB15" i="40" s="1"/>
  <c r="AB21" i="40" s="1"/>
  <c r="E92" i="22"/>
  <c r="F80" i="22"/>
  <c r="G80" i="39"/>
  <c r="F92" i="39"/>
  <c r="G92" i="39" s="1"/>
  <c r="E92" i="39"/>
  <c r="V148" i="2"/>
  <c r="W148" i="2" s="1"/>
  <c r="W130" i="2"/>
  <c r="F22" i="3"/>
  <c r="F25" i="3" s="1"/>
  <c r="R78" i="1"/>
  <c r="V78" i="1" s="1"/>
  <c r="X78" i="1" s="1"/>
  <c r="R80" i="1"/>
  <c r="V80" i="1" s="1"/>
  <c r="X80" i="1" s="1"/>
  <c r="Z80" i="1" s="1"/>
  <c r="D15" i="40" l="1"/>
  <c r="D21" i="40" s="1"/>
  <c r="G80" i="22"/>
  <c r="F92" i="22"/>
  <c r="G92" i="22" s="1"/>
  <c r="F37" i="3"/>
  <c r="I37" i="3" s="1"/>
  <c r="J37" i="3" s="1"/>
  <c r="Q37" i="3" s="1"/>
  <c r="R37" i="3" s="1"/>
  <c r="F35" i="3"/>
  <c r="I35" i="3" s="1"/>
  <c r="J35" i="3" s="1"/>
  <c r="Q35" i="3" s="1"/>
  <c r="R35" i="3" s="1"/>
  <c r="F38" i="3"/>
  <c r="I38" i="3" s="1"/>
  <c r="J38" i="3" s="1"/>
  <c r="Q38" i="3" s="1"/>
  <c r="R38" i="3" s="1"/>
  <c r="F36" i="3"/>
  <c r="I36" i="3" s="1"/>
  <c r="J36" i="3" s="1"/>
  <c r="Q36" i="3" s="1"/>
  <c r="R36" i="3" s="1"/>
  <c r="E25" i="3"/>
  <c r="F40" i="3"/>
  <c r="I40" i="3" s="1"/>
  <c r="J40" i="3" s="1"/>
  <c r="Q40" i="3" s="1"/>
  <c r="R40" i="3" s="1"/>
  <c r="F41" i="3"/>
  <c r="I41" i="3" s="1"/>
  <c r="J41" i="3" s="1"/>
  <c r="Q41" i="3" s="1"/>
  <c r="R41" i="3" s="1"/>
  <c r="F39" i="3"/>
  <c r="I39" i="3" s="1"/>
  <c r="J39" i="3" s="1"/>
  <c r="Q39" i="3" s="1"/>
  <c r="R39" i="3" s="1"/>
  <c r="Z78" i="1"/>
  <c r="X61" i="2"/>
  <c r="H13" i="40" s="1"/>
  <c r="H15" i="40" l="1"/>
  <c r="H21" i="40" s="1"/>
  <c r="I13" i="40"/>
  <c r="I15" i="40" s="1"/>
  <c r="I21" i="40" s="1"/>
  <c r="X65" i="2"/>
  <c r="M13" i="40" s="1"/>
  <c r="R13" i="40" l="1"/>
  <c r="M15" i="40"/>
  <c r="M21" i="40" s="1"/>
  <c r="N13" i="40"/>
  <c r="R79" i="1"/>
  <c r="V79" i="1" s="1"/>
  <c r="X79" i="1" s="1"/>
  <c r="S13" i="40" l="1"/>
  <c r="R15" i="40"/>
  <c r="R21" i="40" s="1"/>
  <c r="O13" i="40"/>
  <c r="O15" i="40" s="1"/>
  <c r="O21" i="40" s="1"/>
  <c r="N15" i="40"/>
  <c r="N21" i="40" s="1"/>
  <c r="Z79" i="1"/>
  <c r="Z82" i="1" s="1"/>
  <c r="X82" i="1"/>
  <c r="T13" i="40" l="1"/>
  <c r="T15" i="40" s="1"/>
  <c r="T21" i="40" s="1"/>
  <c r="S15" i="40"/>
  <c r="S21" i="40" s="1"/>
  <c r="Z86" i="1"/>
  <c r="M67" i="2"/>
  <c r="N67" i="2" s="1"/>
  <c r="G25" i="3" l="1"/>
  <c r="H22" i="3" l="1"/>
  <c r="H25" i="3" s="1"/>
  <c r="F32" i="3"/>
  <c r="I32" i="3" s="1"/>
  <c r="J32" i="3" s="1"/>
  <c r="Q32" i="3" s="1"/>
  <c r="I42" i="3"/>
  <c r="J42" i="3" s="1"/>
  <c r="Q42" i="3" s="1"/>
  <c r="R42" i="3" s="1"/>
  <c r="F33" i="3"/>
  <c r="I33" i="3" s="1"/>
  <c r="J33" i="3" s="1"/>
  <c r="Q33" i="3" s="1"/>
  <c r="R33" i="3" s="1"/>
  <c r="F34" i="3"/>
  <c r="I34" i="3" s="1"/>
  <c r="J34" i="3" s="1"/>
  <c r="Q34" i="3" s="1"/>
  <c r="R34" i="3" s="1"/>
  <c r="I43" i="3"/>
  <c r="J43" i="3" s="1"/>
  <c r="Q43" i="3" s="1"/>
  <c r="R43" i="3" s="1"/>
  <c r="J44" i="3" l="1"/>
  <c r="Q44" i="3"/>
  <c r="R44" i="3" s="1"/>
  <c r="R32" i="3"/>
  <c r="W67" i="2" l="1"/>
  <c r="V67" i="2" s="1"/>
  <c r="Y67" i="2" s="1"/>
</calcChain>
</file>

<file path=xl/comments1.xml><?xml version="1.0" encoding="utf-8"?>
<comments xmlns="http://schemas.openxmlformats.org/spreadsheetml/2006/main">
  <authors>
    <author>MBarrow</author>
  </authors>
  <commentList>
    <comment ref="N1" authorId="0" shapeId="0">
      <text>
        <r>
          <rPr>
            <b/>
            <sz val="9"/>
            <color indexed="81"/>
            <rFont val="Tahoma"/>
            <family val="2"/>
          </rPr>
          <t>MBarrow:</t>
        </r>
        <r>
          <rPr>
            <sz val="9"/>
            <color indexed="81"/>
            <rFont val="Tahoma"/>
            <family val="2"/>
          </rPr>
          <t xml:space="preserve">
This override was for the delay in implementing SNG winter rates for 2 months in 11-057-08.</t>
        </r>
      </text>
    </comment>
  </commentList>
</comments>
</file>

<file path=xl/comments2.xml><?xml version="1.0" encoding="utf-8"?>
<comments xmlns="http://schemas.openxmlformats.org/spreadsheetml/2006/main">
  <authors>
    <author>State Employee</author>
  </authors>
  <commentList>
    <comment ref="D2" authorId="0" shapeId="0">
      <text>
        <r>
          <rPr>
            <b/>
            <sz val="8"/>
            <color indexed="81"/>
            <rFont val="Tahoma"/>
            <family val="2"/>
          </rPr>
          <t>State Employee:</t>
        </r>
        <r>
          <rPr>
            <sz val="8"/>
            <color indexed="81"/>
            <rFont val="Tahoma"/>
            <family val="2"/>
          </rPr>
          <t xml:space="preserve">
This information is input from SD #1</t>
        </r>
      </text>
    </comment>
    <comment ref="D38" authorId="0" shapeId="0">
      <text>
        <r>
          <rPr>
            <b/>
            <sz val="8"/>
            <color indexed="81"/>
            <rFont val="Tahoma"/>
            <family val="2"/>
          </rPr>
          <t>State Employee:</t>
        </r>
        <r>
          <rPr>
            <sz val="8"/>
            <color indexed="81"/>
            <rFont val="Tahoma"/>
            <family val="2"/>
          </rPr>
          <t xml:space="preserve">
Taken from Standard Data Request #1
</t>
        </r>
      </text>
    </comment>
  </commentList>
</comments>
</file>

<file path=xl/comments3.xml><?xml version="1.0" encoding="utf-8"?>
<comments xmlns="http://schemas.openxmlformats.org/spreadsheetml/2006/main">
  <authors>
    <author>Valued Gateway Client</author>
  </authors>
  <commentList>
    <comment ref="N231" authorId="0" shapeId="0">
      <text>
        <r>
          <rPr>
            <b/>
            <sz val="8"/>
            <color indexed="81"/>
            <rFont val="Tahoma"/>
            <family val="2"/>
          </rPr>
          <t>Valued Gateway Client:</t>
        </r>
        <r>
          <rPr>
            <sz val="8"/>
            <color indexed="81"/>
            <rFont val="Tahoma"/>
            <family val="2"/>
          </rPr>
          <t xml:space="preserve">
To gas balance
D15 &amp; Gas Cost Alloc E23
</t>
        </r>
      </text>
    </comment>
    <comment ref="O231" authorId="0" shapeId="0">
      <text>
        <r>
          <rPr>
            <b/>
            <sz val="8"/>
            <color indexed="81"/>
            <rFont val="Tahoma"/>
            <family val="2"/>
          </rPr>
          <t>Valued Gateway Client:</t>
        </r>
        <r>
          <rPr>
            <sz val="8"/>
            <color indexed="81"/>
            <rFont val="Tahoma"/>
            <family val="2"/>
          </rPr>
          <t xml:space="preserve">
To Gas Cost &amp; Alloc
F10 &amp; F23
f
</t>
        </r>
      </text>
    </comment>
    <comment ref="N411" authorId="0" shapeId="0">
      <text>
        <r>
          <rPr>
            <b/>
            <sz val="8"/>
            <color indexed="81"/>
            <rFont val="Tahoma"/>
            <family val="2"/>
          </rPr>
          <t>Valued Gateway Client:</t>
        </r>
        <r>
          <rPr>
            <sz val="8"/>
            <color indexed="81"/>
            <rFont val="Tahoma"/>
            <family val="2"/>
          </rPr>
          <t xml:space="preserve">
To gas balance
D15 &amp; Gas Cost Alloc E23
</t>
        </r>
      </text>
    </comment>
    <comment ref="O411" authorId="0" shapeId="0">
      <text>
        <r>
          <rPr>
            <b/>
            <sz val="8"/>
            <color indexed="81"/>
            <rFont val="Tahoma"/>
            <family val="2"/>
          </rPr>
          <t>Valued Gateway Client:</t>
        </r>
        <r>
          <rPr>
            <sz val="8"/>
            <color indexed="81"/>
            <rFont val="Tahoma"/>
            <family val="2"/>
          </rPr>
          <t xml:space="preserve">
To Gas Cost &amp; Alloc
F10 &amp; F23
f
</t>
        </r>
      </text>
    </comment>
  </commentList>
</comments>
</file>

<file path=xl/comments4.xml><?xml version="1.0" encoding="utf-8"?>
<comments xmlns="http://schemas.openxmlformats.org/spreadsheetml/2006/main">
  <authors>
    <author>State Employee</author>
    <author>MBarrow</author>
    <author>Valued Gateway Client</author>
  </authors>
  <commentList>
    <comment ref="D8" authorId="0" shapeId="0">
      <text>
        <r>
          <rPr>
            <b/>
            <sz val="8"/>
            <color indexed="81"/>
            <rFont val="Tahoma"/>
            <family val="2"/>
          </rPr>
          <t>State Employee:</t>
        </r>
        <r>
          <rPr>
            <sz val="8"/>
            <color indexed="81"/>
            <rFont val="Tahoma"/>
            <family val="2"/>
          </rPr>
          <t xml:space="preserve">
Exh 1.2 Col B ln 3</t>
        </r>
      </text>
    </comment>
    <comment ref="E8" authorId="0" shapeId="0">
      <text>
        <r>
          <rPr>
            <b/>
            <sz val="8"/>
            <color indexed="81"/>
            <rFont val="Tahoma"/>
            <family val="2"/>
          </rPr>
          <t>State Employee:</t>
        </r>
        <r>
          <rPr>
            <sz val="8"/>
            <color indexed="81"/>
            <rFont val="Tahoma"/>
            <family val="2"/>
          </rPr>
          <t xml:space="preserve">
Exh 1.2
 Col D Ln 1</t>
        </r>
      </text>
    </comment>
    <comment ref="D9" authorId="0" shapeId="0">
      <text>
        <r>
          <rPr>
            <b/>
            <sz val="8"/>
            <color indexed="81"/>
            <rFont val="Tahoma"/>
            <family val="2"/>
          </rPr>
          <t>State Employee:</t>
        </r>
        <r>
          <rPr>
            <sz val="8"/>
            <color indexed="81"/>
            <rFont val="Tahoma"/>
            <family val="2"/>
          </rPr>
          <t xml:space="preserve">
Exh 1.6 Col D Ln 1</t>
        </r>
      </text>
    </comment>
    <comment ref="D10" authorId="1" shapeId="0">
      <text>
        <r>
          <rPr>
            <b/>
            <sz val="9"/>
            <color indexed="81"/>
            <rFont val="Tahoma"/>
            <family val="2"/>
          </rPr>
          <t>MBarrow:</t>
        </r>
        <r>
          <rPr>
            <sz val="9"/>
            <color indexed="81"/>
            <rFont val="Tahoma"/>
            <family val="2"/>
          </rPr>
          <t xml:space="preserve">
Exh 1.2 Col D Ln 2
</t>
        </r>
      </text>
    </comment>
    <comment ref="E10" authorId="1" shapeId="0">
      <text>
        <r>
          <rPr>
            <b/>
            <sz val="9"/>
            <color indexed="81"/>
            <rFont val="Tahoma"/>
            <family val="2"/>
          </rPr>
          <t>MBarrow:</t>
        </r>
        <r>
          <rPr>
            <sz val="9"/>
            <color indexed="81"/>
            <rFont val="Tahoma"/>
            <family val="2"/>
          </rPr>
          <t xml:space="preserve">
Exh 1.2 Col D Ln 2
</t>
        </r>
      </text>
    </comment>
    <comment ref="N231" authorId="2" shapeId="0">
      <text>
        <r>
          <rPr>
            <b/>
            <sz val="8"/>
            <color indexed="81"/>
            <rFont val="Tahoma"/>
            <family val="2"/>
          </rPr>
          <t>Valued Gateway Client:</t>
        </r>
        <r>
          <rPr>
            <sz val="8"/>
            <color indexed="81"/>
            <rFont val="Tahoma"/>
            <family val="2"/>
          </rPr>
          <t xml:space="preserve">
To gas balance
D15 &amp; Gas Cost Alloc E23
</t>
        </r>
      </text>
    </comment>
    <comment ref="O231" authorId="2" shapeId="0">
      <text>
        <r>
          <rPr>
            <b/>
            <sz val="8"/>
            <color indexed="81"/>
            <rFont val="Tahoma"/>
            <family val="2"/>
          </rPr>
          <t>Valued Gateway Client:</t>
        </r>
        <r>
          <rPr>
            <sz val="8"/>
            <color indexed="81"/>
            <rFont val="Tahoma"/>
            <family val="2"/>
          </rPr>
          <t xml:space="preserve">
To Gas Cost &amp; Alloc
F10 &amp; F23
f
</t>
        </r>
      </text>
    </comment>
    <comment ref="N411" authorId="2" shapeId="0">
      <text>
        <r>
          <rPr>
            <b/>
            <sz val="8"/>
            <color indexed="81"/>
            <rFont val="Tahoma"/>
            <family val="2"/>
          </rPr>
          <t>Valued Gateway Client:</t>
        </r>
        <r>
          <rPr>
            <sz val="8"/>
            <color indexed="81"/>
            <rFont val="Tahoma"/>
            <family val="2"/>
          </rPr>
          <t xml:space="preserve">
To gas balance
D15 &amp; Gas Cost Alloc E23
</t>
        </r>
      </text>
    </comment>
    <comment ref="O411" authorId="2" shapeId="0">
      <text>
        <r>
          <rPr>
            <b/>
            <sz val="8"/>
            <color indexed="81"/>
            <rFont val="Tahoma"/>
            <family val="2"/>
          </rPr>
          <t>Valued Gateway Client:</t>
        </r>
        <r>
          <rPr>
            <sz val="8"/>
            <color indexed="81"/>
            <rFont val="Tahoma"/>
            <family val="2"/>
          </rPr>
          <t xml:space="preserve">
To Gas Cost &amp; Alloc
F10 &amp; F23
f
</t>
        </r>
      </text>
    </comment>
  </commentList>
</comments>
</file>

<file path=xl/comments5.xml><?xml version="1.0" encoding="utf-8"?>
<comments xmlns="http://schemas.openxmlformats.org/spreadsheetml/2006/main">
  <authors>
    <author>State Employee</author>
  </authors>
  <commentList>
    <comment ref="M4" authorId="0" shapeId="0">
      <text>
        <r>
          <rPr>
            <b/>
            <sz val="8"/>
            <color indexed="81"/>
            <rFont val="Tahoma"/>
            <family val="2"/>
          </rPr>
          <t>State Employee:</t>
        </r>
        <r>
          <rPr>
            <sz val="8"/>
            <color indexed="81"/>
            <rFont val="Tahoma"/>
            <family val="2"/>
          </rPr>
          <t xml:space="preserve">
Exh 1.5 footnote #1 Col D</t>
        </r>
      </text>
    </comment>
    <comment ref="N4" authorId="0" shapeId="0">
      <text>
        <r>
          <rPr>
            <b/>
            <sz val="8"/>
            <color indexed="81"/>
            <rFont val="Tahoma"/>
            <family val="2"/>
          </rPr>
          <t>State Employee:</t>
        </r>
        <r>
          <rPr>
            <sz val="8"/>
            <color indexed="81"/>
            <rFont val="Tahoma"/>
            <family val="2"/>
          </rPr>
          <t xml:space="preserve">
Exh 1.5 footnote #1 Col E</t>
        </r>
      </text>
    </comment>
    <comment ref="H13" authorId="0" shapeId="0">
      <text>
        <r>
          <rPr>
            <b/>
            <sz val="8"/>
            <color indexed="81"/>
            <rFont val="Tahoma"/>
            <family val="2"/>
          </rPr>
          <t>State Employee:</t>
        </r>
        <r>
          <rPr>
            <sz val="8"/>
            <color indexed="81"/>
            <rFont val="Tahoma"/>
            <family val="2"/>
          </rPr>
          <t xml:space="preserve">
Found in Exh 1.1, last page col E</t>
        </r>
      </text>
    </comment>
    <comment ref="I13" authorId="0" shapeId="0">
      <text>
        <r>
          <rPr>
            <b/>
            <sz val="8"/>
            <color indexed="81"/>
            <rFont val="Tahoma"/>
            <family val="2"/>
          </rPr>
          <t>State Employee:</t>
        </r>
        <r>
          <rPr>
            <sz val="8"/>
            <color indexed="81"/>
            <rFont val="Tahoma"/>
            <family val="2"/>
          </rPr>
          <t xml:space="preserve">
Found in Exh 1.1, last page col F.</t>
        </r>
      </text>
    </comment>
    <comment ref="K13" authorId="0" shapeId="0">
      <text>
        <r>
          <rPr>
            <b/>
            <sz val="8"/>
            <color indexed="81"/>
            <rFont val="Tahoma"/>
            <family val="2"/>
          </rPr>
          <t>State Employee:</t>
        </r>
        <r>
          <rPr>
            <sz val="8"/>
            <color indexed="81"/>
            <rFont val="Tahoma"/>
            <family val="2"/>
          </rPr>
          <t xml:space="preserve">
Found in Exh 1.1, last page col H.</t>
        </r>
      </text>
    </comment>
    <comment ref="H15" authorId="0" shapeId="0">
      <text>
        <r>
          <rPr>
            <b/>
            <sz val="8"/>
            <color indexed="81"/>
            <rFont val="Tahoma"/>
            <family val="2"/>
          </rPr>
          <t>State Employee:</t>
        </r>
        <r>
          <rPr>
            <sz val="8"/>
            <color indexed="81"/>
            <rFont val="Tahoma"/>
            <family val="2"/>
          </rPr>
          <t xml:space="preserve">
Found in Exh 1.1, last page col E</t>
        </r>
      </text>
    </comment>
    <comment ref="K17" authorId="0" shapeId="0">
      <text>
        <r>
          <rPr>
            <b/>
            <sz val="8"/>
            <color indexed="81"/>
            <rFont val="Tahoma"/>
            <family val="2"/>
          </rPr>
          <t>State Employee:</t>
        </r>
        <r>
          <rPr>
            <sz val="8"/>
            <color indexed="81"/>
            <rFont val="Tahoma"/>
            <family val="2"/>
          </rPr>
          <t xml:space="preserve">
Found in Exh 1.1, last page col H.</t>
        </r>
      </text>
    </comment>
    <comment ref="G32" authorId="0" shapeId="0">
      <text>
        <r>
          <rPr>
            <b/>
            <sz val="8"/>
            <color indexed="81"/>
            <rFont val="Tahoma"/>
            <family val="2"/>
          </rPr>
          <t>State Employee:</t>
        </r>
        <r>
          <rPr>
            <sz val="8"/>
            <color indexed="81"/>
            <rFont val="Tahoma"/>
            <family val="2"/>
          </rPr>
          <t xml:space="preserve">
Exh 1.3, pg1 Ln 1 Col E</t>
        </r>
      </text>
    </comment>
    <comment ref="H32" authorId="0" shapeId="0">
      <text>
        <r>
          <rPr>
            <b/>
            <sz val="8"/>
            <color indexed="81"/>
            <rFont val="Tahoma"/>
            <family val="2"/>
          </rPr>
          <t>State Employee:</t>
        </r>
        <r>
          <rPr>
            <sz val="8"/>
            <color indexed="81"/>
            <rFont val="Tahoma"/>
            <family val="2"/>
          </rPr>
          <t xml:space="preserve">
Exh 1.3, pg1 Ln 1 Col C</t>
        </r>
      </text>
    </comment>
    <comment ref="I32" authorId="0" shapeId="0">
      <text>
        <r>
          <rPr>
            <b/>
            <sz val="8"/>
            <color indexed="81"/>
            <rFont val="Tahoma"/>
            <family val="2"/>
          </rPr>
          <t>State Employee:</t>
        </r>
        <r>
          <rPr>
            <sz val="8"/>
            <color indexed="81"/>
            <rFont val="Tahoma"/>
            <family val="2"/>
          </rPr>
          <t xml:space="preserve">
Exh 1.3, pg1 Ln 1 Col D</t>
        </r>
      </text>
    </comment>
    <comment ref="G34" authorId="0" shapeId="0">
      <text>
        <r>
          <rPr>
            <b/>
            <sz val="8"/>
            <color indexed="81"/>
            <rFont val="Tahoma"/>
            <family val="2"/>
          </rPr>
          <t>State Employee:</t>
        </r>
        <r>
          <rPr>
            <sz val="8"/>
            <color indexed="81"/>
            <rFont val="Tahoma"/>
            <family val="2"/>
          </rPr>
          <t xml:space="preserve">
Exh 1.3, pg1 Ln 2 Col E</t>
        </r>
      </text>
    </comment>
    <comment ref="I34" authorId="0" shapeId="0">
      <text>
        <r>
          <rPr>
            <b/>
            <sz val="8"/>
            <color indexed="81"/>
            <rFont val="Tahoma"/>
            <family val="2"/>
          </rPr>
          <t>State Employee:</t>
        </r>
        <r>
          <rPr>
            <sz val="8"/>
            <color indexed="81"/>
            <rFont val="Tahoma"/>
            <family val="2"/>
          </rPr>
          <t xml:space="preserve">
Exh 1.3, pg1 Ln 2 Col D</t>
        </r>
      </text>
    </comment>
    <comment ref="K35" authorId="0" shapeId="0">
      <text>
        <r>
          <rPr>
            <b/>
            <sz val="8"/>
            <color indexed="81"/>
            <rFont val="Tahoma"/>
            <family val="2"/>
          </rPr>
          <t>State Employee:</t>
        </r>
        <r>
          <rPr>
            <sz val="8"/>
            <color indexed="81"/>
            <rFont val="Tahoma"/>
            <family val="2"/>
          </rPr>
          <t xml:space="preserve">
Exh 1.3, pg1 Ln 3Col f</t>
        </r>
      </text>
    </comment>
    <comment ref="G39" authorId="0" shapeId="0">
      <text>
        <r>
          <rPr>
            <b/>
            <sz val="8"/>
            <color indexed="81"/>
            <rFont val="Tahoma"/>
            <family val="2"/>
          </rPr>
          <t>State Employee:</t>
        </r>
        <r>
          <rPr>
            <sz val="8"/>
            <color indexed="81"/>
            <rFont val="Tahoma"/>
            <family val="2"/>
          </rPr>
          <t xml:space="preserve">
Exh 1.3, pg1 Ln 5 Col E</t>
        </r>
      </text>
    </comment>
    <comment ref="H39" authorId="0" shapeId="0">
      <text>
        <r>
          <rPr>
            <b/>
            <sz val="8"/>
            <color indexed="81"/>
            <rFont val="Tahoma"/>
            <family val="2"/>
          </rPr>
          <t>State Employee:</t>
        </r>
        <r>
          <rPr>
            <sz val="8"/>
            <color indexed="81"/>
            <rFont val="Tahoma"/>
            <family val="2"/>
          </rPr>
          <t xml:space="preserve">
Exh 1.3, pg1 Ln 5 Col C</t>
        </r>
      </text>
    </comment>
    <comment ref="I39" authorId="0" shapeId="0">
      <text>
        <r>
          <rPr>
            <b/>
            <sz val="8"/>
            <color indexed="81"/>
            <rFont val="Tahoma"/>
            <family val="2"/>
          </rPr>
          <t>State Employee:</t>
        </r>
        <r>
          <rPr>
            <sz val="8"/>
            <color indexed="81"/>
            <rFont val="Tahoma"/>
            <family val="2"/>
          </rPr>
          <t>D EExh 1.3, pg1 Ln 5 Col D</t>
        </r>
      </text>
    </comment>
    <comment ref="G40" authorId="0" shapeId="0">
      <text>
        <r>
          <rPr>
            <b/>
            <sz val="8"/>
            <color indexed="81"/>
            <rFont val="Tahoma"/>
            <family val="2"/>
          </rPr>
          <t>State Employee:</t>
        </r>
        <r>
          <rPr>
            <sz val="8"/>
            <color indexed="81"/>
            <rFont val="Tahoma"/>
            <family val="2"/>
          </rPr>
          <t xml:space="preserve">
Exh 1.3, pg1 Ln 6 Col E</t>
        </r>
      </text>
    </comment>
    <comment ref="H40" authorId="0" shapeId="0">
      <text>
        <r>
          <rPr>
            <b/>
            <sz val="8"/>
            <color indexed="81"/>
            <rFont val="Tahoma"/>
            <family val="2"/>
          </rPr>
          <t>State Employee:</t>
        </r>
        <r>
          <rPr>
            <sz val="8"/>
            <color indexed="81"/>
            <rFont val="Tahoma"/>
            <family val="2"/>
          </rPr>
          <t xml:space="preserve">
Exh 1.3, pg1 Ln 6 Col C</t>
        </r>
      </text>
    </comment>
    <comment ref="I40" authorId="0" shapeId="0">
      <text>
        <r>
          <rPr>
            <b/>
            <sz val="8"/>
            <color indexed="81"/>
            <rFont val="Tahoma"/>
            <family val="2"/>
          </rPr>
          <t>State Employee:</t>
        </r>
        <r>
          <rPr>
            <sz val="8"/>
            <color indexed="81"/>
            <rFont val="Tahoma"/>
            <family val="2"/>
          </rPr>
          <t xml:space="preserve">
Exh 1.3, pg1 Ln 6 Col D</t>
        </r>
      </text>
    </comment>
    <comment ref="G41" authorId="0" shapeId="0">
      <text>
        <r>
          <rPr>
            <b/>
            <sz val="8"/>
            <color indexed="81"/>
            <rFont val="Tahoma"/>
            <family val="2"/>
          </rPr>
          <t>State Employee:</t>
        </r>
        <r>
          <rPr>
            <sz val="8"/>
            <color indexed="81"/>
            <rFont val="Tahoma"/>
            <family val="2"/>
          </rPr>
          <t xml:space="preserve">
Exh 1.3, pg1 Ln 7 Col E</t>
        </r>
      </text>
    </comment>
    <comment ref="H41" authorId="0" shapeId="0">
      <text>
        <r>
          <rPr>
            <b/>
            <sz val="8"/>
            <color indexed="81"/>
            <rFont val="Tahoma"/>
            <family val="2"/>
          </rPr>
          <t>State Employee:</t>
        </r>
        <r>
          <rPr>
            <sz val="8"/>
            <color indexed="81"/>
            <rFont val="Tahoma"/>
            <family val="2"/>
          </rPr>
          <t xml:space="preserve">
Exh 1.3, pg1 Ln 7 Col C</t>
        </r>
      </text>
    </comment>
    <comment ref="I41" authorId="0" shapeId="0">
      <text>
        <r>
          <rPr>
            <b/>
            <sz val="8"/>
            <color indexed="81"/>
            <rFont val="Tahoma"/>
            <family val="2"/>
          </rPr>
          <t>State Employee:</t>
        </r>
        <r>
          <rPr>
            <sz val="8"/>
            <color indexed="81"/>
            <rFont val="Tahoma"/>
            <family val="2"/>
          </rPr>
          <t xml:space="preserve">
Exh 1.3, pg1 Ln 7 Col D</t>
        </r>
      </text>
    </comment>
    <comment ref="G45" authorId="0" shapeId="0">
      <text>
        <r>
          <rPr>
            <b/>
            <sz val="8"/>
            <color indexed="81"/>
            <rFont val="Tahoma"/>
            <family val="2"/>
          </rPr>
          <t>State Employee:</t>
        </r>
        <r>
          <rPr>
            <sz val="8"/>
            <color indexed="81"/>
            <rFont val="Tahoma"/>
            <family val="2"/>
          </rPr>
          <t xml:space="preserve">
Exh 1.3, pg1 Ln 10 Col E</t>
        </r>
      </text>
    </comment>
    <comment ref="H45" authorId="0" shapeId="0">
      <text>
        <r>
          <rPr>
            <b/>
            <sz val="8"/>
            <color indexed="81"/>
            <rFont val="Tahoma"/>
            <family val="2"/>
          </rPr>
          <t>State Employee:</t>
        </r>
        <r>
          <rPr>
            <sz val="8"/>
            <color indexed="81"/>
            <rFont val="Tahoma"/>
            <family val="2"/>
          </rPr>
          <t xml:space="preserve">
Exh 1.3, pg1 Ln 10 Col C</t>
        </r>
      </text>
    </comment>
    <comment ref="G46" authorId="0" shapeId="0">
      <text>
        <r>
          <rPr>
            <b/>
            <sz val="8"/>
            <color indexed="81"/>
            <rFont val="Tahoma"/>
            <family val="2"/>
          </rPr>
          <t>State Employee:</t>
        </r>
        <r>
          <rPr>
            <sz val="8"/>
            <color indexed="81"/>
            <rFont val="Tahoma"/>
            <family val="2"/>
          </rPr>
          <t xml:space="preserve">
Exh 1.3, pg1 Ln 11 Col E</t>
        </r>
      </text>
    </comment>
    <comment ref="G50" authorId="0" shapeId="0">
      <text>
        <r>
          <rPr>
            <b/>
            <sz val="8"/>
            <color indexed="81"/>
            <rFont val="Tahoma"/>
            <family val="2"/>
          </rPr>
          <t>State Employee:</t>
        </r>
        <r>
          <rPr>
            <sz val="8"/>
            <color indexed="81"/>
            <rFont val="Tahoma"/>
            <family val="2"/>
          </rPr>
          <t xml:space="preserve">
Exh 1.3, pg1 Ln 13 Col E</t>
        </r>
      </text>
    </comment>
    <comment ref="H50" authorId="0" shapeId="0">
      <text>
        <r>
          <rPr>
            <b/>
            <sz val="8"/>
            <color indexed="81"/>
            <rFont val="Tahoma"/>
            <family val="2"/>
          </rPr>
          <t>State Employee:</t>
        </r>
        <r>
          <rPr>
            <sz val="8"/>
            <color indexed="81"/>
            <rFont val="Tahoma"/>
            <family val="2"/>
          </rPr>
          <t xml:space="preserve">
Exh 1.3, pg1 Ln 13 Col C</t>
        </r>
      </text>
    </comment>
    <comment ref="I50" authorId="0" shapeId="0">
      <text>
        <r>
          <rPr>
            <b/>
            <sz val="8"/>
            <color indexed="81"/>
            <rFont val="Tahoma"/>
            <family val="2"/>
          </rPr>
          <t>State Employee:</t>
        </r>
        <r>
          <rPr>
            <sz val="8"/>
            <color indexed="81"/>
            <rFont val="Tahoma"/>
            <family val="2"/>
          </rPr>
          <t xml:space="preserve">
Exh 1.3, pg1 Ln 13 Col D</t>
        </r>
      </text>
    </comment>
    <comment ref="J50" authorId="0" shapeId="0">
      <text>
        <r>
          <rPr>
            <b/>
            <sz val="8"/>
            <color indexed="81"/>
            <rFont val="Tahoma"/>
            <family val="2"/>
          </rPr>
          <t>State Employee:</t>
        </r>
        <r>
          <rPr>
            <sz val="8"/>
            <color indexed="81"/>
            <rFont val="Tahoma"/>
            <family val="2"/>
          </rPr>
          <t xml:space="preserve">
Exh 1.3, pg1 Ln 13 Col B
USE GOAL SEEK TO GET EXACT DOLLARS.</t>
        </r>
      </text>
    </comment>
    <comment ref="G51" authorId="0" shapeId="0">
      <text>
        <r>
          <rPr>
            <b/>
            <sz val="8"/>
            <color indexed="81"/>
            <rFont val="Tahoma"/>
            <family val="2"/>
          </rPr>
          <t>State Employee:</t>
        </r>
        <r>
          <rPr>
            <sz val="8"/>
            <color indexed="81"/>
            <rFont val="Tahoma"/>
            <family val="2"/>
          </rPr>
          <t xml:space="preserve">
Exh 1.3, pg1 Ln 14 Col E</t>
        </r>
      </text>
    </comment>
    <comment ref="I51" authorId="0" shapeId="0">
      <text>
        <r>
          <rPr>
            <b/>
            <sz val="8"/>
            <color indexed="81"/>
            <rFont val="Tahoma"/>
            <family val="2"/>
          </rPr>
          <t>State Employee:</t>
        </r>
        <r>
          <rPr>
            <sz val="8"/>
            <color indexed="81"/>
            <rFont val="Tahoma"/>
            <family val="2"/>
          </rPr>
          <t xml:space="preserve">
Exh 1.3, pg1 Ln 14 Col D</t>
        </r>
      </text>
    </comment>
    <comment ref="J51" authorId="0" shapeId="0">
      <text>
        <r>
          <rPr>
            <b/>
            <sz val="8"/>
            <color indexed="81"/>
            <rFont val="Tahoma"/>
            <family val="2"/>
          </rPr>
          <t>State Employee:</t>
        </r>
        <r>
          <rPr>
            <sz val="8"/>
            <color indexed="81"/>
            <rFont val="Tahoma"/>
            <family val="2"/>
          </rPr>
          <t xml:space="preserve">
Exh 1.3, pg1 Ln 13 Col B
USE GOAL SEEK TO GET EXACT DOLLARS.</t>
        </r>
      </text>
    </comment>
    <comment ref="G55" authorId="0" shapeId="0">
      <text>
        <r>
          <rPr>
            <b/>
            <sz val="8"/>
            <color indexed="81"/>
            <rFont val="Tahoma"/>
            <family val="2"/>
          </rPr>
          <t>State Employee:</t>
        </r>
        <r>
          <rPr>
            <sz val="8"/>
            <color indexed="81"/>
            <rFont val="Tahoma"/>
            <family val="2"/>
          </rPr>
          <t xml:space="preserve">
EXH 1.3 LN 17 COL E</t>
        </r>
      </text>
    </comment>
    <comment ref="I55" authorId="0" shapeId="0">
      <text>
        <r>
          <rPr>
            <b/>
            <sz val="8"/>
            <color indexed="81"/>
            <rFont val="Tahoma"/>
            <family val="2"/>
          </rPr>
          <t>State Employee:</t>
        </r>
        <r>
          <rPr>
            <sz val="8"/>
            <color indexed="81"/>
            <rFont val="Tahoma"/>
            <family val="2"/>
          </rPr>
          <t xml:space="preserve">
EXH 1.3 LN 17 COL D</t>
        </r>
      </text>
    </comment>
    <comment ref="G56" authorId="0" shapeId="0">
      <text>
        <r>
          <rPr>
            <b/>
            <sz val="8"/>
            <color indexed="81"/>
            <rFont val="Tahoma"/>
            <family val="2"/>
          </rPr>
          <t>State Employee:</t>
        </r>
        <r>
          <rPr>
            <sz val="8"/>
            <color indexed="81"/>
            <rFont val="Tahoma"/>
            <family val="2"/>
          </rPr>
          <t xml:space="preserve">
EXH 1.3 LN 18 COL E</t>
        </r>
      </text>
    </comment>
    <comment ref="H56" authorId="0" shapeId="0">
      <text>
        <r>
          <rPr>
            <b/>
            <sz val="8"/>
            <color indexed="81"/>
            <rFont val="Tahoma"/>
            <family val="2"/>
          </rPr>
          <t>State Employee:</t>
        </r>
        <r>
          <rPr>
            <sz val="8"/>
            <color indexed="81"/>
            <rFont val="Tahoma"/>
            <family val="2"/>
          </rPr>
          <t xml:space="preserve">
EXH 1.3 LN 18 COL C</t>
        </r>
      </text>
    </comment>
    <comment ref="W56" authorId="0" shapeId="0">
      <text>
        <r>
          <rPr>
            <b/>
            <sz val="8"/>
            <color indexed="81"/>
            <rFont val="Tahoma"/>
            <family val="2"/>
          </rPr>
          <t>State Employee:</t>
        </r>
        <r>
          <rPr>
            <sz val="8"/>
            <color indexed="81"/>
            <rFont val="Tahoma"/>
            <family val="2"/>
          </rPr>
          <t xml:space="preserve">
EXH 1.3 LN 18 COL C</t>
        </r>
      </text>
    </comment>
    <comment ref="K62" authorId="0" shapeId="0">
      <text>
        <r>
          <rPr>
            <b/>
            <sz val="8"/>
            <color indexed="81"/>
            <rFont val="Tahoma"/>
            <family val="2"/>
          </rPr>
          <t>State Employee:</t>
        </r>
        <r>
          <rPr>
            <sz val="8"/>
            <color indexed="81"/>
            <rFont val="Tahoma"/>
            <family val="2"/>
          </rPr>
          <t xml:space="preserve">
EXH 1.3 LN 20 COL F</t>
        </r>
      </text>
    </comment>
    <comment ref="K63" authorId="0" shapeId="0">
      <text>
        <r>
          <rPr>
            <b/>
            <sz val="8"/>
            <color indexed="81"/>
            <rFont val="Tahoma"/>
            <family val="2"/>
          </rPr>
          <t>State Employee:</t>
        </r>
        <r>
          <rPr>
            <sz val="8"/>
            <color indexed="81"/>
            <rFont val="Tahoma"/>
            <family val="2"/>
          </rPr>
          <t xml:space="preserve">
EXH 1.3 LN 21 COL F</t>
        </r>
      </text>
    </comment>
    <comment ref="K66" authorId="0" shapeId="0">
      <text>
        <r>
          <rPr>
            <b/>
            <sz val="8"/>
            <color indexed="81"/>
            <rFont val="Tahoma"/>
            <family val="2"/>
          </rPr>
          <t>State Employee:</t>
        </r>
        <r>
          <rPr>
            <sz val="8"/>
            <color indexed="81"/>
            <rFont val="Tahoma"/>
            <family val="2"/>
          </rPr>
          <t xml:space="preserve">
NOT USED
</t>
        </r>
      </text>
    </comment>
    <comment ref="K67" authorId="0" shapeId="0">
      <text>
        <r>
          <rPr>
            <b/>
            <sz val="8"/>
            <color indexed="81"/>
            <rFont val="Tahoma"/>
            <family val="2"/>
          </rPr>
          <t>State Employee:</t>
        </r>
        <r>
          <rPr>
            <sz val="8"/>
            <color indexed="81"/>
            <rFont val="Tahoma"/>
            <family val="2"/>
          </rPr>
          <t xml:space="preserve">
NA</t>
        </r>
      </text>
    </comment>
    <comment ref="M67" authorId="0" shapeId="0">
      <text>
        <r>
          <rPr>
            <b/>
            <sz val="8"/>
            <color indexed="81"/>
            <rFont val="Tahoma"/>
            <family val="2"/>
          </rPr>
          <t>State Employee:</t>
        </r>
        <r>
          <rPr>
            <sz val="8"/>
            <color indexed="81"/>
            <rFont val="Tahoma"/>
            <family val="2"/>
          </rPr>
          <t xml:space="preserve">
NA</t>
        </r>
      </text>
    </comment>
    <comment ref="K68" authorId="0" shapeId="0">
      <text>
        <r>
          <rPr>
            <b/>
            <sz val="8"/>
            <color indexed="81"/>
            <rFont val="Tahoma"/>
            <family val="2"/>
          </rPr>
          <t>State Employee:</t>
        </r>
        <r>
          <rPr>
            <sz val="8"/>
            <color indexed="81"/>
            <rFont val="Tahoma"/>
            <family val="2"/>
          </rPr>
          <t xml:space="preserve">
NA</t>
        </r>
      </text>
    </comment>
    <comment ref="M68" authorId="0" shapeId="0">
      <text>
        <r>
          <rPr>
            <b/>
            <sz val="8"/>
            <color indexed="81"/>
            <rFont val="Tahoma"/>
            <family val="2"/>
          </rPr>
          <t>State Employee:</t>
        </r>
        <r>
          <rPr>
            <sz val="8"/>
            <color indexed="81"/>
            <rFont val="Tahoma"/>
            <family val="2"/>
          </rPr>
          <t xml:space="preserve">
NA
</t>
        </r>
      </text>
    </comment>
    <comment ref="G75" authorId="0" shapeId="0">
      <text>
        <r>
          <rPr>
            <b/>
            <sz val="8"/>
            <color indexed="81"/>
            <rFont val="Tahoma"/>
            <family val="2"/>
          </rPr>
          <t>State Employee:</t>
        </r>
        <r>
          <rPr>
            <sz val="8"/>
            <color indexed="81"/>
            <rFont val="Tahoma"/>
            <family val="2"/>
          </rPr>
          <t xml:space="preserve">
EXH 1.3 PP 2 LN 1 COL D</t>
        </r>
      </text>
    </comment>
    <comment ref="H75" authorId="0" shapeId="0">
      <text>
        <r>
          <rPr>
            <b/>
            <sz val="8"/>
            <color indexed="81"/>
            <rFont val="Tahoma"/>
            <family val="2"/>
          </rPr>
          <t>State Employee:</t>
        </r>
        <r>
          <rPr>
            <sz val="8"/>
            <color indexed="81"/>
            <rFont val="Tahoma"/>
            <family val="2"/>
          </rPr>
          <t xml:space="preserve">
EXH 1.3 PP 2 LN 1 COL B</t>
        </r>
      </text>
    </comment>
    <comment ref="I75" authorId="0" shapeId="0">
      <text>
        <r>
          <rPr>
            <b/>
            <sz val="8"/>
            <color indexed="81"/>
            <rFont val="Tahoma"/>
            <family val="2"/>
          </rPr>
          <t>State Employee:</t>
        </r>
        <r>
          <rPr>
            <sz val="8"/>
            <color indexed="81"/>
            <rFont val="Tahoma"/>
            <family val="2"/>
          </rPr>
          <t xml:space="preserve">
EXH 1.3 PP 2 LN 1 COL C</t>
        </r>
      </text>
    </comment>
    <comment ref="G77" authorId="0" shapeId="0">
      <text>
        <r>
          <rPr>
            <b/>
            <sz val="8"/>
            <color indexed="81"/>
            <rFont val="Tahoma"/>
            <family val="2"/>
          </rPr>
          <t>State Employee:</t>
        </r>
        <r>
          <rPr>
            <sz val="8"/>
            <color indexed="81"/>
            <rFont val="Tahoma"/>
            <family val="2"/>
          </rPr>
          <t xml:space="preserve">
EXH 1.3 PP 2 LN 2 COL D</t>
        </r>
      </text>
    </comment>
    <comment ref="H77" authorId="0" shapeId="0">
      <text>
        <r>
          <rPr>
            <b/>
            <sz val="8"/>
            <color indexed="81"/>
            <rFont val="Tahoma"/>
            <family val="2"/>
          </rPr>
          <t>State Employee:</t>
        </r>
        <r>
          <rPr>
            <sz val="8"/>
            <color indexed="81"/>
            <rFont val="Tahoma"/>
            <family val="2"/>
          </rPr>
          <t xml:space="preserve">
EXH 1.3 PP 2 LN 2 COL B</t>
        </r>
      </text>
    </comment>
    <comment ref="I77" authorId="0" shapeId="0">
      <text>
        <r>
          <rPr>
            <b/>
            <sz val="8"/>
            <color indexed="81"/>
            <rFont val="Tahoma"/>
            <family val="2"/>
          </rPr>
          <t>State Employee:</t>
        </r>
        <r>
          <rPr>
            <sz val="8"/>
            <color indexed="81"/>
            <rFont val="Tahoma"/>
            <family val="2"/>
          </rPr>
          <t xml:space="preserve">
EXH 1.3 PP 2 LN 2 COL C</t>
        </r>
      </text>
    </comment>
    <comment ref="G78" authorId="0" shapeId="0">
      <text>
        <r>
          <rPr>
            <b/>
            <sz val="8"/>
            <color indexed="81"/>
            <rFont val="Tahoma"/>
            <family val="2"/>
          </rPr>
          <t>State Employee:</t>
        </r>
        <r>
          <rPr>
            <sz val="8"/>
            <color indexed="81"/>
            <rFont val="Tahoma"/>
            <family val="2"/>
          </rPr>
          <t xml:space="preserve">
EXH 1.3 PP 2 LN 3 COL D</t>
        </r>
      </text>
    </comment>
    <comment ref="H78" authorId="0" shapeId="0">
      <text>
        <r>
          <rPr>
            <b/>
            <sz val="8"/>
            <color indexed="81"/>
            <rFont val="Tahoma"/>
            <family val="2"/>
          </rPr>
          <t>State Employee:</t>
        </r>
        <r>
          <rPr>
            <sz val="8"/>
            <color indexed="81"/>
            <rFont val="Tahoma"/>
            <family val="2"/>
          </rPr>
          <t xml:space="preserve">
EXH 1.3 PP 2 LN 3 COL B</t>
        </r>
      </text>
    </comment>
    <comment ref="I78" authorId="0" shapeId="0">
      <text>
        <r>
          <rPr>
            <b/>
            <sz val="8"/>
            <color indexed="81"/>
            <rFont val="Tahoma"/>
            <family val="2"/>
          </rPr>
          <t>State Employee:</t>
        </r>
        <r>
          <rPr>
            <sz val="8"/>
            <color indexed="81"/>
            <rFont val="Tahoma"/>
            <family val="2"/>
          </rPr>
          <t xml:space="preserve">
EXH 1.3 PP 2 LN 3 COL C</t>
        </r>
      </text>
    </comment>
    <comment ref="G82" authorId="0" shapeId="0">
      <text>
        <r>
          <rPr>
            <b/>
            <sz val="8"/>
            <color indexed="81"/>
            <rFont val="Tahoma"/>
            <family val="2"/>
          </rPr>
          <t>State Employee:</t>
        </r>
        <r>
          <rPr>
            <sz val="8"/>
            <color indexed="81"/>
            <rFont val="Tahoma"/>
            <family val="2"/>
          </rPr>
          <t xml:space="preserve">
EXH 1.3 PP 2 LN 5 COL D</t>
        </r>
      </text>
    </comment>
    <comment ref="H82" authorId="0" shapeId="0">
      <text>
        <r>
          <rPr>
            <b/>
            <sz val="8"/>
            <color indexed="81"/>
            <rFont val="Tahoma"/>
            <family val="2"/>
          </rPr>
          <t>State Employee:</t>
        </r>
        <r>
          <rPr>
            <sz val="8"/>
            <color indexed="81"/>
            <rFont val="Tahoma"/>
            <family val="2"/>
          </rPr>
          <t xml:space="preserve">
EXH 1.3 PP 2 LN 5 COL B</t>
        </r>
      </text>
    </comment>
    <comment ref="I82" authorId="0" shapeId="0">
      <text>
        <r>
          <rPr>
            <b/>
            <sz val="8"/>
            <color indexed="81"/>
            <rFont val="Tahoma"/>
            <family val="2"/>
          </rPr>
          <t>State Employee:</t>
        </r>
        <r>
          <rPr>
            <sz val="8"/>
            <color indexed="81"/>
            <rFont val="Tahoma"/>
            <family val="2"/>
          </rPr>
          <t xml:space="preserve">
ASSUMED
</t>
        </r>
      </text>
    </comment>
    <comment ref="H83" authorId="0" shapeId="0">
      <text>
        <r>
          <rPr>
            <b/>
            <sz val="8"/>
            <color indexed="81"/>
            <rFont val="Tahoma"/>
            <family val="2"/>
          </rPr>
          <t>State Employee:</t>
        </r>
        <r>
          <rPr>
            <sz val="8"/>
            <color indexed="81"/>
            <rFont val="Tahoma"/>
            <family val="2"/>
          </rPr>
          <t xml:space="preserve">
EXH 1.3 PP 2 LN 6 COL B</t>
        </r>
      </text>
    </comment>
    <comment ref="I83" authorId="0" shapeId="0">
      <text>
        <r>
          <rPr>
            <b/>
            <sz val="8"/>
            <color indexed="81"/>
            <rFont val="Tahoma"/>
            <family val="2"/>
          </rPr>
          <t>State Employee:</t>
        </r>
        <r>
          <rPr>
            <sz val="8"/>
            <color indexed="81"/>
            <rFont val="Tahoma"/>
            <family val="2"/>
          </rPr>
          <t xml:space="preserve">
ASSUMED</t>
        </r>
      </text>
    </comment>
    <comment ref="G86" authorId="0" shapeId="0">
      <text>
        <r>
          <rPr>
            <b/>
            <sz val="8"/>
            <color indexed="81"/>
            <rFont val="Tahoma"/>
            <family val="2"/>
          </rPr>
          <t>State Employee:</t>
        </r>
        <r>
          <rPr>
            <sz val="8"/>
            <color indexed="81"/>
            <rFont val="Tahoma"/>
            <family val="2"/>
          </rPr>
          <t xml:space="preserve">
EXH 1.3 PP 2 LN 7 COL D</t>
        </r>
      </text>
    </comment>
    <comment ref="H86" authorId="0" shapeId="0">
      <text>
        <r>
          <rPr>
            <b/>
            <sz val="8"/>
            <color indexed="81"/>
            <rFont val="Tahoma"/>
            <family val="2"/>
          </rPr>
          <t>State Employee:</t>
        </r>
        <r>
          <rPr>
            <sz val="8"/>
            <color indexed="81"/>
            <rFont val="Tahoma"/>
            <family val="2"/>
          </rPr>
          <t xml:space="preserve">
EXH 1.3 PP 2 LN 7 COL B</t>
        </r>
      </text>
    </comment>
    <comment ref="I86" authorId="0" shapeId="0">
      <text>
        <r>
          <rPr>
            <b/>
            <sz val="8"/>
            <color indexed="81"/>
            <rFont val="Tahoma"/>
            <family val="2"/>
          </rPr>
          <t>State Employee:</t>
        </r>
        <r>
          <rPr>
            <sz val="8"/>
            <color indexed="81"/>
            <rFont val="Tahoma"/>
            <family val="2"/>
          </rPr>
          <t xml:space="preserve">
ASSUMED</t>
        </r>
      </text>
    </comment>
    <comment ref="G87" authorId="0" shapeId="0">
      <text>
        <r>
          <rPr>
            <b/>
            <sz val="8"/>
            <color indexed="81"/>
            <rFont val="Tahoma"/>
            <family val="2"/>
          </rPr>
          <t>State Employee:</t>
        </r>
        <r>
          <rPr>
            <sz val="8"/>
            <color indexed="81"/>
            <rFont val="Tahoma"/>
            <family val="2"/>
          </rPr>
          <t xml:space="preserve">
EXH 1.3 PP 2 LN 8 COL D</t>
        </r>
      </text>
    </comment>
    <comment ref="H87" authorId="0" shapeId="0">
      <text>
        <r>
          <rPr>
            <b/>
            <sz val="8"/>
            <color indexed="81"/>
            <rFont val="Tahoma"/>
            <family val="2"/>
          </rPr>
          <t>State Employee:</t>
        </r>
        <r>
          <rPr>
            <sz val="8"/>
            <color indexed="81"/>
            <rFont val="Tahoma"/>
            <family val="2"/>
          </rPr>
          <t xml:space="preserve">
EXH 1.3 PP 2 LN 8 COL B</t>
        </r>
      </text>
    </comment>
    <comment ref="I87" authorId="0" shapeId="0">
      <text>
        <r>
          <rPr>
            <b/>
            <sz val="8"/>
            <color indexed="81"/>
            <rFont val="Tahoma"/>
            <family val="2"/>
          </rPr>
          <t>State Employee:</t>
        </r>
        <r>
          <rPr>
            <sz val="8"/>
            <color indexed="81"/>
            <rFont val="Tahoma"/>
            <family val="2"/>
          </rPr>
          <t xml:space="preserve">
ASSUMED</t>
        </r>
      </text>
    </comment>
    <comment ref="G92" authorId="0" shapeId="0">
      <text>
        <r>
          <rPr>
            <b/>
            <sz val="8"/>
            <color indexed="81"/>
            <rFont val="Tahoma"/>
            <family val="2"/>
          </rPr>
          <t>State Employee:</t>
        </r>
        <r>
          <rPr>
            <sz val="8"/>
            <color indexed="81"/>
            <rFont val="Tahoma"/>
            <family val="2"/>
          </rPr>
          <t xml:space="preserve">
The following numbers are found in Exh 1.3 page 2 Col B, lines 11-23.</t>
        </r>
      </text>
    </comment>
    <comment ref="I106" authorId="0" shapeId="0">
      <text>
        <r>
          <rPr>
            <b/>
            <sz val="8"/>
            <color indexed="81"/>
            <rFont val="Tahoma"/>
            <family val="2"/>
          </rPr>
          <t>State Employee:</t>
        </r>
        <r>
          <rPr>
            <sz val="8"/>
            <color indexed="81"/>
            <rFont val="Tahoma"/>
            <family val="2"/>
          </rPr>
          <t xml:space="preserve">
Exh 1.3 page 2, Ln 24, Col D.  This number is set in a gen rate case and is the pretax return on RB.</t>
        </r>
      </text>
    </comment>
    <comment ref="K108" authorId="0" shapeId="0">
      <text>
        <r>
          <rPr>
            <b/>
            <sz val="8"/>
            <color indexed="81"/>
            <rFont val="Tahoma"/>
            <family val="2"/>
          </rPr>
          <t>State Employee:</t>
        </r>
        <r>
          <rPr>
            <sz val="8"/>
            <color indexed="81"/>
            <rFont val="Tahoma"/>
            <family val="2"/>
          </rPr>
          <t xml:space="preserve">
Exh 1.4, page 3, Col D, lines 1-8</t>
        </r>
      </text>
    </comment>
    <comment ref="K129" authorId="0" shapeId="0">
      <text>
        <r>
          <rPr>
            <b/>
            <sz val="8"/>
            <color indexed="81"/>
            <rFont val="Tahoma"/>
            <family val="2"/>
          </rPr>
          <t>State Employee:</t>
        </r>
        <r>
          <rPr>
            <sz val="8"/>
            <color indexed="81"/>
            <rFont val="Tahoma"/>
            <family val="2"/>
          </rPr>
          <t xml:space="preserve">
Exh 1.4 page 2 Col D,ln 5</t>
        </r>
      </text>
    </comment>
    <comment ref="K130" authorId="0" shapeId="0">
      <text>
        <r>
          <rPr>
            <b/>
            <sz val="8"/>
            <color indexed="81"/>
            <rFont val="Tahoma"/>
            <family val="2"/>
          </rPr>
          <t>State Employee:</t>
        </r>
        <r>
          <rPr>
            <sz val="8"/>
            <color indexed="81"/>
            <rFont val="Tahoma"/>
            <family val="2"/>
          </rPr>
          <t xml:space="preserve">
Exh 1.4 page 2 Col D,ln 6</t>
        </r>
      </text>
    </comment>
  </commentList>
</comments>
</file>

<file path=xl/comments6.xml><?xml version="1.0" encoding="utf-8"?>
<comments xmlns="http://schemas.openxmlformats.org/spreadsheetml/2006/main">
  <authors>
    <author>State Employee</author>
    <author>Mbarrow</author>
  </authors>
  <commentList>
    <comment ref="J14" authorId="0" shapeId="0">
      <text>
        <r>
          <rPr>
            <b/>
            <sz val="8"/>
            <color indexed="81"/>
            <rFont val="Tahoma"/>
            <family val="2"/>
          </rPr>
          <t>State Employee:</t>
        </r>
        <r>
          <rPr>
            <sz val="8"/>
            <color indexed="81"/>
            <rFont val="Tahoma"/>
            <family val="2"/>
          </rPr>
          <t xml:space="preserve">
These numbers are pasted in from the previous filing</t>
        </r>
      </text>
    </comment>
    <comment ref="G21" authorId="0" shapeId="0">
      <text>
        <r>
          <rPr>
            <b/>
            <sz val="8"/>
            <color indexed="81"/>
            <rFont val="Tahoma"/>
            <family val="2"/>
          </rPr>
          <t>State Employee:</t>
        </r>
        <r>
          <rPr>
            <sz val="8"/>
            <color indexed="81"/>
            <rFont val="Tahoma"/>
            <family val="2"/>
          </rPr>
          <t xml:space="preserve">
Exh 1.6 footnote 4 SNG balance acct amount</t>
        </r>
      </text>
    </comment>
    <comment ref="H21" authorId="0" shapeId="0">
      <text>
        <r>
          <rPr>
            <b/>
            <sz val="8"/>
            <color indexed="81"/>
            <rFont val="Tahoma"/>
            <family val="2"/>
          </rPr>
          <t>State Employee:</t>
        </r>
        <r>
          <rPr>
            <sz val="8"/>
            <color indexed="81"/>
            <rFont val="Tahoma"/>
            <family val="2"/>
          </rPr>
          <t xml:space="preserve">
na</t>
        </r>
      </text>
    </comment>
    <comment ref="I21" authorId="0" shapeId="0">
      <text>
        <r>
          <rPr>
            <b/>
            <sz val="8"/>
            <color indexed="81"/>
            <rFont val="Tahoma"/>
            <family val="2"/>
          </rPr>
          <t>State Employee:</t>
        </r>
        <r>
          <rPr>
            <sz val="8"/>
            <color indexed="81"/>
            <rFont val="Tahoma"/>
            <family val="2"/>
          </rPr>
          <t xml:space="preserve">
na</t>
        </r>
      </text>
    </comment>
    <comment ref="G22" authorId="0" shapeId="0">
      <text>
        <r>
          <rPr>
            <b/>
            <sz val="8"/>
            <color indexed="81"/>
            <rFont val="Tahoma"/>
            <family val="2"/>
          </rPr>
          <t>State Employee:</t>
        </r>
        <r>
          <rPr>
            <sz val="8"/>
            <color indexed="81"/>
            <rFont val="Tahoma"/>
            <family val="2"/>
          </rPr>
          <t xml:space="preserve">
Exh 1.6 footnote 4 191 total account balanxe</t>
        </r>
      </text>
    </comment>
    <comment ref="P28" authorId="0" shapeId="0">
      <text>
        <r>
          <rPr>
            <b/>
            <sz val="8"/>
            <color indexed="81"/>
            <rFont val="Tahoma"/>
            <family val="2"/>
          </rPr>
          <t>State Employee:</t>
        </r>
        <r>
          <rPr>
            <sz val="8"/>
            <color indexed="81"/>
            <rFont val="Tahoma"/>
            <family val="2"/>
          </rPr>
          <t xml:space="preserve">
tab other inputs cols e &amp; f, lines 69 -82
</t>
        </r>
      </text>
    </comment>
    <comment ref="L35" authorId="0" shapeId="0">
      <text>
        <r>
          <rPr>
            <b/>
            <sz val="8"/>
            <color indexed="81"/>
            <rFont val="Tahoma"/>
            <family val="2"/>
          </rPr>
          <t>State Employee:</t>
        </r>
        <r>
          <rPr>
            <sz val="8"/>
            <color indexed="81"/>
            <rFont val="Tahoma"/>
            <family val="2"/>
          </rPr>
          <t xml:space="preserve">
This over ride was put to override the calculated rate to give effect of  only having an annual amortization calc.</t>
        </r>
      </text>
    </comment>
    <comment ref="G41" authorId="0" shapeId="0">
      <text>
        <r>
          <rPr>
            <b/>
            <sz val="8"/>
            <color indexed="81"/>
            <rFont val="Tahoma"/>
            <family val="2"/>
          </rPr>
          <t>State Employee:</t>
        </r>
        <r>
          <rPr>
            <sz val="8"/>
            <color indexed="81"/>
            <rFont val="Tahoma"/>
            <family val="2"/>
          </rPr>
          <t xml:space="preserve">
NA</t>
        </r>
      </text>
    </comment>
    <comment ref="H41" authorId="0" shapeId="0">
      <text>
        <r>
          <rPr>
            <b/>
            <sz val="8"/>
            <color indexed="81"/>
            <rFont val="Tahoma"/>
            <family val="2"/>
          </rPr>
          <t>State Employee:</t>
        </r>
        <r>
          <rPr>
            <sz val="8"/>
            <color indexed="81"/>
            <rFont val="Tahoma"/>
            <family val="2"/>
          </rPr>
          <t xml:space="preserve">
NA</t>
        </r>
      </text>
    </comment>
    <comment ref="J41" authorId="0" shapeId="0">
      <text>
        <r>
          <rPr>
            <b/>
            <sz val="8"/>
            <color indexed="81"/>
            <rFont val="Tahoma"/>
            <family val="2"/>
          </rPr>
          <t>State Employee:</t>
        </r>
        <r>
          <rPr>
            <sz val="8"/>
            <color indexed="81"/>
            <rFont val="Tahoma"/>
            <family val="2"/>
          </rPr>
          <t xml:space="preserve">
NA</t>
        </r>
      </text>
    </comment>
    <comment ref="H42" authorId="0" shapeId="0">
      <text>
        <r>
          <rPr>
            <b/>
            <sz val="8"/>
            <color indexed="81"/>
            <rFont val="Tahoma"/>
            <family val="2"/>
          </rPr>
          <t>State Employee:</t>
        </r>
        <r>
          <rPr>
            <sz val="8"/>
            <color indexed="81"/>
            <rFont val="Tahoma"/>
            <family val="2"/>
          </rPr>
          <t xml:space="preserve">
NA</t>
        </r>
      </text>
    </comment>
    <comment ref="G43" authorId="0" shapeId="0">
      <text>
        <r>
          <rPr>
            <b/>
            <sz val="8"/>
            <color indexed="81"/>
            <rFont val="Tahoma"/>
            <family val="2"/>
          </rPr>
          <t>State Employee:</t>
        </r>
        <r>
          <rPr>
            <sz val="8"/>
            <color indexed="81"/>
            <rFont val="Tahoma"/>
            <family val="2"/>
          </rPr>
          <t xml:space="preserve">
Exh 1.6 pg 1 Col D Ln 2</t>
        </r>
      </text>
    </comment>
    <comment ref="J43" authorId="0" shapeId="0">
      <text>
        <r>
          <rPr>
            <b/>
            <sz val="8"/>
            <color indexed="81"/>
            <rFont val="Tahoma"/>
            <family val="2"/>
          </rPr>
          <t>State Employee:</t>
        </r>
        <r>
          <rPr>
            <sz val="8"/>
            <color indexed="81"/>
            <rFont val="Tahoma"/>
            <family val="2"/>
          </rPr>
          <t xml:space="preserve">
From previous filing</t>
        </r>
      </text>
    </comment>
    <comment ref="J45" authorId="0" shapeId="0">
      <text>
        <r>
          <rPr>
            <b/>
            <sz val="8"/>
            <color indexed="81"/>
            <rFont val="Tahoma"/>
            <family val="2"/>
          </rPr>
          <t>State Employee:</t>
        </r>
        <r>
          <rPr>
            <sz val="8"/>
            <color indexed="81"/>
            <rFont val="Tahoma"/>
            <family val="2"/>
          </rPr>
          <t xml:space="preserve">
From previous filing</t>
        </r>
      </text>
    </comment>
    <comment ref="J46" authorId="0" shapeId="0">
      <text>
        <r>
          <rPr>
            <b/>
            <sz val="8"/>
            <color indexed="81"/>
            <rFont val="Tahoma"/>
            <family val="2"/>
          </rPr>
          <t>State Employee:</t>
        </r>
        <r>
          <rPr>
            <sz val="8"/>
            <color indexed="81"/>
            <rFont val="Tahoma"/>
            <family val="2"/>
          </rPr>
          <t xml:space="preserve">
From previous filing</t>
        </r>
      </text>
    </comment>
    <comment ref="G62" authorId="0" shapeId="0">
      <text>
        <r>
          <rPr>
            <b/>
            <sz val="8"/>
            <color indexed="81"/>
            <rFont val="Tahoma"/>
            <family val="2"/>
          </rPr>
          <t>State Employee:</t>
        </r>
        <r>
          <rPr>
            <sz val="8"/>
            <color indexed="81"/>
            <rFont val="Tahoma"/>
            <family val="2"/>
          </rPr>
          <t xml:space="preserve">
On tariff sheets, this will be adjusted for bad debt see bad debt calc on g76 reason for this is these customers do not participate in 191 amortization.  Will move to new IS schedule.</t>
        </r>
      </text>
    </comment>
    <comment ref="H66" authorId="0" shapeId="0">
      <text>
        <r>
          <rPr>
            <b/>
            <sz val="8"/>
            <color indexed="81"/>
            <rFont val="Tahoma"/>
            <family val="2"/>
          </rPr>
          <t>State Employee:</t>
        </r>
        <r>
          <rPr>
            <sz val="8"/>
            <color indexed="81"/>
            <rFont val="Tahoma"/>
            <family val="2"/>
          </rPr>
          <t xml:space="preserve">
Exh 1.6 p 2  Col D, Ln 4</t>
        </r>
      </text>
    </comment>
    <comment ref="G75" authorId="0" shapeId="0">
      <text>
        <r>
          <rPr>
            <b/>
            <sz val="8"/>
            <color indexed="81"/>
            <rFont val="Tahoma"/>
            <family val="2"/>
          </rPr>
          <t>State Employee:</t>
        </r>
        <r>
          <rPr>
            <sz val="8"/>
            <color indexed="81"/>
            <rFont val="Tahoma"/>
            <family val="2"/>
          </rPr>
          <t xml:space="preserve">
Exh 1.6 p3 footnote 5</t>
        </r>
      </text>
    </comment>
    <comment ref="H75" authorId="0" shapeId="0">
      <text>
        <r>
          <rPr>
            <b/>
            <sz val="8"/>
            <color indexed="81"/>
            <rFont val="Tahoma"/>
            <family val="2"/>
          </rPr>
          <t>State Employee:</t>
        </r>
        <r>
          <rPr>
            <sz val="8"/>
            <color indexed="81"/>
            <rFont val="Tahoma"/>
            <family val="2"/>
          </rPr>
          <t xml:space="preserve">
from previous filing</t>
        </r>
      </text>
    </comment>
    <comment ref="I75" authorId="0" shapeId="0">
      <text>
        <r>
          <rPr>
            <b/>
            <sz val="8"/>
            <color indexed="81"/>
            <rFont val="Tahoma"/>
            <family val="2"/>
          </rPr>
          <t>State Employee:</t>
        </r>
        <r>
          <rPr>
            <sz val="8"/>
            <color indexed="81"/>
            <rFont val="Tahoma"/>
            <family val="2"/>
          </rPr>
          <t xml:space="preserve">
exh 1.9 T-2 Tariff</t>
        </r>
      </text>
    </comment>
    <comment ref="I76" authorId="0" shapeId="0">
      <text>
        <r>
          <rPr>
            <b/>
            <sz val="8"/>
            <color indexed="81"/>
            <rFont val="Tahoma"/>
            <family val="2"/>
          </rPr>
          <t>State Employee:</t>
        </r>
        <r>
          <rPr>
            <sz val="8"/>
            <color indexed="81"/>
            <rFont val="Tahoma"/>
            <family val="2"/>
          </rPr>
          <t xml:space="preserve">
exh 1.9 T-2 Tariff aca charge</t>
        </r>
      </text>
    </comment>
    <comment ref="J77" authorId="1" shapeId="0">
      <text>
        <r>
          <rPr>
            <b/>
            <sz val="9"/>
            <color indexed="81"/>
            <rFont val="Tahoma"/>
            <family val="2"/>
          </rPr>
          <t>Mbarrow:</t>
        </r>
        <r>
          <rPr>
            <sz val="9"/>
            <color indexed="81"/>
            <rFont val="Tahoma"/>
            <family val="2"/>
          </rPr>
          <t xml:space="preserve">
Exh 1.6, p3, foot note 4
</t>
        </r>
      </text>
    </comment>
    <comment ref="T77" authorId="0" shapeId="0">
      <text>
        <r>
          <rPr>
            <b/>
            <sz val="8"/>
            <color indexed="81"/>
            <rFont val="Tahoma"/>
            <family val="2"/>
          </rPr>
          <t>State Employee:</t>
        </r>
        <r>
          <rPr>
            <sz val="8"/>
            <color indexed="81"/>
            <rFont val="Tahoma"/>
            <family val="2"/>
          </rPr>
          <t xml:space="preserve">
from current IS tariff SNG
Rate</t>
        </r>
      </text>
    </comment>
    <comment ref="I78" authorId="0" shapeId="0">
      <text>
        <r>
          <rPr>
            <b/>
            <sz val="8"/>
            <color indexed="81"/>
            <rFont val="Tahoma"/>
            <family val="2"/>
          </rPr>
          <t>State Employee:</t>
        </r>
        <r>
          <rPr>
            <sz val="8"/>
            <color indexed="81"/>
            <rFont val="Tahoma"/>
            <family val="2"/>
          </rPr>
          <t xml:space="preserve">
Exh 1.6 p3 footnote 4</t>
        </r>
      </text>
    </comment>
  </commentList>
</comments>
</file>

<file path=xl/comments7.xml><?xml version="1.0" encoding="utf-8"?>
<comments xmlns="http://schemas.openxmlformats.org/spreadsheetml/2006/main">
  <authors>
    <author>State Employee</author>
  </authors>
  <commentList>
    <comment ref="E21" authorId="0" shapeId="0">
      <text>
        <r>
          <rPr>
            <b/>
            <sz val="8"/>
            <color indexed="81"/>
            <rFont val="Tahoma"/>
            <family val="2"/>
          </rPr>
          <t>State Employee:</t>
        </r>
        <r>
          <rPr>
            <sz val="8"/>
            <color indexed="81"/>
            <rFont val="Tahoma"/>
            <family val="2"/>
          </rPr>
          <t xml:space="preserve">
Current total DNG Rate</t>
        </r>
      </text>
    </comment>
  </commentList>
</comments>
</file>

<file path=xl/sharedStrings.xml><?xml version="1.0" encoding="utf-8"?>
<sst xmlns="http://schemas.openxmlformats.org/spreadsheetml/2006/main" count="1502" uniqueCount="696">
  <si>
    <t>APPLICATION OF MOUNTAIN FUEL SUPPLY COMPANY</t>
  </si>
  <si>
    <t>Total</t>
  </si>
  <si>
    <t>WYOMING</t>
  </si>
  <si>
    <t>UTAH</t>
  </si>
  <si>
    <t>TO ADJUST RATES FOR NATURAL GAS SERVICE IN UTAH</t>
  </si>
  <si>
    <t xml:space="preserve">             Peak Day Demand (Dth)</t>
  </si>
  <si>
    <t>AF1</t>
  </si>
  <si>
    <t xml:space="preserve">             Commodity Sales (Dth)</t>
  </si>
  <si>
    <t>AF2</t>
  </si>
  <si>
    <t>I.</t>
  </si>
  <si>
    <t>CALCULATION OF TEST PERIOD COST OF GAS</t>
  </si>
  <si>
    <t>A.</t>
  </si>
  <si>
    <t>COST OF MOUNTAIN FUEL PRODUCTION - Exh 1.1</t>
  </si>
  <si>
    <t>1.</t>
  </si>
  <si>
    <t>Royalty Payments</t>
  </si>
  <si>
    <t>Price ($/Dth)</t>
  </si>
  <si>
    <t>Volume (Dth)</t>
  </si>
  <si>
    <t>Value ($)</t>
  </si>
  <si>
    <t>Royalty Rate</t>
  </si>
  <si>
    <t>Cost</t>
  </si>
  <si>
    <t>a.</t>
  </si>
  <si>
    <t>b.</t>
  </si>
  <si>
    <t>2.</t>
  </si>
  <si>
    <t>n.a.</t>
  </si>
  <si>
    <t>total</t>
  </si>
  <si>
    <t>Volumes Based on QPC IRP</t>
  </si>
  <si>
    <t>B.</t>
  </si>
  <si>
    <t>COST OF GAS PURCHASES - Exh 1.2</t>
  </si>
  <si>
    <t>Current Contracts</t>
  </si>
  <si>
    <t>Forecast Spot</t>
  </si>
  <si>
    <t>3.</t>
  </si>
  <si>
    <t>Future Contracts</t>
  </si>
  <si>
    <t>C.</t>
  </si>
  <si>
    <t>Demand Cost</t>
  </si>
  <si>
    <t>No. of Months</t>
  </si>
  <si>
    <t>Commodity Cost</t>
  </si>
  <si>
    <t>D.</t>
  </si>
  <si>
    <t>No-Notice Transportation</t>
  </si>
  <si>
    <t>c.</t>
  </si>
  <si>
    <t>d.</t>
  </si>
  <si>
    <t>Capacity Release Credits</t>
  </si>
  <si>
    <t>Commodity</t>
  </si>
  <si>
    <t>total Transportation Charges</t>
  </si>
  <si>
    <t>E.</t>
  </si>
  <si>
    <t>Rate ($/mcf)</t>
  </si>
  <si>
    <t>Volume (mcf)</t>
  </si>
  <si>
    <t>Peaking Demand</t>
  </si>
  <si>
    <t>Clay Basin Demand</t>
  </si>
  <si>
    <t>Clay Basin Capacity</t>
  </si>
  <si>
    <t>Factor (Dth/mcf)</t>
  </si>
  <si>
    <t>Peaking Injections</t>
  </si>
  <si>
    <t>Based on QPC IRP</t>
  </si>
  <si>
    <t>Peaking Withdrawals</t>
  </si>
  <si>
    <t>"</t>
  </si>
  <si>
    <t>Clay Basin Injections</t>
  </si>
  <si>
    <t>Clay Basin Withdrawals</t>
  </si>
  <si>
    <t>total Storage Charges</t>
  </si>
  <si>
    <t>F.</t>
  </si>
  <si>
    <t>total Other Charges</t>
  </si>
  <si>
    <t>G.</t>
  </si>
  <si>
    <t>Amount</t>
  </si>
  <si>
    <t>13-Month Ave.</t>
  </si>
  <si>
    <t>Pre-Tax Rate</t>
  </si>
  <si>
    <t>October</t>
  </si>
  <si>
    <t>November</t>
  </si>
  <si>
    <t>December</t>
  </si>
  <si>
    <t>January</t>
  </si>
  <si>
    <t>February</t>
  </si>
  <si>
    <t>March</t>
  </si>
  <si>
    <t>April</t>
  </si>
  <si>
    <t>May</t>
  </si>
  <si>
    <t>June</t>
  </si>
  <si>
    <t>July</t>
  </si>
  <si>
    <t>August</t>
  </si>
  <si>
    <t>September</t>
  </si>
  <si>
    <t>Rate ($/Dth)</t>
  </si>
  <si>
    <t>Withdrawals</t>
  </si>
  <si>
    <t>Revenue</t>
  </si>
  <si>
    <t>Sales for Resale</t>
  </si>
  <si>
    <t>483</t>
  </si>
  <si>
    <t>October 1993</t>
  </si>
  <si>
    <t>Plant By-Product</t>
  </si>
  <si>
    <t>490</t>
  </si>
  <si>
    <t>Gasoline and Oil Sales</t>
  </si>
  <si>
    <t>492</t>
  </si>
  <si>
    <t>4.</t>
  </si>
  <si>
    <t>Gasoline and Oil Cost</t>
  </si>
  <si>
    <t>758-1</t>
  </si>
  <si>
    <t>5.</t>
  </si>
  <si>
    <t>Rent from Gas Property</t>
  </si>
  <si>
    <t>493</t>
  </si>
  <si>
    <t>6.</t>
  </si>
  <si>
    <t>Other Gas Revenues</t>
  </si>
  <si>
    <t>495</t>
  </si>
  <si>
    <t>7.</t>
  </si>
  <si>
    <t>495-1</t>
  </si>
  <si>
    <t>8.</t>
  </si>
  <si>
    <t>Oil Revenue Received from Wexpro</t>
  </si>
  <si>
    <t>495-2</t>
  </si>
  <si>
    <t>Test Period Volume</t>
  </si>
  <si>
    <t>Weighted Average Cost of Gas (WACOG)</t>
  </si>
  <si>
    <t>TEST YEAR UTAH FIRM GAS COST (Exh 1.6)</t>
  </si>
  <si>
    <t>Dth</t>
  </si>
  <si>
    <t>Rate</t>
  </si>
  <si>
    <t>F-3 Demand Commodity Credit</t>
  </si>
  <si>
    <t>!-2, IS-2 Class Commodity Credit</t>
  </si>
  <si>
    <t>I-4 Class Commodity Credit</t>
  </si>
  <si>
    <t>Net Utah Gas Costs for Firm Sales</t>
  </si>
  <si>
    <t>II.</t>
  </si>
  <si>
    <t>COST TO BE RECOVERED</t>
  </si>
  <si>
    <t>Gas Cost</t>
  </si>
  <si>
    <t>Supplier Non-Gas</t>
  </si>
  <si>
    <t>SNG Under (Over)</t>
  </si>
  <si>
    <t>SNG Balance @</t>
  </si>
  <si>
    <t>Account 191 Balance</t>
  </si>
  <si>
    <t>Commodity (Residual)</t>
  </si>
  <si>
    <t>total (forecast)</t>
  </si>
  <si>
    <t>TEST PERIOD SALES VOLUMES</t>
  </si>
  <si>
    <t>Utah</t>
  </si>
  <si>
    <t>Firm Dth</t>
  </si>
  <si>
    <t>Interruptible Dth</t>
  </si>
  <si>
    <t>Wyoming Dth</t>
  </si>
  <si>
    <t>RATE DETERMINATION</t>
  </si>
  <si>
    <t>New Price ($/Dth)</t>
  </si>
  <si>
    <t>Quantity (Dth)</t>
  </si>
  <si>
    <t>Old Price ($/Dth)</t>
  </si>
  <si>
    <t>$ Price Change</t>
  </si>
  <si>
    <t>% Price Change</t>
  </si>
  <si>
    <t>F-3 Demand Commodity</t>
  </si>
  <si>
    <t>I-4, IS-4 Commodity</t>
  </si>
  <si>
    <t>(1).</t>
  </si>
  <si>
    <t>(2).</t>
  </si>
  <si>
    <t>Acc't 191 Commodity Amort</t>
  </si>
  <si>
    <t>GS-1, GSS</t>
  </si>
  <si>
    <t>Winter</t>
  </si>
  <si>
    <t>In Revrun.Exe</t>
  </si>
  <si>
    <t>SNG Costs to be</t>
  </si>
  <si>
    <t>Summer</t>
  </si>
  <si>
    <t>Computer Program</t>
  </si>
  <si>
    <t>Recovered</t>
  </si>
  <si>
    <t>@ Current Rates</t>
  </si>
  <si>
    <t>F-4</t>
  </si>
  <si>
    <t>e.</t>
  </si>
  <si>
    <t>NGV</t>
  </si>
  <si>
    <t>f.</t>
  </si>
  <si>
    <t>i.</t>
  </si>
  <si>
    <t>g.</t>
  </si>
  <si>
    <t>T-1</t>
  </si>
  <si>
    <t>h.</t>
  </si>
  <si>
    <t>E-1</t>
  </si>
  <si>
    <t>Cost less Revenue =</t>
  </si>
  <si>
    <t>Acc't 191 Commodity Amort.  =  ( Acc't 191 Commodity Balance  +  Acc't 191 Commodity Adjustment)  /  Firm Dth</t>
  </si>
  <si>
    <t>Firm Sales Commodity Rate  =  (Commodity Gas Cost  -  F-3 Demand Commodity Revenue  -  Interruptible Commodity Revenue)  /  Firm Dth</t>
  </si>
  <si>
    <t>% Change in SNG Rates  =  (SNG Cost  -  SNG Revenue at Old Rates  -  (New - Old Interruptible SNG Revenue))  /  (SNG Revenue at Old Rates - Old Interruptible SNG Revenue)</t>
  </si>
  <si>
    <t>III.</t>
  </si>
  <si>
    <t xml:space="preserve">EFFECT ON TYPICAL GS-1 CUSTOMER </t>
  </si>
  <si>
    <t>Customer</t>
  </si>
  <si>
    <t>SNG</t>
  </si>
  <si>
    <t>Total Usage</t>
  </si>
  <si>
    <t>$</t>
  </si>
  <si>
    <t>%</t>
  </si>
  <si>
    <t>Charge</t>
  </si>
  <si>
    <t>Change</t>
  </si>
  <si>
    <t>Dth/Mo.</t>
  </si>
  <si>
    <t>(Dth &lt; 45/mo.)</t>
  </si>
  <si>
    <t>Usage,</t>
  </si>
  <si>
    <t>Wyoming</t>
  </si>
  <si>
    <t>TOTAL</t>
  </si>
  <si>
    <t>T-1 Commodity (QPC SNG)</t>
  </si>
  <si>
    <t>Exh 1.6, p. 2, ff2</t>
  </si>
  <si>
    <t>DNG Rate</t>
  </si>
  <si>
    <t>No. of Periods</t>
  </si>
  <si>
    <t>Injections (not @ WACOG)</t>
  </si>
  <si>
    <t>Stabilization Contracts</t>
  </si>
  <si>
    <t>T-1 Transportation - Yearly</t>
  </si>
  <si>
    <t>T-1 Transportation - Seasonal</t>
  </si>
  <si>
    <t>Other Transportation Charges (SNG)</t>
  </si>
  <si>
    <t>Company Production</t>
  </si>
  <si>
    <t>Purchased Gas</t>
  </si>
  <si>
    <t>Wtd Average Cost of Gas (WACOG)</t>
  </si>
  <si>
    <t>I-2, IS-2</t>
  </si>
  <si>
    <t>APPLICATION OF QUESTAR GAS COMPANY</t>
  </si>
  <si>
    <t>Jan - Dec</t>
  </si>
  <si>
    <t>Nov - Mar</t>
  </si>
  <si>
    <t>Other Charges</t>
  </si>
  <si>
    <t>Other Gathering &amp; Processing Charges (SNG)</t>
  </si>
  <si>
    <t>(Exhibit 1.5, p. 1, ff. 1)</t>
  </si>
  <si>
    <t>(excluding Bad Debt expense)</t>
  </si>
  <si>
    <t>Exh 1.6, p. 2, line 4:</t>
  </si>
  <si>
    <t>(I2, IS2 rates equal those for I4, IS4)</t>
  </si>
  <si>
    <t>= Percent Change to Current Rates</t>
  </si>
  <si>
    <t>Basic Service Fee</t>
  </si>
  <si>
    <t>Category 1</t>
  </si>
  <si>
    <t>Category 2</t>
  </si>
  <si>
    <t>Category 3</t>
  </si>
  <si>
    <t>Category 4</t>
  </si>
  <si>
    <t>Summer Rates</t>
  </si>
  <si>
    <t>Winter Rates</t>
  </si>
  <si>
    <t>First 45 Dth</t>
  </si>
  <si>
    <t>Over 45 Dth</t>
  </si>
  <si>
    <t>DNG</t>
  </si>
  <si>
    <t>Total Current Contracts</t>
  </si>
  <si>
    <t>total Purchases</t>
  </si>
  <si>
    <t>total QPC Demand</t>
  </si>
  <si>
    <t>total Kern River Demand</t>
  </si>
  <si>
    <t>total QPC Commodity</t>
  </si>
  <si>
    <t>total Kern River Commodity</t>
  </si>
  <si>
    <t>Annual Charge Adjstmt (QPC+Kern)</t>
  </si>
  <si>
    <t>Notes:</t>
  </si>
  <si>
    <t>Exh 1.6, p. 1, ff4</t>
  </si>
  <si>
    <t>Firm: GS-1, GSS, F-1, F-2, NGV (calculated)</t>
  </si>
  <si>
    <t>Current Rates and Revenues</t>
  </si>
  <si>
    <t>Proposed Rates and Revenues</t>
  </si>
  <si>
    <t>Exh 1.6, p. 1, ff. 2:</t>
  </si>
  <si>
    <t>=&gt;SNG</t>
  </si>
  <si>
    <t>CALCULATION OF GENERAL SERVICE (GS) GAS MANAGEMENT RATES</t>
  </si>
  <si>
    <t>GAS MANAGEMENT COSTS</t>
  </si>
  <si>
    <t>System</t>
  </si>
  <si>
    <t>Percent Allowed</t>
  </si>
  <si>
    <t>Utah Jurisdiction</t>
  </si>
  <si>
    <t>Non-Gas</t>
  </si>
  <si>
    <t>subtotal</t>
  </si>
  <si>
    <t>Total Dth</t>
  </si>
  <si>
    <t>Average Cost</t>
  </si>
  <si>
    <t>Total Cost</t>
  </si>
  <si>
    <t>Exh 1.6, p. 4, ff1</t>
  </si>
  <si>
    <t>RATE SPREAD TABLE</t>
  </si>
  <si>
    <t>Third Party Sharing</t>
  </si>
  <si>
    <t>Allocation Factor</t>
  </si>
  <si>
    <t>Volumes</t>
  </si>
  <si>
    <t>Gas Mgmt Rate</t>
  </si>
  <si>
    <t>GS</t>
  </si>
  <si>
    <t>F1</t>
  </si>
  <si>
    <t>F3</t>
  </si>
  <si>
    <t>F4</t>
  </si>
  <si>
    <t>I Sales</t>
  </si>
  <si>
    <t>FT-2</t>
  </si>
  <si>
    <t>I Trans</t>
  </si>
  <si>
    <t>Gas Mgmt</t>
  </si>
  <si>
    <t>Est. Test Period</t>
  </si>
  <si>
    <t>Exh 1.6, p. 4, L1-L2, col (D)</t>
  </si>
  <si>
    <t>Exh 1.6, p. 4, L6-L13, col (D)</t>
  </si>
  <si>
    <t xml:space="preserve"> = (1/2) * ($1.4m - $0.4m) from Exh 1.6, p. 4, ff2 =</t>
  </si>
  <si>
    <t>IV.</t>
  </si>
  <si>
    <t>DNG Rates = Exhibit 1.8, GS-1 Rate Schedule, p. 2-2</t>
  </si>
  <si>
    <t>Exh 1.6, p.1, line 1</t>
  </si>
  <si>
    <t>Exh 1.6, p.1, line 10</t>
  </si>
  <si>
    <t>Exh 1.6, p. 1, line 6, column C</t>
  </si>
  <si>
    <t>Exh 1.6, p. 1, line 6, column D</t>
  </si>
  <si>
    <t>Exh 1.6, p. 1, line 7, column C</t>
  </si>
  <si>
    <t>Exh 1.6, p. 1, line 7, column D</t>
  </si>
  <si>
    <t>= SNG Gas Costs (G16) + SNG Acct 191 Balance (G21)</t>
  </si>
  <si>
    <t>Revenue:</t>
  </si>
  <si>
    <t>Cost:</t>
  </si>
  <si>
    <t>QPC Transportation Commodity Cost</t>
  </si>
  <si>
    <t>QPC Transportation Demand Cost</t>
  </si>
  <si>
    <t>Kern River Transportation Demand Cost</t>
  </si>
  <si>
    <t>Kern River Transportation Commodity Cost</t>
  </si>
  <si>
    <t>T-1 Commodity</t>
  </si>
  <si>
    <t>CALCULATION OF TEST PERIOD UTAH RATE ELEMENTS</t>
  </si>
  <si>
    <t>PROPOSED RATES</t>
  </si>
  <si>
    <t>CURRENT RATES</t>
  </si>
  <si>
    <t>Commodity Rate = Rates!G47 &amp; J47</t>
  </si>
  <si>
    <t>SNG Rates = Rates!G51 and G52 &amp; J51 and J52</t>
  </si>
  <si>
    <r>
      <t xml:space="preserve">Gas Management Rate = 'Gas Mgmt'!I25 &amp; </t>
    </r>
    <r>
      <rPr>
        <sz val="8"/>
        <color indexed="16"/>
        <rFont val="Arial"/>
        <family val="2"/>
      </rPr>
      <t>Current Value</t>
    </r>
  </si>
  <si>
    <t>COST OF STORAGE - Exh 1.3, p. 2</t>
  </si>
  <si>
    <t>COST OF WORKING GAS - Exh 1.3, p. 2</t>
  </si>
  <si>
    <t>COST OF TRNSPORTATION &amp; GATHERING - Exh 1.3, p. 1</t>
  </si>
  <si>
    <t>OTHER REVENUES - Exh 1.4, p. 3</t>
  </si>
  <si>
    <t>STORAGE INJ./WITHDR. ADJ. - Exh 1.4, p. 2</t>
  </si>
  <si>
    <t>H.</t>
  </si>
  <si>
    <t>Gas Management Costs [see Gas Mgmt tab]</t>
  </si>
  <si>
    <t>10% of Non-Gas not allowed</t>
  </si>
  <si>
    <t>=&gt; GMC</t>
  </si>
  <si>
    <t>Commodity Rate</t>
  </si>
  <si>
    <t>Determined Monthly</t>
  </si>
  <si>
    <t>Old Rate</t>
  </si>
  <si>
    <t>New</t>
  </si>
  <si>
    <t>New Total</t>
  </si>
  <si>
    <t>Percent Change</t>
  </si>
  <si>
    <t>12mos ending May 2008</t>
  </si>
  <si>
    <t>191 Amort</t>
  </si>
  <si>
    <t>New Rate / Old Method</t>
  </si>
  <si>
    <t>GS  Rates</t>
  </si>
  <si>
    <t>Total Commodity</t>
  </si>
  <si>
    <t>&lt;= Current, not forecast[?] total balance in 191 Account  - p. 2 of Application - footnote 4 not provided.</t>
  </si>
  <si>
    <t>&lt;= Implied amount that keeps the commodity amortization rate unchanged.</t>
  </si>
  <si>
    <t>Red indicates rates that have changed since last filing</t>
  </si>
  <si>
    <t>Half Year Adjustment</t>
  </si>
  <si>
    <t>SOURCE</t>
  </si>
  <si>
    <t>Base DNG Rate</t>
  </si>
  <si>
    <t>CET Amortization Rate</t>
  </si>
  <si>
    <t>DSM Amortization Rate</t>
  </si>
  <si>
    <t>Total DNG Rate</t>
  </si>
  <si>
    <t>Base SNG Rate</t>
  </si>
  <si>
    <t>SNG Amortization Rate</t>
  </si>
  <si>
    <t>Total SNG Rate</t>
  </si>
  <si>
    <t>Base Commodity</t>
  </si>
  <si>
    <t>Commodity Amortization Rate</t>
  </si>
  <si>
    <t>Total Commodity Rate</t>
  </si>
  <si>
    <t>Total Volumetric Rate</t>
  </si>
  <si>
    <t>%Δ In Total Volumetric Rate</t>
  </si>
  <si>
    <t>GS-1</t>
  </si>
  <si>
    <t>% Change</t>
  </si>
  <si>
    <t>Annual</t>
  </si>
  <si>
    <t>Indicates numbers that are shown in applications front page.</t>
  </si>
  <si>
    <t>Factor</t>
  </si>
  <si>
    <t>A</t>
  </si>
  <si>
    <t>B</t>
  </si>
  <si>
    <t>C</t>
  </si>
  <si>
    <t>D</t>
  </si>
  <si>
    <t>E</t>
  </si>
  <si>
    <t>G</t>
  </si>
  <si>
    <t>Line No.</t>
  </si>
  <si>
    <t>Bad debt rate</t>
  </si>
  <si>
    <t>Collection During '09 (ytd Sep 09)</t>
  </si>
  <si>
    <t>FS</t>
  </si>
  <si>
    <t>TEST YEAR CHANGE IN SUPPLIER NON-GAS COSTS</t>
  </si>
  <si>
    <t>BY RATE CLASS</t>
  </si>
  <si>
    <t xml:space="preserve">      (A)</t>
  </si>
  <si>
    <t>(B)</t>
  </si>
  <si>
    <t>(C)</t>
  </si>
  <si>
    <t>(D)</t>
  </si>
  <si>
    <t>(E)</t>
  </si>
  <si>
    <t>(F)</t>
  </si>
  <si>
    <t>Rate per Dth</t>
  </si>
  <si>
    <t>Rate Class</t>
  </si>
  <si>
    <t>Season</t>
  </si>
  <si>
    <t>Current  total 1/</t>
  </si>
  <si>
    <t>Curr. Base  1/</t>
  </si>
  <si>
    <t xml:space="preserve"> Calc. Base</t>
  </si>
  <si>
    <t>Amortization</t>
  </si>
  <si>
    <t>Total 2/</t>
  </si>
  <si>
    <t>CHECK !!</t>
  </si>
  <si>
    <t xml:space="preserve"> </t>
  </si>
  <si>
    <t>IS</t>
  </si>
  <si>
    <t>ES</t>
  </si>
  <si>
    <t>SNG Base</t>
  </si>
  <si>
    <t>SNG Amort</t>
  </si>
  <si>
    <t>Total SNG</t>
  </si>
  <si>
    <t>Taken from QGC Model filed with Pass Through</t>
  </si>
  <si>
    <t>Current GS Volumetric Rates</t>
  </si>
  <si>
    <t>Proposed GS Volumetric Rates</t>
  </si>
  <si>
    <t>GAS BALANCE FOR 12 MONTHS ENDING: _________________</t>
  </si>
  <si>
    <t>SALES VOLUMES IN DECATHERMS (12 Months of Forecast)</t>
  </si>
  <si>
    <t>Forecast</t>
  </si>
  <si>
    <t>12-Month</t>
  </si>
  <si>
    <t>RATE CLASS</t>
  </si>
  <si>
    <t>GSR</t>
  </si>
  <si>
    <t>GSC</t>
  </si>
  <si>
    <t>GSS</t>
  </si>
  <si>
    <t>F-1</t>
  </si>
  <si>
    <t>Total Firm Sales</t>
  </si>
  <si>
    <t>IS-4</t>
  </si>
  <si>
    <t>Total Interruptible Sales</t>
  </si>
  <si>
    <t>Total Utah Sales</t>
  </si>
  <si>
    <t>Total Utah Sales &amp; Trans</t>
  </si>
  <si>
    <t xml:space="preserve">   GS-1</t>
  </si>
  <si>
    <t xml:space="preserve">   GS-W</t>
  </si>
  <si>
    <t xml:space="preserve">   NGV</t>
  </si>
  <si>
    <t xml:space="preserve">   I-2</t>
  </si>
  <si>
    <t>Total Wyoming Sales</t>
  </si>
  <si>
    <t>Total Wyoming Transportation</t>
  </si>
  <si>
    <t>Total Wyoming Sales &amp; Trans</t>
  </si>
  <si>
    <t>Total System Sales and Trans</t>
  </si>
  <si>
    <t>Month</t>
  </si>
  <si>
    <t>Season (0=Winter, 1=Summer)</t>
  </si>
  <si>
    <t>DEMAND</t>
  </si>
  <si>
    <t>Average</t>
  </si>
  <si>
    <t>Production</t>
  </si>
  <si>
    <t>Demand</t>
  </si>
  <si>
    <t>Supply</t>
  </si>
  <si>
    <t>Total System</t>
  </si>
  <si>
    <t>Sales</t>
  </si>
  <si>
    <t>Company Prod</t>
  </si>
  <si>
    <t>Purchases</t>
  </si>
  <si>
    <t>Storage</t>
  </si>
  <si>
    <t xml:space="preserve">     Inj</t>
  </si>
  <si>
    <t xml:space="preserve">     With</t>
  </si>
  <si>
    <t>Utah %</t>
  </si>
  <si>
    <t>Requirements</t>
  </si>
  <si>
    <t>Net Storage</t>
  </si>
  <si>
    <t>Co Use &amp; unnac</t>
  </si>
  <si>
    <t>Total Supply</t>
  </si>
  <si>
    <t xml:space="preserve"> Shrink Remb</t>
  </si>
  <si>
    <t xml:space="preserve"> Storage fuel</t>
  </si>
  <si>
    <t>Net Storage with</t>
  </si>
  <si>
    <t>Net Stor inj</t>
  </si>
  <si>
    <t>Utah Production Csots</t>
  </si>
  <si>
    <t>rev credits</t>
  </si>
  <si>
    <t>gathering</t>
  </si>
  <si>
    <t>Transportation</t>
  </si>
  <si>
    <t>weighted unit cost</t>
  </si>
  <si>
    <t>ck</t>
  </si>
  <si>
    <t>Net Production</t>
  </si>
  <si>
    <t>Changes in GS Volumetric Rates</t>
  </si>
  <si>
    <t>Gathering</t>
  </si>
  <si>
    <t>QPL T-2 TARIFF Exhibit 1.9</t>
  </si>
  <si>
    <t>QPL Bad debt</t>
  </si>
  <si>
    <t>IS SNG Rate on Tariff sheet</t>
  </si>
  <si>
    <t>FT-1L</t>
  </si>
  <si>
    <t>FT-1</t>
  </si>
  <si>
    <t>MT</t>
  </si>
  <si>
    <t>TS</t>
  </si>
  <si>
    <t>FT-2C</t>
  </si>
  <si>
    <t>CET</t>
  </si>
  <si>
    <t>Total Utah Transportation (excludes FT-1L &amp; FT-2C)</t>
  </si>
  <si>
    <t>prev SNG bal</t>
  </si>
  <si>
    <t>Gath &amp; tranp &amp;sto</t>
  </si>
  <si>
    <t>Total %</t>
  </si>
  <si>
    <t>Total trans &amp; stor</t>
  </si>
  <si>
    <t>Low-Income Tariff Rate</t>
  </si>
  <si>
    <t>Feeder line tracker</t>
  </si>
  <si>
    <t>yes</t>
  </si>
  <si>
    <t>Rates approved in Docket No. 09-057-16, effective August 1, 2010.</t>
  </si>
  <si>
    <t>S61</t>
  </si>
  <si>
    <t>G16-I62</t>
  </si>
  <si>
    <t>DIVIDE BY</t>
  </si>
  <si>
    <t>H66-M62</t>
  </si>
  <si>
    <t>TIMES</t>
  </si>
  <si>
    <t>COMBINED IMPACT OF DOCKET NO. 10-057-17, 18,19, 20 ON TOTAL VOLUMETRIC RATES</t>
  </si>
  <si>
    <t>C. EFFECT OF COMBINED RATES ON A TYPICAL RESIDENTIAL CUSTOMER</t>
  </si>
  <si>
    <t>PASS THROUGH</t>
  </si>
  <si>
    <t>DSM</t>
  </si>
  <si>
    <t>Docket Nos. 10-057-17,18,19,20</t>
  </si>
  <si>
    <t>DPU EXHIBIT 1.6</t>
  </si>
  <si>
    <t>EXHIBIT 1.7</t>
  </si>
  <si>
    <t>c</t>
  </si>
  <si>
    <t>check</t>
  </si>
  <si>
    <t>is this annual amortization</t>
  </si>
  <si>
    <t>Current</t>
  </si>
  <si>
    <t>previous</t>
  </si>
  <si>
    <t>QPC Demand</t>
  </si>
  <si>
    <t>Utahs Change in SNG Costs</t>
  </si>
  <si>
    <t>Kern demand</t>
  </si>
  <si>
    <t>qpc commd</t>
  </si>
  <si>
    <t>kern commd</t>
  </si>
  <si>
    <t>other gather</t>
  </si>
  <si>
    <t>Storage demand</t>
  </si>
  <si>
    <t>Utah Gas Cost</t>
  </si>
  <si>
    <t>Commodity Costs</t>
  </si>
  <si>
    <t>GS Gas Cost</t>
  </si>
  <si>
    <t>FS Gas Cost</t>
  </si>
  <si>
    <t>NGV Gas Cost</t>
  </si>
  <si>
    <t>IS Gas Cost</t>
  </si>
  <si>
    <t>SNG Cost</t>
  </si>
  <si>
    <t>GS SNG Cost</t>
  </si>
  <si>
    <t>FS SNG Cost</t>
  </si>
  <si>
    <t>NGV SNG Cost</t>
  </si>
  <si>
    <t>IS SNG Cost</t>
  </si>
  <si>
    <t>Summer Previous rate</t>
  </si>
  <si>
    <t>Winter Prev Rate</t>
  </si>
  <si>
    <t>Summer Diff</t>
  </si>
  <si>
    <t>Winter Diff</t>
  </si>
  <si>
    <t>Summer Cost</t>
  </si>
  <si>
    <t>Winter Cost</t>
  </si>
  <si>
    <t>Supplier Non Gas (sng) costs</t>
  </si>
  <si>
    <t>191 Account Balance for SNG Costs</t>
  </si>
  <si>
    <t xml:space="preserve">  Total</t>
  </si>
  <si>
    <t>SNG Costs Recovered in Curr Rates</t>
  </si>
  <si>
    <t>SNG Costs Adj to Current rates</t>
  </si>
  <si>
    <t>Exhibit 1.6 Page 2 of 3</t>
  </si>
  <si>
    <t>6a</t>
  </si>
  <si>
    <t>6b</t>
  </si>
  <si>
    <t>6c</t>
  </si>
  <si>
    <t>Adjustments for SNG contrib from:</t>
  </si>
  <si>
    <t>(A)</t>
  </si>
  <si>
    <t>Percent Change to Current Rates</t>
  </si>
  <si>
    <t>New Base</t>
  </si>
  <si>
    <t>Current amort</t>
  </si>
  <si>
    <t>New Summer Rate</t>
  </si>
  <si>
    <t>New Winter Rate</t>
  </si>
  <si>
    <t>Base Commodity Costs</t>
  </si>
  <si>
    <t xml:space="preserve">Amortization Commodity Costs </t>
  </si>
  <si>
    <t>Base SNG Cost</t>
  </si>
  <si>
    <t>Amort SNG Cost</t>
  </si>
  <si>
    <t>IS Gross</t>
  </si>
  <si>
    <t>no</t>
  </si>
  <si>
    <t>SNG AMORT OVER RIDE</t>
  </si>
  <si>
    <t>tie plug</t>
  </si>
  <si>
    <t>amort costs built in rates</t>
  </si>
  <si>
    <t>Unitcosts</t>
  </si>
  <si>
    <t>SUMMER</t>
  </si>
  <si>
    <t>AMORT RATE</t>
  </si>
  <si>
    <t>SNG SUMMER</t>
  </si>
  <si>
    <t>SNG WINTER</t>
  </si>
  <si>
    <t>WINTER</t>
  </si>
  <si>
    <t>SNG AMORT COSTS COLLECTED IN CURRENT RATES</t>
  </si>
  <si>
    <t>Current Tariff Rates effective 1/1/2011</t>
  </si>
  <si>
    <t>Exhibit 1.7, GS-1 Rate Schedule, p. 2-2</t>
  </si>
  <si>
    <t>Gas Balance Information from SD#1</t>
  </si>
  <si>
    <t xml:space="preserve">Net Storage </t>
  </si>
  <si>
    <t>diff</t>
  </si>
  <si>
    <t>unlocated diff</t>
  </si>
  <si>
    <t>Total Requirements</t>
  </si>
  <si>
    <t>Storage detail</t>
  </si>
  <si>
    <t>Gas Balance Recast</t>
  </si>
  <si>
    <t>Original</t>
  </si>
  <si>
    <t xml:space="preserve"> Monthly Purchase Prices</t>
  </si>
  <si>
    <t>Opal Actual</t>
  </si>
  <si>
    <t>Previous Forecast</t>
  </si>
  <si>
    <t>Current Forecast</t>
  </si>
  <si>
    <t>CERA</t>
  </si>
  <si>
    <t>PIRA</t>
  </si>
  <si>
    <t>Average Rates</t>
  </si>
  <si>
    <t>Bank of Montreal Financial Hedge</t>
  </si>
  <si>
    <t>TOTAL TERM PURCHASES</t>
  </si>
  <si>
    <t>ANALYSIS</t>
  </si>
  <si>
    <t>TOTAL PEAKING PURCHASES</t>
  </si>
  <si>
    <t>CURRENT  CONTRACTS</t>
  </si>
  <si>
    <t>STABALIZATION COSTS &amp; adjustment to tie to total</t>
  </si>
  <si>
    <t>Term Purchase</t>
  </si>
  <si>
    <t>TOTAL CURRENT CONTRACTS</t>
  </si>
  <si>
    <t xml:space="preserve">FOM </t>
  </si>
  <si>
    <t>FIXED</t>
  </si>
  <si>
    <t>FORECAST SPOT PURCHASES</t>
  </si>
  <si>
    <t>FUTURE CONTRACTS</t>
  </si>
  <si>
    <t>Peaking Purch</t>
  </si>
  <si>
    <t>TOTAL PURCHASES</t>
  </si>
  <si>
    <t>vols</t>
  </si>
  <si>
    <t>Tot Avg Purch Cost</t>
  </si>
  <si>
    <t>UPDATED 07-057-02</t>
  </si>
  <si>
    <t>Average Term Purchases</t>
  </si>
  <si>
    <t>Average Peaking Purchases</t>
  </si>
  <si>
    <t>Total hedged</t>
  </si>
  <si>
    <t>Mmbtu</t>
  </si>
  <si>
    <t>QEP</t>
  </si>
  <si>
    <t>Total  term puchases</t>
  </si>
  <si>
    <t>Total  Peaking puchases</t>
  </si>
  <si>
    <t>Totals</t>
  </si>
  <si>
    <t>average</t>
  </si>
  <si>
    <t>UPDATED 05-057-11</t>
  </si>
  <si>
    <t xml:space="preserve">PREVIOUS </t>
  </si>
  <si>
    <t>Forecast Spot Prices</t>
  </si>
  <si>
    <t>First of Month Price</t>
  </si>
  <si>
    <t xml:space="preserve">GS Commodity Rate </t>
  </si>
  <si>
    <t>GI</t>
  </si>
  <si>
    <t>P</t>
  </si>
  <si>
    <t>Opal Forecast</t>
  </si>
  <si>
    <t>avg</t>
  </si>
  <si>
    <t>AVERAGE</t>
  </si>
  <si>
    <t>2A</t>
  </si>
  <si>
    <t>2 AVERAGE</t>
  </si>
  <si>
    <t>winter average</t>
  </si>
  <si>
    <t>2a</t>
  </si>
  <si>
    <t>TERM PURCHASES</t>
  </si>
  <si>
    <t>fixed</t>
  </si>
  <si>
    <t>Peaking purchases</t>
  </si>
  <si>
    <t>total  cost adj</t>
  </si>
  <si>
    <t>UPDATED 11-057-02</t>
  </si>
  <si>
    <t>spot</t>
  </si>
  <si>
    <t>over under spot</t>
  </si>
  <si>
    <t>PEAKING</t>
  </si>
  <si>
    <t>INPUT ANNUAL CONTRACT VOLUMES ONLY</t>
  </si>
  <si>
    <t>Lower QGC gath</t>
  </si>
  <si>
    <t>IT</t>
  </si>
  <si>
    <t>IC TRANS</t>
  </si>
  <si>
    <t>Utah Usage by Season</t>
  </si>
  <si>
    <t>TEST PERIOD GAS COST ALLOCATION SUMMARY Exh 1.4, p1 Exh 1.5</t>
  </si>
  <si>
    <t>Questar Gas Production</t>
  </si>
  <si>
    <t>Other Revenue Credit</t>
  </si>
  <si>
    <t>Gathering- Demand</t>
  </si>
  <si>
    <t>Gathering- Commodity</t>
  </si>
  <si>
    <t>Net Questar Production</t>
  </si>
  <si>
    <t>Questar Contract Gas</t>
  </si>
  <si>
    <t>Injection Withdrawal adj</t>
  </si>
  <si>
    <t>Transportation - Demand</t>
  </si>
  <si>
    <t>9.</t>
  </si>
  <si>
    <t>Transportation - Commodity</t>
  </si>
  <si>
    <t>10.</t>
  </si>
  <si>
    <t>Storage - Demand</t>
  </si>
  <si>
    <t>11.</t>
  </si>
  <si>
    <t>Storage - Commodity</t>
  </si>
  <si>
    <t>12.</t>
  </si>
  <si>
    <t>Other Transportation - Commodity</t>
  </si>
  <si>
    <t>13.</t>
  </si>
  <si>
    <t>Working Gas</t>
  </si>
  <si>
    <t>IS SNG Current Rate</t>
  </si>
  <si>
    <t>IS SNG New Rate</t>
  </si>
  <si>
    <t>Exhibit 1.6</t>
  </si>
  <si>
    <t>Page 3 of 3</t>
  </si>
  <si>
    <t>This exhibit should prove out the numbers mentioned in the pass-through filings application for the changes in total ocst, commodity cost and SNG costs</t>
  </si>
  <si>
    <t>indicates numbers that come from the previous filings current rates</t>
  </si>
  <si>
    <t xml:space="preserve">   FS</t>
  </si>
  <si>
    <t>Prev bad debt</t>
  </si>
  <si>
    <t>Stabilization</t>
  </si>
  <si>
    <t>Forecast vols</t>
  </si>
  <si>
    <t>Taken from Exh 1.2</t>
  </si>
  <si>
    <t>Vols</t>
  </si>
  <si>
    <t>Dollars</t>
  </si>
  <si>
    <t>Current Contract</t>
  </si>
  <si>
    <t>Special Override</t>
  </si>
  <si>
    <t>Sub Total</t>
  </si>
  <si>
    <t>COMMODITY</t>
  </si>
  <si>
    <t>Proposed</t>
  </si>
  <si>
    <t>RATE</t>
  </si>
  <si>
    <t>Dth Sales</t>
  </si>
  <si>
    <t>Rates</t>
  </si>
  <si>
    <t>Difference</t>
  </si>
  <si>
    <t>GS (W)</t>
  </si>
  <si>
    <t>GS (S)</t>
  </si>
  <si>
    <t>-</t>
  </si>
  <si>
    <t>-------------------</t>
  </si>
  <si>
    <t>Commodity Decrease</t>
  </si>
  <si>
    <t>Decrease to SNG</t>
  </si>
  <si>
    <t>NOT AN EXHIBIT !!!</t>
  </si>
  <si>
    <t>Rounded</t>
  </si>
  <si>
    <t>FS (w)</t>
  </si>
  <si>
    <t>FS (s)</t>
  </si>
  <si>
    <t>10/1/2011</t>
  </si>
  <si>
    <t>Legend</t>
  </si>
  <si>
    <t>pass through</t>
  </si>
  <si>
    <t>cet</t>
  </si>
  <si>
    <t>dsm</t>
  </si>
  <si>
    <t>low income</t>
  </si>
  <si>
    <t>infrastructure</t>
  </si>
  <si>
    <t>Low Income</t>
  </si>
  <si>
    <t>Infrastructure</t>
  </si>
  <si>
    <t>1st Block</t>
  </si>
  <si>
    <t>2nd Block</t>
  </si>
  <si>
    <t>3rd Block</t>
  </si>
  <si>
    <t>4th Block</t>
  </si>
  <si>
    <t>Base DNG</t>
  </si>
  <si>
    <t>Cet Amort</t>
  </si>
  <si>
    <t>DSM Amort</t>
  </si>
  <si>
    <t>Energy Ass</t>
  </si>
  <si>
    <t>Base SNG</t>
  </si>
  <si>
    <t>DNG RATE</t>
  </si>
  <si>
    <t>SNG RATE</t>
  </si>
  <si>
    <t>Base Gas Cost</t>
  </si>
  <si>
    <t>COMMODITY RATE</t>
  </si>
  <si>
    <t>TOTAL RATE</t>
  </si>
  <si>
    <t xml:space="preserve">Ann </t>
  </si>
  <si>
    <t>winter over ride</t>
  </si>
  <si>
    <t>Docket No. 12-057-08</t>
  </si>
  <si>
    <t>Filed August 1, 2012 for Rates Effective September 1, 2012.</t>
  </si>
  <si>
    <t>Rykman Demand</t>
  </si>
  <si>
    <t>Rykman Injections</t>
  </si>
  <si>
    <t>Rykman Withdrawls</t>
  </si>
  <si>
    <t>QPL ACA .00180</t>
  </si>
  <si>
    <t>distribution loss</t>
  </si>
  <si>
    <t>Docket Nos. 12-057-08,09,10,11,12</t>
  </si>
  <si>
    <t>Rates approved in Docket No. 11-057-09, effective October 1, 2011</t>
  </si>
  <si>
    <t>Rates approved in Docket No. 11-057-15, effective February 1, 2012.</t>
  </si>
  <si>
    <t>Rates approved in Docket No. 11-057-10, effective October 1, 2011</t>
  </si>
  <si>
    <t>Rates approved in Docket No. 11-057-16, effective February 1, 2012.</t>
  </si>
  <si>
    <t>Rates approved in Docket No. 11-057-08, effective October 1, 2011.</t>
  </si>
  <si>
    <t>Rates approved in Docket No. 12-057-02, effective February 1, 2012.</t>
  </si>
  <si>
    <t>Rates requested in Docket No. 12-057-09, effective September 1, 2012</t>
  </si>
  <si>
    <t>Rates requested in Docket No. 12-057-10, effective September 1, 2012</t>
  </si>
  <si>
    <t>Rates requested in Docket No. 12-057-11, effective September 1, 2012</t>
  </si>
  <si>
    <t>Rates requested in Docket No. 12-057-08, effective September 1, 2012</t>
  </si>
  <si>
    <t>Opal FOM</t>
  </si>
  <si>
    <t>PGA Commodity Rate</t>
  </si>
  <si>
    <t>Rates requested in Docket No. 12-057-12,as revised by DPU memo effective September 1, 2012</t>
  </si>
  <si>
    <t>TS - E</t>
  </si>
  <si>
    <t>FT - E</t>
  </si>
  <si>
    <t>All</t>
  </si>
  <si>
    <t>Option</t>
  </si>
  <si>
    <t>Actual Production - WEXPRO I</t>
  </si>
  <si>
    <t>Actual Production - WEXPRO II</t>
  </si>
  <si>
    <t>Forecast Volume Adjustment - WEXPRO I</t>
  </si>
  <si>
    <t>Forecast Volume Adjustment - WEXPRO II</t>
  </si>
  <si>
    <t>Operator Service Fee - WEXPRO I</t>
  </si>
  <si>
    <t>Operator Service Fee - WEXPRO II</t>
  </si>
  <si>
    <t>Total Own Production</t>
  </si>
  <si>
    <t>WEXPRO II Gathering</t>
  </si>
  <si>
    <t xml:space="preserve"> Gathering Charges</t>
  </si>
  <si>
    <t>QEP Gathering Demand Charge</t>
  </si>
  <si>
    <t>QEP Gathering - Commodity</t>
  </si>
  <si>
    <t xml:space="preserve">   Total QEP Gathering Charges</t>
  </si>
  <si>
    <t>Sept</t>
  </si>
  <si>
    <t xml:space="preserve">October </t>
  </si>
  <si>
    <t>Sale of Cost of Service Gas</t>
  </si>
  <si>
    <t>Exh 1.6, p.1, line 7</t>
  </si>
  <si>
    <t>QGM gathering</t>
  </si>
  <si>
    <t>Filing</t>
  </si>
  <si>
    <t>13-057-07</t>
  </si>
  <si>
    <t>Rates requested in Docket No. 14-057-09, effective June 1, 2014</t>
  </si>
  <si>
    <t>No</t>
  </si>
  <si>
    <t>This line needs to be the amount of under or (over) collection in the commodity</t>
  </si>
  <si>
    <t>This line needs to be the amount of under or (over) collection in SNG</t>
  </si>
  <si>
    <t xml:space="preserve">The amount entered on this line is forced to make the previous lines work.  </t>
  </si>
  <si>
    <t>Wexpro II</t>
  </si>
  <si>
    <t>Wexpro I</t>
  </si>
  <si>
    <t xml:space="preserve">Overriding Royalty Revenue </t>
  </si>
  <si>
    <t>Utah Allocation of Questar Related Gas Costs</t>
  </si>
  <si>
    <t>Amt / Month</t>
  </si>
  <si>
    <t>Rates requested in Docket No. 14-057-10, effective June 1, 2014</t>
  </si>
  <si>
    <t>Docket Nos. 14-057-09 &amp; 10</t>
  </si>
  <si>
    <t>COMBINED IMPACT OF DOCKET NO. 14-057-09 &amp; 10 ON TOTAL VOLUMETRIC RATES</t>
  </si>
  <si>
    <t>DPU EXHIBIT 1.2</t>
  </si>
  <si>
    <t>Rates approved in Docket No. 13-057-09, effective October 1, 2013.</t>
  </si>
  <si>
    <t>Rates approved in Docket No. 13-057-07, effective October 1, 2013.</t>
  </si>
  <si>
    <t>Rates approved in Docket No. 13-057-10, effective October 1, 2013.</t>
  </si>
  <si>
    <t>Rates approved in Docket No. 13-057-05, effective March 1,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</si>
</sst>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
    <numFmt numFmtId="166" formatCode="&quot;$&quot;#,##0"/>
    <numFmt numFmtId="167" formatCode="&quot;$&quot;#,##0.00000"/>
    <numFmt numFmtId="168" formatCode="&quot;$&quot;#,##0.00"/>
    <numFmt numFmtId="169" formatCode="&quot;$&quot;#,##0.000000"/>
    <numFmt numFmtId="170" formatCode="0.0000%"/>
    <numFmt numFmtId="171" formatCode="#,##0.0"/>
    <numFmt numFmtId="172" formatCode="&quot;$&quot;#,##0.00000_);\(&quot;$&quot;#,##0.00000\)"/>
    <numFmt numFmtId="173" formatCode="#,##0.0_);\(#,##0.0\)"/>
    <numFmt numFmtId="174" formatCode="#,##0.000_);\(#,##0.000\)"/>
    <numFmt numFmtId="175" formatCode="&quot;$&quot;#,##0.000000_);\(&quot;$&quot;#,##0.000000\)"/>
    <numFmt numFmtId="176" formatCode="&quot;$&quot;#,##0.00000000_);\(&quot;$&quot;#,##0.00000000\)"/>
    <numFmt numFmtId="177" formatCode="#,##0.00000_);\(#,##0.00000\)"/>
    <numFmt numFmtId="178" formatCode="&quot;$&quot;#,##0.0000_);\(&quot;$&quot;#,##0.0000\)"/>
    <numFmt numFmtId="179" formatCode="0.0%"/>
    <numFmt numFmtId="180" formatCode="_(* #,##0.00000_);_(* \(#,##0.00000\);_(* &quot;-&quot;??_);_(@_)"/>
    <numFmt numFmtId="181" formatCode="_(&quot;$&quot;* #,##0.00000_);_(&quot;$&quot;* \(#,##0.00000\);_(&quot;$&quot;* &quot;-&quot;??_);_(@_)"/>
    <numFmt numFmtId="182" formatCode="_(&quot;$&quot;* #,##0_);_(&quot;$&quot;* \(#,##0\);_(&quot;$&quot;* &quot;-&quot;??_);_(@_)"/>
    <numFmt numFmtId="183" formatCode="[$-409]mmmm\-yy;@"/>
    <numFmt numFmtId="184" formatCode="#,##0.000"/>
    <numFmt numFmtId="185" formatCode="_(&quot;$&quot;* #,##0.0000_);_(&quot;$&quot;* \(#,##0.0000\);_(&quot;$&quot;* &quot;-&quot;??_);_(@_)"/>
    <numFmt numFmtId="186" formatCode="&quot;$&quot;#,##0.000"/>
    <numFmt numFmtId="187" formatCode="_(&quot;$&quot;* #,##0.0000_);_(&quot;$&quot;* \(#,##0.0000\);_(&quot;$&quot;* &quot;-&quot;????_);_(@_)"/>
    <numFmt numFmtId="188" formatCode="_(&quot;$&quot;* #,##0.00000_);_(&quot;$&quot;* \(#,##0.00000\);_(&quot;$&quot;* &quot;-&quot;?????_);_(@_)"/>
    <numFmt numFmtId="189" formatCode="_(&quot;$&quot;* #,##0.000_);_(&quot;$&quot;* \(#,##0.000\);_(&quot;$&quot;* &quot;-&quot;???_);_(@_)"/>
    <numFmt numFmtId="190" formatCode="_(* #,##0.0_);_(* \(#,##0.0\);_(* &quot;-&quot;_);_(@_)"/>
    <numFmt numFmtId="191" formatCode="m/d/yy;@"/>
    <numFmt numFmtId="192" formatCode="_(* #,##0_);_(* \(#,##0\);_(* &quot;-&quot;??_);_(@_)"/>
    <numFmt numFmtId="193" formatCode="0.00000_)"/>
    <numFmt numFmtId="194" formatCode="[$-409]mmm\-yy;@"/>
    <numFmt numFmtId="195" formatCode="0.000%"/>
  </numFmts>
  <fonts count="77">
    <font>
      <sz val="8"/>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i/>
      <sz val="10"/>
      <color indexed="16"/>
      <name val="Arial"/>
      <family val="2"/>
    </font>
    <font>
      <u/>
      <sz val="8"/>
      <name val="Arial"/>
      <family val="2"/>
    </font>
    <font>
      <b/>
      <u/>
      <sz val="8"/>
      <name val="Arial"/>
      <family val="2"/>
    </font>
    <font>
      <sz val="8"/>
      <color indexed="12"/>
      <name val="Arial"/>
      <family val="2"/>
    </font>
    <font>
      <b/>
      <sz val="10"/>
      <color indexed="16"/>
      <name val="Arial"/>
      <family val="2"/>
    </font>
    <font>
      <sz val="8"/>
      <name val="Times New Roman"/>
      <family val="1"/>
    </font>
    <font>
      <u/>
      <sz val="8"/>
      <color indexed="12"/>
      <name val="Arial"/>
      <family val="2"/>
    </font>
    <font>
      <sz val="8"/>
      <color indexed="8"/>
      <name val="Arial"/>
      <family val="2"/>
    </font>
    <font>
      <b/>
      <sz val="8"/>
      <color indexed="16"/>
      <name val="Arial"/>
      <family val="2"/>
    </font>
    <font>
      <b/>
      <sz val="8"/>
      <name val="Arial"/>
      <family val="2"/>
    </font>
    <font>
      <sz val="8"/>
      <color indexed="16"/>
      <name val="Arial"/>
      <family val="2"/>
    </font>
    <font>
      <u/>
      <sz val="8"/>
      <color indexed="8"/>
      <name val="Arial"/>
      <family val="2"/>
    </font>
    <font>
      <sz val="8"/>
      <name val="Arial"/>
      <family val="2"/>
    </font>
    <font>
      <sz val="8"/>
      <color indexed="8"/>
      <name val="Arial"/>
      <family val="2"/>
    </font>
    <font>
      <sz val="8"/>
      <name val="Arial"/>
      <family val="2"/>
    </font>
    <font>
      <u/>
      <sz val="8"/>
      <color indexed="12"/>
      <name val="Arial"/>
      <family val="2"/>
    </font>
    <font>
      <b/>
      <sz val="8"/>
      <color indexed="16"/>
      <name val="Arial"/>
      <family val="2"/>
    </font>
    <font>
      <b/>
      <sz val="8"/>
      <color indexed="8"/>
      <name val="Arial"/>
      <family val="2"/>
    </font>
    <font>
      <b/>
      <u/>
      <sz val="8"/>
      <name val="Arial"/>
      <family val="2"/>
    </font>
    <font>
      <b/>
      <i/>
      <sz val="8"/>
      <color indexed="16"/>
      <name val="Arial"/>
      <family val="2"/>
    </font>
    <font>
      <u/>
      <sz val="8"/>
      <name val="Arial"/>
      <family val="2"/>
    </font>
    <font>
      <b/>
      <sz val="8"/>
      <color indexed="10"/>
      <name val="Arial"/>
      <family val="2"/>
    </font>
    <font>
      <sz val="8"/>
      <color indexed="12"/>
      <name val="Arial"/>
      <family val="2"/>
    </font>
    <font>
      <u/>
      <sz val="8"/>
      <color indexed="8"/>
      <name val="Arial"/>
      <family val="2"/>
    </font>
    <font>
      <sz val="8"/>
      <color indexed="10"/>
      <name val="Arial"/>
      <family val="2"/>
    </font>
    <font>
      <sz val="8"/>
      <color indexed="17"/>
      <name val="Arial"/>
      <family val="2"/>
    </font>
    <font>
      <b/>
      <sz val="8"/>
      <color indexed="17"/>
      <name val="Arial"/>
      <family val="2"/>
    </font>
    <font>
      <b/>
      <sz val="8"/>
      <name val="Arial"/>
      <family val="2"/>
    </font>
    <font>
      <sz val="8"/>
      <color indexed="16"/>
      <name val="Arial"/>
      <family val="2"/>
    </font>
    <font>
      <sz val="8"/>
      <color indexed="10"/>
      <name val="Arial"/>
      <family val="2"/>
    </font>
    <font>
      <sz val="10"/>
      <name val="Arial"/>
      <family val="2"/>
    </font>
    <font>
      <b/>
      <u/>
      <sz val="8"/>
      <color indexed="8"/>
      <name val="Arial"/>
      <family val="2"/>
    </font>
    <font>
      <sz val="8"/>
      <color indexed="48"/>
      <name val="Arial"/>
      <family val="2"/>
    </font>
    <font>
      <sz val="8"/>
      <color indexed="81"/>
      <name val="Tahoma"/>
      <family val="2"/>
    </font>
    <font>
      <b/>
      <sz val="8"/>
      <color indexed="81"/>
      <name val="Tahoma"/>
      <family val="2"/>
    </font>
    <font>
      <sz val="8"/>
      <name val="Arial"/>
      <family val="2"/>
    </font>
    <font>
      <sz val="8"/>
      <name val="LinePrinter"/>
    </font>
    <font>
      <b/>
      <sz val="10"/>
      <name val="Arial"/>
      <family val="2"/>
    </font>
    <font>
      <sz val="10"/>
      <color indexed="12"/>
      <name val="Arial"/>
      <family val="2"/>
    </font>
    <font>
      <sz val="10"/>
      <color indexed="8"/>
      <name val="Arial"/>
      <family val="2"/>
    </font>
    <font>
      <b/>
      <sz val="10"/>
      <color indexed="10"/>
      <name val="Arial"/>
      <family val="2"/>
    </font>
    <font>
      <sz val="10"/>
      <color indexed="10"/>
      <name val="Arial"/>
      <family val="2"/>
    </font>
    <font>
      <sz val="10"/>
      <name val="MS Sans Serif"/>
      <family val="2"/>
    </font>
    <font>
      <b/>
      <sz val="10"/>
      <name val="MS Sans Serif"/>
      <family val="2"/>
    </font>
    <font>
      <sz val="8"/>
      <name val="Arial"/>
      <family val="2"/>
    </font>
    <font>
      <sz val="8"/>
      <name val="Arial"/>
      <family val="2"/>
    </font>
    <font>
      <b/>
      <sz val="10"/>
      <color indexed="8"/>
      <name val="Arial"/>
      <family val="2"/>
    </font>
    <font>
      <sz val="8"/>
      <name val="Arial"/>
      <family val="2"/>
    </font>
    <font>
      <b/>
      <sz val="8"/>
      <color rgb="FF0070C0"/>
      <name val="Arial"/>
      <family val="2"/>
    </font>
    <font>
      <sz val="8"/>
      <color rgb="FF0070C0"/>
      <name val="Arial"/>
      <family val="2"/>
    </font>
    <font>
      <sz val="10"/>
      <color theme="1"/>
      <name val="Arial"/>
      <family val="2"/>
    </font>
    <font>
      <sz val="8"/>
      <color theme="1"/>
      <name val="Arial"/>
      <family val="2"/>
    </font>
    <font>
      <u/>
      <sz val="8"/>
      <color theme="1"/>
      <name val="Arial"/>
      <family val="2"/>
    </font>
    <font>
      <u/>
      <sz val="8"/>
      <color theme="3" tint="0.39997558519241921"/>
      <name val="Arial"/>
      <family val="2"/>
    </font>
    <font>
      <sz val="8"/>
      <color rgb="FF00B050"/>
      <name val="Arial"/>
      <family val="2"/>
    </font>
    <font>
      <sz val="8"/>
      <color theme="9" tint="-0.499984740745262"/>
      <name val="Arial"/>
      <family val="2"/>
    </font>
    <font>
      <sz val="8"/>
      <color theme="3" tint="0.39997558519241921"/>
      <name val="Arial"/>
      <family val="2"/>
    </font>
    <font>
      <b/>
      <sz val="10"/>
      <color indexed="57"/>
      <name val="Arial"/>
      <family val="2"/>
    </font>
    <font>
      <sz val="10"/>
      <color indexed="48"/>
      <name val="Arial"/>
      <family val="2"/>
    </font>
    <font>
      <u val="singleAccounting"/>
      <sz val="10"/>
      <color indexed="48"/>
      <name val="Arial"/>
      <family val="2"/>
    </font>
    <font>
      <u val="singleAccounting"/>
      <sz val="10"/>
      <name val="Arial"/>
      <family val="2"/>
    </font>
    <font>
      <u val="singleAccounting"/>
      <sz val="10"/>
      <color indexed="8"/>
      <name val="Arial"/>
      <family val="2"/>
    </font>
    <font>
      <sz val="9"/>
      <color indexed="81"/>
      <name val="Tahoma"/>
      <family val="2"/>
    </font>
    <font>
      <b/>
      <sz val="9"/>
      <color indexed="81"/>
      <name val="Tahoma"/>
      <family val="2"/>
    </font>
    <font>
      <sz val="8"/>
      <color rgb="FF002060"/>
      <name val="Arial"/>
      <family val="2"/>
    </font>
    <font>
      <sz val="10"/>
      <color rgb="FFFF0000"/>
      <name val="Arial"/>
      <family val="2"/>
    </font>
    <font>
      <u val="singleAccounting"/>
      <sz val="8"/>
      <color rgb="FF00B050"/>
      <name val="Arial"/>
      <family val="2"/>
    </font>
    <font>
      <u val="singleAccounting"/>
      <sz val="8"/>
      <name val="Arial"/>
      <family val="2"/>
    </font>
    <font>
      <sz val="8"/>
      <color rgb="FFFF0000"/>
      <name val="Arial"/>
      <family val="2"/>
    </font>
    <font>
      <sz val="8"/>
      <color rgb="FF00B0F0"/>
      <name val="Arial"/>
      <family val="2"/>
    </font>
    <font>
      <b/>
      <sz val="10"/>
      <color theme="3" tint="0.39997558519241921"/>
      <name val="Arial"/>
      <family val="2"/>
    </font>
    <font>
      <sz val="8"/>
      <color theme="4" tint="-0.499984740745262"/>
      <name val="Arial"/>
      <family val="2"/>
    </font>
  </fonts>
  <fills count="18">
    <fill>
      <patternFill patternType="none"/>
    </fill>
    <fill>
      <patternFill patternType="gray125"/>
    </fill>
    <fill>
      <patternFill patternType="mediumGray">
        <fgColor indexed="22"/>
      </patternFill>
    </fill>
    <fill>
      <patternFill patternType="solid">
        <fgColor indexed="13"/>
        <bgColor indexed="64"/>
      </patternFill>
    </fill>
    <fill>
      <patternFill patternType="solid">
        <fgColor indexed="47"/>
        <bgColor indexed="64"/>
      </patternFill>
    </fill>
    <fill>
      <patternFill patternType="solid">
        <fgColor indexed="22"/>
        <bgColor indexed="64"/>
      </patternFill>
    </fill>
    <fill>
      <patternFill patternType="solid">
        <fgColor rgb="FFFFFF00"/>
        <bgColor indexed="64"/>
      </patternFill>
    </fill>
    <fill>
      <patternFill patternType="solid">
        <fgColor theme="9" tint="0.39997558519241921"/>
        <bgColor indexed="64"/>
      </patternFill>
    </fill>
    <fill>
      <patternFill patternType="solid">
        <fgColor indexed="11"/>
        <bgColor indexed="64"/>
      </patternFill>
    </fill>
    <fill>
      <patternFill patternType="solid">
        <fgColor indexed="52"/>
        <bgColor indexed="64"/>
      </patternFill>
    </fill>
    <fill>
      <patternFill patternType="solid">
        <fgColor indexed="10"/>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
      <patternFill patternType="solid">
        <fgColor theme="7" tint="0.79998168889431442"/>
        <bgColor indexed="64"/>
      </patternFill>
    </fill>
    <fill>
      <patternFill patternType="solid">
        <fgColor rgb="FFFF0000"/>
        <bgColor indexed="64"/>
      </patternFill>
    </fill>
    <fill>
      <patternFill patternType="solid">
        <fgColor theme="4" tint="0.59999389629810485"/>
        <bgColor indexed="64"/>
      </patternFill>
    </fill>
    <fill>
      <patternFill patternType="solid">
        <fgColor theme="6" tint="0.59999389629810485"/>
        <bgColor indexed="64"/>
      </patternFill>
    </fill>
  </fills>
  <borders count="65">
    <border>
      <left/>
      <right/>
      <top/>
      <bottom/>
      <diagonal/>
    </border>
    <border>
      <left/>
      <right/>
      <top/>
      <bottom style="medium">
        <color indexed="64"/>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8"/>
      </right>
      <top style="thin">
        <color indexed="8"/>
      </top>
      <bottom/>
      <diagonal/>
    </border>
    <border>
      <left/>
      <right/>
      <top/>
      <bottom style="thin">
        <color indexed="8"/>
      </bottom>
      <diagonal/>
    </border>
    <border>
      <left/>
      <right style="thin">
        <color indexed="8"/>
      </right>
      <top/>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s>
  <cellStyleXfs count="28">
    <xf numFmtId="3" fontId="0" fillId="0" borderId="0"/>
    <xf numFmtId="43" fontId="35" fillId="0" borderId="0" applyFont="0" applyFill="0" applyBorder="0" applyAlignment="0" applyProtection="0"/>
    <xf numFmtId="44" fontId="35" fillId="0" borderId="0" applyFont="0" applyFill="0" applyBorder="0" applyAlignment="0" applyProtection="0"/>
    <xf numFmtId="183" fontId="41" fillId="0" borderId="0"/>
    <xf numFmtId="183" fontId="41" fillId="0" borderId="0"/>
    <xf numFmtId="183" fontId="35" fillId="0" borderId="0"/>
    <xf numFmtId="183" fontId="17" fillId="0" borderId="0"/>
    <xf numFmtId="9" fontId="35" fillId="0" borderId="0" applyFont="0" applyFill="0" applyBorder="0" applyAlignment="0" applyProtection="0"/>
    <xf numFmtId="183" fontId="47" fillId="0" borderId="0" applyNumberFormat="0" applyFont="0" applyFill="0" applyBorder="0" applyAlignment="0" applyProtection="0">
      <alignment horizontal="left"/>
    </xf>
    <xf numFmtId="15" fontId="47" fillId="0" borderId="0" applyFont="0" applyFill="0" applyBorder="0" applyAlignment="0" applyProtection="0"/>
    <xf numFmtId="4" fontId="47" fillId="0" borderId="0" applyFont="0" applyFill="0" applyBorder="0" applyAlignment="0" applyProtection="0"/>
    <xf numFmtId="183" fontId="48" fillId="0" borderId="1">
      <alignment horizontal="center"/>
    </xf>
    <xf numFmtId="3" fontId="47" fillId="0" borderId="0" applyFont="0" applyFill="0" applyBorder="0" applyAlignment="0" applyProtection="0"/>
    <xf numFmtId="183" fontId="47" fillId="2" borderId="0" applyNumberFormat="0" applyFont="0" applyBorder="0" applyAlignment="0" applyProtection="0"/>
    <xf numFmtId="183" fontId="35" fillId="0" borderId="0"/>
    <xf numFmtId="43" fontId="35" fillId="0" borderId="0" applyFont="0" applyFill="0" applyBorder="0" applyAlignment="0" applyProtection="0"/>
    <xf numFmtId="44" fontId="3" fillId="0" borderId="0" applyFont="0" applyFill="0" applyBorder="0" applyAlignment="0" applyProtection="0"/>
    <xf numFmtId="9" fontId="35" fillId="0" borderId="0" applyFont="0" applyFill="0" applyBorder="0" applyAlignment="0" applyProtection="0"/>
    <xf numFmtId="3" fontId="17" fillId="0" borderId="0"/>
    <xf numFmtId="183" fontId="2" fillId="0" borderId="0"/>
    <xf numFmtId="43" fontId="35" fillId="0" borderId="0" applyFont="0" applyFill="0" applyBorder="0" applyAlignment="0" applyProtection="0"/>
    <xf numFmtId="9" fontId="35" fillId="0" borderId="0" applyFont="0" applyFill="0" applyBorder="0" applyAlignment="0" applyProtection="0"/>
    <xf numFmtId="183" fontId="35" fillId="0" borderId="0"/>
    <xf numFmtId="44" fontId="35" fillId="0" borderId="0" applyFont="0" applyFill="0" applyBorder="0" applyAlignment="0" applyProtection="0"/>
    <xf numFmtId="44" fontId="1" fillId="0" borderId="0" applyFont="0" applyFill="0" applyBorder="0" applyAlignment="0" applyProtection="0"/>
    <xf numFmtId="183" fontId="1" fillId="0" borderId="0"/>
    <xf numFmtId="44" fontId="1" fillId="0" borderId="0" applyFont="0" applyFill="0" applyBorder="0" applyAlignment="0" applyProtection="0"/>
    <xf numFmtId="183" fontId="1" fillId="0" borderId="0"/>
  </cellStyleXfs>
  <cellXfs count="992">
    <xf numFmtId="3" fontId="6" fillId="0" borderId="0" xfId="0" applyNumberFormat="1" applyFont="1" applyAlignment="1" applyProtection="1">
      <protection locked="0"/>
    </xf>
    <xf numFmtId="3" fontId="0" fillId="0" borderId="0" xfId="0" applyNumberFormat="1" applyFont="1" applyAlignment="1"/>
    <xf numFmtId="3" fontId="0" fillId="0" borderId="0" xfId="0" applyNumberFormat="1" applyFont="1" applyAlignment="1" applyProtection="1">
      <protection locked="0"/>
    </xf>
    <xf numFmtId="3" fontId="5" fillId="0" borderId="0" xfId="0" applyFont="1" applyAlignment="1"/>
    <xf numFmtId="3" fontId="6" fillId="0" borderId="0" xfId="0" applyFont="1" applyAlignment="1">
      <alignment horizontal="right"/>
    </xf>
    <xf numFmtId="3" fontId="7" fillId="0" borderId="0" xfId="0" applyFont="1" applyAlignment="1">
      <alignment horizontal="right"/>
    </xf>
    <xf numFmtId="3" fontId="0" fillId="0" borderId="0" xfId="0" applyNumberFormat="1" applyFont="1" applyAlignment="1">
      <alignment horizontal="center"/>
    </xf>
    <xf numFmtId="9" fontId="0" fillId="0" borderId="0" xfId="0" applyNumberFormat="1" applyFont="1" applyAlignment="1"/>
    <xf numFmtId="164" fontId="0" fillId="0" borderId="0" xfId="0" applyNumberFormat="1" applyFont="1" applyAlignment="1"/>
    <xf numFmtId="3" fontId="9" fillId="0" borderId="0" xfId="0" applyFont="1" applyAlignment="1">
      <alignment horizontal="center"/>
    </xf>
    <xf numFmtId="3" fontId="9" fillId="0" borderId="0" xfId="0" applyFont="1" applyAlignment="1"/>
    <xf numFmtId="3" fontId="8" fillId="0" borderId="0" xfId="0" applyNumberFormat="1" applyFont="1" applyAlignment="1"/>
    <xf numFmtId="3" fontId="10" fillId="0" borderId="0" xfId="0" applyNumberFormat="1" applyFont="1" applyAlignment="1"/>
    <xf numFmtId="3" fontId="4" fillId="0" borderId="0" xfId="0" applyNumberFormat="1" applyFont="1" applyAlignment="1"/>
    <xf numFmtId="167" fontId="0" fillId="0" borderId="0" xfId="0" applyNumberFormat="1" applyFont="1" applyAlignment="1"/>
    <xf numFmtId="166" fontId="0" fillId="0" borderId="0" xfId="0" applyNumberFormat="1" applyFont="1" applyAlignment="1"/>
    <xf numFmtId="3" fontId="6" fillId="0" borderId="0" xfId="0" applyFont="1" applyAlignment="1"/>
    <xf numFmtId="3" fontId="6" fillId="0" borderId="0" xfId="0" applyNumberFormat="1" applyFont="1" applyAlignment="1">
      <alignment horizontal="right"/>
    </xf>
    <xf numFmtId="165" fontId="0" fillId="0" borderId="0" xfId="0" applyNumberFormat="1" applyFont="1" applyAlignment="1"/>
    <xf numFmtId="10" fontId="0" fillId="0" borderId="0" xfId="0" applyNumberFormat="1" applyFont="1" applyAlignment="1"/>
    <xf numFmtId="3" fontId="0" fillId="0" borderId="0" xfId="0" applyNumberFormat="1" applyFont="1" applyAlignment="1">
      <alignment horizontal="right"/>
    </xf>
    <xf numFmtId="3" fontId="0" fillId="0" borderId="0" xfId="0" applyFont="1" applyAlignment="1"/>
    <xf numFmtId="3" fontId="0" fillId="0" borderId="0" xfId="0" applyNumberFormat="1" applyFont="1" applyAlignment="1">
      <alignment horizontal="left"/>
    </xf>
    <xf numFmtId="183" fontId="0" fillId="0" borderId="0" xfId="0" applyNumberFormat="1" applyFont="1" applyAlignment="1">
      <alignment horizontal="center"/>
    </xf>
    <xf numFmtId="3" fontId="0" fillId="0" borderId="0" xfId="0" applyNumberFormat="1" applyFont="1" applyAlignment="1">
      <alignment vertical="top"/>
    </xf>
    <xf numFmtId="3" fontId="14" fillId="0" borderId="0" xfId="0" applyNumberFormat="1" applyFont="1" applyAlignment="1"/>
    <xf numFmtId="183" fontId="0" fillId="0" borderId="0" xfId="0" applyNumberFormat="1" applyFont="1" applyAlignment="1">
      <alignment horizontal="left"/>
    </xf>
    <xf numFmtId="3" fontId="0" fillId="0" borderId="0" xfId="0" applyFont="1" applyAlignment="1">
      <alignment horizontal="center"/>
    </xf>
    <xf numFmtId="169" fontId="0" fillId="0" borderId="0" xfId="0" applyNumberFormat="1" applyFont="1" applyAlignment="1"/>
    <xf numFmtId="3" fontId="5" fillId="0" borderId="0" xfId="0" applyNumberFormat="1" applyFont="1" applyAlignment="1"/>
    <xf numFmtId="3" fontId="9" fillId="0" borderId="0" xfId="0" applyNumberFormat="1" applyFont="1" applyAlignment="1">
      <alignment horizontal="center"/>
    </xf>
    <xf numFmtId="3" fontId="9" fillId="0" borderId="0" xfId="0" applyNumberFormat="1" applyFont="1" applyAlignment="1"/>
    <xf numFmtId="3" fontId="16" fillId="0" borderId="0" xfId="0" applyNumberFormat="1" applyFont="1" applyAlignment="1"/>
    <xf numFmtId="166" fontId="16" fillId="0" borderId="0" xfId="0" applyNumberFormat="1" applyFont="1" applyAlignment="1"/>
    <xf numFmtId="166" fontId="16" fillId="0" borderId="0" xfId="0" applyNumberFormat="1" applyFont="1" applyAlignment="1">
      <alignment horizontal="right"/>
    </xf>
    <xf numFmtId="3" fontId="16" fillId="0" borderId="0" xfId="0" applyNumberFormat="1" applyFont="1" applyAlignment="1">
      <alignment horizontal="right"/>
    </xf>
    <xf numFmtId="169" fontId="16" fillId="0" borderId="0" xfId="0" applyNumberFormat="1" applyFont="1" applyAlignment="1">
      <alignment horizontal="right"/>
    </xf>
    <xf numFmtId="10" fontId="16" fillId="0" borderId="0" xfId="0" applyNumberFormat="1" applyFont="1" applyAlignment="1">
      <alignment horizontal="right"/>
    </xf>
    <xf numFmtId="169" fontId="16" fillId="0" borderId="0" xfId="0" applyNumberFormat="1" applyFont="1" applyAlignment="1"/>
    <xf numFmtId="10" fontId="16" fillId="0" borderId="0" xfId="0" applyNumberFormat="1" applyFont="1" applyAlignment="1"/>
    <xf numFmtId="10" fontId="0" fillId="0" borderId="0" xfId="0" applyNumberFormat="1" applyFont="1" applyAlignment="1">
      <alignment horizontal="right"/>
    </xf>
    <xf numFmtId="10" fontId="6" fillId="0" borderId="0" xfId="0" applyNumberFormat="1" applyFont="1" applyAlignment="1">
      <alignment horizontal="right"/>
    </xf>
    <xf numFmtId="170" fontId="0" fillId="0" borderId="0" xfId="0" applyNumberFormat="1" applyFont="1" applyAlignment="1"/>
    <xf numFmtId="168" fontId="0" fillId="0" borderId="0" xfId="0" applyNumberFormat="1" applyFont="1" applyAlignment="1"/>
    <xf numFmtId="171" fontId="0" fillId="0" borderId="0" xfId="0" applyNumberFormat="1" applyFont="1" applyAlignment="1"/>
    <xf numFmtId="183" fontId="17" fillId="0" borderId="0" xfId="6" applyNumberFormat="1" applyFont="1" applyAlignment="1"/>
    <xf numFmtId="183" fontId="17" fillId="0" borderId="0" xfId="6" applyAlignment="1"/>
    <xf numFmtId="3" fontId="5" fillId="0" borderId="0" xfId="6" applyNumberFormat="1" applyFont="1" applyAlignment="1"/>
    <xf numFmtId="3" fontId="9" fillId="0" borderId="0" xfId="6" applyNumberFormat="1" applyFont="1" applyAlignment="1">
      <alignment horizontal="center"/>
    </xf>
    <xf numFmtId="3" fontId="9" fillId="0" borderId="0" xfId="6" applyNumberFormat="1" applyFont="1" applyAlignment="1"/>
    <xf numFmtId="167" fontId="12" fillId="0" borderId="0" xfId="6" applyNumberFormat="1" applyFont="1" applyAlignment="1"/>
    <xf numFmtId="166" fontId="11" fillId="0" borderId="0" xfId="6" applyNumberFormat="1" applyFont="1" applyAlignment="1"/>
    <xf numFmtId="169" fontId="17" fillId="0" borderId="0" xfId="6" applyNumberFormat="1" applyFont="1" applyAlignment="1"/>
    <xf numFmtId="10" fontId="17" fillId="0" borderId="0" xfId="6" applyNumberFormat="1" applyFont="1" applyAlignment="1"/>
    <xf numFmtId="183" fontId="17" fillId="0" borderId="0" xfId="6" applyNumberFormat="1" applyFont="1" applyAlignment="1">
      <alignment horizontal="center"/>
    </xf>
    <xf numFmtId="183" fontId="17" fillId="0" borderId="2" xfId="6" applyNumberFormat="1" applyFont="1" applyBorder="1" applyAlignment="1">
      <alignment horizontal="center"/>
    </xf>
    <xf numFmtId="183" fontId="17" fillId="0" borderId="3" xfId="6" applyNumberFormat="1" applyFont="1" applyBorder="1" applyAlignment="1">
      <alignment horizontal="center"/>
    </xf>
    <xf numFmtId="183" fontId="17" fillId="0" borderId="4" xfId="6" applyNumberFormat="1" applyFont="1" applyBorder="1" applyAlignment="1"/>
    <xf numFmtId="183" fontId="17" fillId="0" borderId="2" xfId="6" applyNumberFormat="1" applyFont="1" applyBorder="1" applyAlignment="1"/>
    <xf numFmtId="166" fontId="8" fillId="0" borderId="2" xfId="6" applyNumberFormat="1" applyFont="1" applyBorder="1" applyAlignment="1"/>
    <xf numFmtId="183" fontId="17" fillId="0" borderId="2" xfId="6" applyBorder="1"/>
    <xf numFmtId="37" fontId="0" fillId="0" borderId="0" xfId="0" applyNumberFormat="1" applyFont="1" applyAlignment="1"/>
    <xf numFmtId="5" fontId="0" fillId="0" borderId="0" xfId="0" applyNumberFormat="1" applyFont="1" applyAlignment="1"/>
    <xf numFmtId="5" fontId="16" fillId="0" borderId="0" xfId="0" applyNumberFormat="1" applyFont="1" applyAlignment="1"/>
    <xf numFmtId="172" fontId="8" fillId="0" borderId="0" xfId="0" applyNumberFormat="1" applyFont="1" applyAlignment="1"/>
    <xf numFmtId="172" fontId="0" fillId="0" borderId="0" xfId="0" applyNumberFormat="1" applyFont="1" applyAlignment="1"/>
    <xf numFmtId="172" fontId="16" fillId="0" borderId="0" xfId="0" applyNumberFormat="1" applyFont="1" applyAlignment="1"/>
    <xf numFmtId="7" fontId="0" fillId="0" borderId="0" xfId="0" applyNumberFormat="1" applyFont="1" applyAlignment="1"/>
    <xf numFmtId="5" fontId="8" fillId="0" borderId="0" xfId="0" applyNumberFormat="1" applyFont="1" applyAlignment="1" applyProtection="1">
      <protection locked="0"/>
    </xf>
    <xf numFmtId="37" fontId="8" fillId="0" borderId="0" xfId="0" applyNumberFormat="1" applyFont="1" applyAlignment="1"/>
    <xf numFmtId="37" fontId="0" fillId="0" borderId="0" xfId="0" applyNumberFormat="1" applyFont="1" applyAlignment="1">
      <alignment horizontal="center"/>
    </xf>
    <xf numFmtId="37" fontId="12" fillId="0" borderId="0" xfId="0" applyNumberFormat="1" applyFont="1" applyAlignment="1" applyProtection="1">
      <protection locked="0"/>
    </xf>
    <xf numFmtId="5" fontId="0" fillId="0" borderId="0" xfId="0" applyNumberFormat="1" applyAlignment="1">
      <alignment horizontal="right"/>
    </xf>
    <xf numFmtId="5" fontId="0" fillId="0" borderId="0" xfId="0" quotePrefix="1" applyNumberFormat="1" applyAlignment="1"/>
    <xf numFmtId="5" fontId="0" fillId="0" borderId="0" xfId="0" applyNumberFormat="1" applyFont="1" applyAlignment="1">
      <alignment horizontal="center"/>
    </xf>
    <xf numFmtId="5" fontId="8" fillId="0" borderId="0" xfId="0" applyNumberFormat="1" applyFont="1" applyAlignment="1"/>
    <xf numFmtId="172" fontId="17" fillId="0" borderId="0" xfId="6" applyNumberFormat="1" applyFont="1" applyAlignment="1">
      <alignment horizontal="center"/>
    </xf>
    <xf numFmtId="7" fontId="17" fillId="0" borderId="0" xfId="6" applyNumberFormat="1" applyFont="1" applyAlignment="1">
      <alignment horizontal="center"/>
    </xf>
    <xf numFmtId="8" fontId="17" fillId="0" borderId="3" xfId="6" applyNumberFormat="1" applyFont="1" applyBorder="1" applyAlignment="1">
      <alignment horizontal="center"/>
    </xf>
    <xf numFmtId="183" fontId="17" fillId="0" borderId="5" xfId="6" applyNumberFormat="1" applyFont="1" applyBorder="1" applyAlignment="1">
      <alignment horizontal="centerContinuous"/>
    </xf>
    <xf numFmtId="10" fontId="17" fillId="0" borderId="5" xfId="6" applyNumberFormat="1" applyFont="1" applyBorder="1" applyAlignment="1">
      <alignment horizontal="centerContinuous"/>
    </xf>
    <xf numFmtId="183" fontId="17" fillId="0" borderId="6" xfId="6" applyNumberFormat="1" applyFont="1" applyBorder="1" applyAlignment="1">
      <alignment horizontal="center"/>
    </xf>
    <xf numFmtId="183" fontId="17" fillId="0" borderId="7" xfId="6" applyNumberFormat="1" applyFont="1" applyBorder="1" applyAlignment="1">
      <alignment horizontal="center"/>
    </xf>
    <xf numFmtId="167" fontId="18" fillId="0" borderId="8" xfId="6" applyNumberFormat="1" applyFont="1" applyBorder="1" applyAlignment="1">
      <alignment horizontal="center"/>
    </xf>
    <xf numFmtId="183" fontId="19" fillId="0" borderId="9" xfId="6" applyNumberFormat="1" applyFont="1" applyBorder="1" applyAlignment="1">
      <alignment horizontal="center"/>
    </xf>
    <xf numFmtId="183" fontId="17" fillId="0" borderId="10" xfId="6" applyNumberFormat="1" applyFont="1" applyBorder="1" applyAlignment="1"/>
    <xf numFmtId="7" fontId="17" fillId="0" borderId="0" xfId="6" applyNumberFormat="1" applyFont="1" applyBorder="1" applyAlignment="1" applyProtection="1">
      <alignment horizontal="center"/>
      <protection locked="0"/>
    </xf>
    <xf numFmtId="7" fontId="17" fillId="0" borderId="11" xfId="6" applyNumberFormat="1" applyFont="1" applyBorder="1" applyAlignment="1" applyProtection="1">
      <alignment horizontal="center"/>
      <protection locked="0"/>
    </xf>
    <xf numFmtId="183" fontId="17" fillId="0" borderId="5" xfId="6" applyNumberFormat="1" applyFont="1" applyBorder="1" applyAlignment="1"/>
    <xf numFmtId="183" fontId="17" fillId="0" borderId="4" xfId="6" applyNumberFormat="1" applyFont="1" applyBorder="1" applyAlignment="1">
      <alignment horizontal="centerContinuous"/>
    </xf>
    <xf numFmtId="37" fontId="6" fillId="0" borderId="0" xfId="0" applyNumberFormat="1" applyFont="1" applyAlignment="1"/>
    <xf numFmtId="37" fontId="7" fillId="0" borderId="0" xfId="0" applyNumberFormat="1" applyFont="1" applyAlignment="1">
      <alignment horizontal="right"/>
    </xf>
    <xf numFmtId="37" fontId="0" fillId="0" borderId="0" xfId="0" applyNumberFormat="1" applyFont="1" applyAlignment="1" applyProtection="1">
      <protection locked="0"/>
    </xf>
    <xf numFmtId="37" fontId="0" fillId="0" borderId="0" xfId="0" applyNumberFormat="1" applyFont="1" applyAlignment="1">
      <alignment horizontal="right"/>
    </xf>
    <xf numFmtId="37" fontId="0" fillId="0" borderId="0" xfId="0" applyNumberFormat="1" applyFont="1" applyAlignment="1">
      <alignment vertical="top"/>
    </xf>
    <xf numFmtId="3" fontId="22" fillId="0" borderId="0" xfId="0" applyNumberFormat="1" applyFont="1" applyAlignment="1">
      <alignment horizontal="center"/>
    </xf>
    <xf numFmtId="37" fontId="12" fillId="0" borderId="0" xfId="0" applyNumberFormat="1" applyFont="1" applyAlignment="1"/>
    <xf numFmtId="37" fontId="0" fillId="0" borderId="0" xfId="0" applyNumberFormat="1" applyAlignment="1"/>
    <xf numFmtId="172" fontId="12" fillId="0" borderId="0" xfId="0" applyNumberFormat="1" applyFont="1" applyAlignment="1"/>
    <xf numFmtId="7" fontId="12" fillId="0" borderId="0" xfId="0" applyNumberFormat="1" applyFont="1" applyAlignment="1"/>
    <xf numFmtId="5" fontId="6" fillId="0" borderId="0" xfId="0" applyNumberFormat="1" applyFont="1" applyAlignment="1"/>
    <xf numFmtId="5" fontId="6" fillId="0" borderId="0" xfId="0" applyNumberFormat="1" applyFont="1" applyAlignment="1">
      <alignment horizontal="right"/>
    </xf>
    <xf numFmtId="5" fontId="0" fillId="0" borderId="0" xfId="0" applyNumberFormat="1" applyFont="1" applyAlignment="1" applyProtection="1">
      <protection locked="0"/>
    </xf>
    <xf numFmtId="5" fontId="0" fillId="0" borderId="0" xfId="0" applyNumberFormat="1" applyFont="1" applyAlignment="1">
      <alignment horizontal="right"/>
    </xf>
    <xf numFmtId="172" fontId="6" fillId="0" borderId="0" xfId="0" applyNumberFormat="1" applyFont="1" applyAlignment="1">
      <alignment horizontal="right"/>
    </xf>
    <xf numFmtId="37" fontId="6" fillId="0" borderId="0" xfId="0" applyNumberFormat="1" applyFont="1" applyAlignment="1">
      <alignment horizontal="right"/>
    </xf>
    <xf numFmtId="172" fontId="6" fillId="0" borderId="0" xfId="0" applyNumberFormat="1" applyFont="1" applyAlignment="1"/>
    <xf numFmtId="172" fontId="0" fillId="0" borderId="0" xfId="0" applyNumberFormat="1" applyFont="1" applyAlignment="1" applyProtection="1">
      <protection locked="0"/>
    </xf>
    <xf numFmtId="174" fontId="0" fillId="0" borderId="0" xfId="0" applyNumberFormat="1" applyFont="1" applyAlignment="1"/>
    <xf numFmtId="5" fontId="11" fillId="0" borderId="0" xfId="0" applyNumberFormat="1" applyFont="1" applyAlignment="1" applyProtection="1">
      <protection locked="0"/>
    </xf>
    <xf numFmtId="172" fontId="12" fillId="0" borderId="0" xfId="0" applyNumberFormat="1" applyFont="1" applyAlignment="1" applyProtection="1">
      <protection locked="0"/>
    </xf>
    <xf numFmtId="3" fontId="23" fillId="0" borderId="0" xfId="0" applyFont="1" applyAlignment="1">
      <alignment horizontal="right"/>
    </xf>
    <xf numFmtId="183" fontId="17" fillId="0" borderId="10" xfId="6" applyNumberFormat="1" applyFont="1" applyBorder="1" applyAlignment="1">
      <alignment horizontal="centerContinuous"/>
    </xf>
    <xf numFmtId="183" fontId="17" fillId="0" borderId="12" xfId="6" applyNumberFormat="1" applyFont="1" applyBorder="1" applyAlignment="1">
      <alignment horizontal="center"/>
    </xf>
    <xf numFmtId="10" fontId="17" fillId="0" borderId="12" xfId="6" applyNumberFormat="1" applyFont="1" applyBorder="1" applyAlignment="1">
      <alignment horizontal="center"/>
    </xf>
    <xf numFmtId="169" fontId="17" fillId="0" borderId="5" xfId="6" applyNumberFormat="1" applyFont="1" applyBorder="1" applyAlignment="1">
      <alignment horizontal="center"/>
    </xf>
    <xf numFmtId="10" fontId="17" fillId="0" borderId="5" xfId="6" applyNumberFormat="1" applyFont="1" applyBorder="1" applyAlignment="1">
      <alignment horizontal="center"/>
    </xf>
    <xf numFmtId="7" fontId="17" fillId="0" borderId="5" xfId="6" applyNumberFormat="1" applyFont="1" applyBorder="1" applyAlignment="1">
      <alignment horizontal="center"/>
    </xf>
    <xf numFmtId="183" fontId="17" fillId="0" borderId="13" xfId="6" applyNumberFormat="1" applyFont="1" applyBorder="1" applyAlignment="1">
      <alignment horizontal="center"/>
    </xf>
    <xf numFmtId="183" fontId="17" fillId="0" borderId="5" xfId="6" applyNumberFormat="1" applyFont="1" applyBorder="1" applyAlignment="1">
      <alignment horizontal="center"/>
    </xf>
    <xf numFmtId="8" fontId="17" fillId="0" borderId="13" xfId="6" applyNumberFormat="1" applyFont="1" applyBorder="1" applyAlignment="1">
      <alignment horizontal="center"/>
    </xf>
    <xf numFmtId="3" fontId="24" fillId="0" borderId="0" xfId="0" applyNumberFormat="1" applyFont="1" applyAlignment="1"/>
    <xf numFmtId="3" fontId="5" fillId="0" borderId="0" xfId="0" quotePrefix="1" applyFont="1" applyAlignment="1"/>
    <xf numFmtId="3" fontId="0" fillId="0" borderId="0" xfId="0" applyNumberFormat="1" applyAlignment="1" applyProtection="1">
      <protection locked="0"/>
    </xf>
    <xf numFmtId="5" fontId="25" fillId="0" borderId="0" xfId="0" applyNumberFormat="1" applyFont="1" applyAlignment="1"/>
    <xf numFmtId="3" fontId="0" fillId="0" borderId="0" xfId="0" applyNumberFormat="1" applyAlignment="1"/>
    <xf numFmtId="37" fontId="25" fillId="0" borderId="0" xfId="0" applyNumberFormat="1" applyFont="1" applyAlignment="1"/>
    <xf numFmtId="3" fontId="25" fillId="0" borderId="0" xfId="0" applyNumberFormat="1" applyFont="1" applyAlignment="1" applyProtection="1">
      <protection locked="0"/>
    </xf>
    <xf numFmtId="5" fontId="0" fillId="0" borderId="0" xfId="0" applyNumberFormat="1" applyAlignment="1">
      <alignment horizontal="center"/>
    </xf>
    <xf numFmtId="176" fontId="26" fillId="0" borderId="0" xfId="0" applyNumberFormat="1" applyFont="1" applyAlignment="1"/>
    <xf numFmtId="5" fontId="19" fillId="0" borderId="0" xfId="0" applyNumberFormat="1" applyFont="1" applyAlignment="1">
      <alignment horizontal="centerContinuous"/>
    </xf>
    <xf numFmtId="170" fontId="19" fillId="0" borderId="0" xfId="0" applyNumberFormat="1" applyFont="1" applyAlignment="1"/>
    <xf numFmtId="172" fontId="17" fillId="0" borderId="0" xfId="6" applyNumberFormat="1" applyAlignment="1"/>
    <xf numFmtId="183" fontId="17" fillId="0" borderId="0" xfId="6" applyNumberFormat="1" applyFont="1" applyBorder="1" applyAlignment="1">
      <alignment horizontal="center"/>
    </xf>
    <xf numFmtId="172" fontId="17" fillId="0" borderId="0" xfId="6" applyNumberFormat="1" applyFont="1" applyBorder="1" applyAlignment="1">
      <alignment horizontal="center"/>
    </xf>
    <xf numFmtId="183" fontId="17" fillId="0" borderId="4" xfId="6" applyNumberFormat="1" applyFont="1" applyBorder="1" applyAlignment="1">
      <alignment horizontal="center"/>
    </xf>
    <xf numFmtId="172" fontId="17" fillId="0" borderId="3" xfId="6" applyNumberFormat="1" applyFont="1" applyBorder="1" applyAlignment="1">
      <alignment horizontal="center"/>
    </xf>
    <xf numFmtId="172" fontId="17" fillId="0" borderId="14" xfId="6" applyNumberFormat="1" applyFont="1" applyBorder="1" applyAlignment="1">
      <alignment horizontal="center"/>
    </xf>
    <xf numFmtId="183" fontId="19" fillId="0" borderId="14" xfId="6" applyNumberFormat="1" applyFont="1" applyBorder="1" applyAlignment="1">
      <alignment horizontal="center"/>
    </xf>
    <xf numFmtId="183" fontId="17" fillId="0" borderId="0" xfId="6" applyFont="1" applyAlignment="1"/>
    <xf numFmtId="37" fontId="19" fillId="0" borderId="0" xfId="0" applyNumberFormat="1" applyFont="1" applyAlignment="1" applyProtection="1">
      <protection locked="0"/>
    </xf>
    <xf numFmtId="3" fontId="0" fillId="0" borderId="0" xfId="0" applyNumberFormat="1" applyAlignment="1">
      <alignment horizontal="center"/>
    </xf>
    <xf numFmtId="172" fontId="19" fillId="0" borderId="0" xfId="0" applyNumberFormat="1" applyFont="1" applyAlignment="1" applyProtection="1">
      <protection locked="0"/>
    </xf>
    <xf numFmtId="3" fontId="0" fillId="0" borderId="0" xfId="0" quotePrefix="1" applyNumberFormat="1" applyAlignment="1">
      <alignment horizontal="center"/>
    </xf>
    <xf numFmtId="37" fontId="19" fillId="0" borderId="0" xfId="0" applyNumberFormat="1" applyFont="1" applyAlignment="1"/>
    <xf numFmtId="5" fontId="18" fillId="0" borderId="0" xfId="0" applyNumberFormat="1" applyFont="1" applyAlignment="1"/>
    <xf numFmtId="3" fontId="25" fillId="0" borderId="0" xfId="0" applyNumberFormat="1" applyFont="1" applyAlignment="1"/>
    <xf numFmtId="172" fontId="26" fillId="0" borderId="0" xfId="0" applyNumberFormat="1" applyFont="1" applyAlignment="1"/>
    <xf numFmtId="5" fontId="19" fillId="0" borderId="0" xfId="0" applyNumberFormat="1" applyFont="1" applyAlignment="1">
      <alignment horizontal="left"/>
    </xf>
    <xf numFmtId="172" fontId="21" fillId="0" borderId="0" xfId="0" applyNumberFormat="1" applyFont="1" applyAlignment="1"/>
    <xf numFmtId="10" fontId="21" fillId="0" borderId="15" xfId="6" applyNumberFormat="1" applyFont="1" applyBorder="1" applyAlignment="1">
      <alignment horizontal="center"/>
    </xf>
    <xf numFmtId="172" fontId="28" fillId="0" borderId="0" xfId="0" applyNumberFormat="1" applyFont="1" applyAlignment="1" applyProtection="1">
      <protection locked="0"/>
    </xf>
    <xf numFmtId="3" fontId="0" fillId="0" borderId="0" xfId="0" applyNumberFormat="1" applyAlignment="1">
      <alignment horizontal="centerContinuous"/>
    </xf>
    <xf numFmtId="3" fontId="0" fillId="0" borderId="0" xfId="0" applyNumberFormat="1" applyFont="1" applyAlignment="1">
      <alignment horizontal="centerContinuous"/>
    </xf>
    <xf numFmtId="172" fontId="29" fillId="0" borderId="0" xfId="0" applyNumberFormat="1" applyFont="1" applyAlignment="1"/>
    <xf numFmtId="172" fontId="19" fillId="0" borderId="0" xfId="0" applyNumberFormat="1" applyFont="1" applyAlignment="1"/>
    <xf numFmtId="3" fontId="27" fillId="0" borderId="0" xfId="0" applyNumberFormat="1" applyFont="1" applyAlignment="1">
      <alignment horizontal="centerContinuous"/>
    </xf>
    <xf numFmtId="166" fontId="0" fillId="0" borderId="0" xfId="0" applyNumberFormat="1" applyAlignment="1">
      <alignment horizontal="right"/>
    </xf>
    <xf numFmtId="172" fontId="30" fillId="0" borderId="0" xfId="0" applyNumberFormat="1" applyFont="1" applyAlignment="1">
      <alignment horizontal="right"/>
    </xf>
    <xf numFmtId="172" fontId="31" fillId="0" borderId="0" xfId="0" applyNumberFormat="1" applyFont="1" applyAlignment="1"/>
    <xf numFmtId="3" fontId="30" fillId="0" borderId="0" xfId="0" quotePrefix="1" applyNumberFormat="1" applyFont="1" applyAlignment="1"/>
    <xf numFmtId="183" fontId="17" fillId="0" borderId="0" xfId="6" applyFont="1" applyBorder="1" applyAlignment="1"/>
    <xf numFmtId="183" fontId="17" fillId="0" borderId="7" xfId="6" applyFont="1" applyBorder="1" applyAlignment="1">
      <alignment horizontal="centerContinuous"/>
    </xf>
    <xf numFmtId="183" fontId="17" fillId="0" borderId="16" xfId="6" applyBorder="1" applyAlignment="1">
      <alignment horizontal="centerContinuous"/>
    </xf>
    <xf numFmtId="172" fontId="17" fillId="0" borderId="9" xfId="6" applyNumberFormat="1" applyBorder="1" applyAlignment="1"/>
    <xf numFmtId="172" fontId="17" fillId="0" borderId="17" xfId="6" applyNumberFormat="1" applyBorder="1" applyAlignment="1"/>
    <xf numFmtId="183" fontId="17" fillId="0" borderId="18" xfId="6" applyFont="1" applyBorder="1" applyAlignment="1"/>
    <xf numFmtId="183" fontId="17" fillId="0" borderId="19" xfId="6" applyFont="1" applyBorder="1" applyAlignment="1"/>
    <xf numFmtId="183" fontId="17" fillId="0" borderId="6" xfId="6" applyFont="1" applyBorder="1" applyAlignment="1"/>
    <xf numFmtId="183" fontId="17" fillId="0" borderId="8" xfId="6" applyFont="1" applyBorder="1" applyAlignment="1"/>
    <xf numFmtId="183" fontId="17" fillId="0" borderId="20" xfId="6" applyFont="1" applyBorder="1" applyAlignment="1"/>
    <xf numFmtId="183" fontId="17" fillId="0" borderId="21" xfId="6" applyFont="1" applyBorder="1" applyAlignment="1"/>
    <xf numFmtId="172" fontId="17" fillId="0" borderId="22" xfId="6" applyNumberFormat="1" applyBorder="1" applyAlignment="1"/>
    <xf numFmtId="172" fontId="17" fillId="0" borderId="23" xfId="6" applyNumberFormat="1" applyBorder="1" applyAlignment="1"/>
    <xf numFmtId="183" fontId="17" fillId="0" borderId="22" xfId="6" applyFont="1" applyBorder="1" applyAlignment="1">
      <alignment horizontal="centerContinuous"/>
    </xf>
    <xf numFmtId="183" fontId="17" fillId="0" borderId="23" xfId="6" applyBorder="1" applyAlignment="1">
      <alignment horizontal="centerContinuous"/>
    </xf>
    <xf numFmtId="3" fontId="19" fillId="0" borderId="0" xfId="6" applyNumberFormat="1" applyFont="1" applyAlignment="1"/>
    <xf numFmtId="7" fontId="17" fillId="0" borderId="0" xfId="6" applyNumberFormat="1" applyBorder="1" applyAlignment="1"/>
    <xf numFmtId="172" fontId="19" fillId="0" borderId="3" xfId="6" applyNumberFormat="1" applyFont="1" applyBorder="1" applyAlignment="1" applyProtection="1">
      <alignment horizontal="center"/>
      <protection locked="0"/>
    </xf>
    <xf numFmtId="37" fontId="17" fillId="0" borderId="0" xfId="0" applyNumberFormat="1" applyFont="1" applyAlignment="1"/>
    <xf numFmtId="183" fontId="17" fillId="0" borderId="22" xfId="6" applyNumberFormat="1" applyFont="1" applyBorder="1" applyAlignment="1">
      <alignment horizontal="centerContinuous"/>
    </xf>
    <xf numFmtId="183" fontId="17" fillId="0" borderId="24" xfId="6" applyNumberFormat="1" applyFont="1" applyBorder="1" applyAlignment="1">
      <alignment horizontal="centerContinuous"/>
    </xf>
    <xf numFmtId="10" fontId="17" fillId="0" borderId="24" xfId="6" applyNumberFormat="1" applyFont="1" applyBorder="1" applyAlignment="1">
      <alignment horizontal="centerContinuous"/>
    </xf>
    <xf numFmtId="183" fontId="17" fillId="0" borderId="23" xfId="6" applyNumberFormat="1" applyFont="1" applyBorder="1" applyAlignment="1">
      <alignment horizontal="centerContinuous"/>
    </xf>
    <xf numFmtId="3" fontId="17" fillId="0" borderId="3" xfId="6" applyNumberFormat="1" applyFont="1" applyBorder="1" applyAlignment="1"/>
    <xf numFmtId="3" fontId="19" fillId="0" borderId="14" xfId="6" applyNumberFormat="1" applyFont="1" applyBorder="1" applyAlignment="1"/>
    <xf numFmtId="183" fontId="17" fillId="0" borderId="13" xfId="6" applyNumberFormat="1" applyFont="1" applyBorder="1" applyAlignment="1"/>
    <xf numFmtId="183" fontId="17" fillId="0" borderId="6" xfId="6" applyNumberFormat="1" applyFont="1" applyBorder="1" applyAlignment="1"/>
    <xf numFmtId="173" fontId="17" fillId="0" borderId="25" xfId="6" applyNumberFormat="1" applyFont="1" applyBorder="1" applyAlignment="1">
      <alignment horizontal="center"/>
    </xf>
    <xf numFmtId="3" fontId="0" fillId="0" borderId="0" xfId="0" quotePrefix="1" applyNumberFormat="1" applyAlignment="1" applyProtection="1">
      <alignment horizontal="center"/>
      <protection locked="0"/>
    </xf>
    <xf numFmtId="172" fontId="25" fillId="0" borderId="0" xfId="0" quotePrefix="1" applyNumberFormat="1" applyFont="1" applyAlignment="1"/>
    <xf numFmtId="3" fontId="0" fillId="0" borderId="0" xfId="0" quotePrefix="1" applyNumberFormat="1" applyAlignment="1"/>
    <xf numFmtId="3" fontId="6" fillId="0" borderId="0" xfId="0" applyNumberFormat="1" applyFont="1" applyAlignment="1"/>
    <xf numFmtId="3" fontId="0" fillId="0" borderId="0" xfId="0" applyNumberFormat="1" applyAlignment="1">
      <alignment horizontal="right"/>
    </xf>
    <xf numFmtId="3" fontId="6" fillId="0" borderId="0" xfId="0" applyNumberFormat="1" applyFont="1" applyAlignment="1">
      <alignment horizontal="center"/>
    </xf>
    <xf numFmtId="10" fontId="0" fillId="0" borderId="0" xfId="0" applyNumberFormat="1" applyAlignment="1"/>
    <xf numFmtId="10" fontId="0" fillId="0" borderId="0" xfId="0" quotePrefix="1" applyNumberFormat="1" applyAlignment="1"/>
    <xf numFmtId="172" fontId="19" fillId="0" borderId="17" xfId="6" applyNumberFormat="1" applyFont="1" applyBorder="1" applyAlignment="1"/>
    <xf numFmtId="172" fontId="19" fillId="0" borderId="9" xfId="6" applyNumberFormat="1" applyFont="1" applyBorder="1" applyAlignment="1"/>
    <xf numFmtId="172" fontId="27" fillId="0" borderId="17" xfId="6" applyNumberFormat="1" applyFont="1" applyBorder="1" applyAlignment="1"/>
    <xf numFmtId="172" fontId="27" fillId="0" borderId="9" xfId="6" applyNumberFormat="1" applyFont="1" applyBorder="1" applyAlignment="1"/>
    <xf numFmtId="172" fontId="17" fillId="0" borderId="0" xfId="6" applyNumberFormat="1" applyAlignment="1">
      <alignment horizontal="center"/>
    </xf>
    <xf numFmtId="175" fontId="8" fillId="0" borderId="0" xfId="0" applyNumberFormat="1" applyFont="1" applyAlignment="1"/>
    <xf numFmtId="5" fontId="17" fillId="0" borderId="7" xfId="0" applyNumberFormat="1" applyFont="1" applyBorder="1" applyAlignment="1">
      <alignment horizontal="center"/>
    </xf>
    <xf numFmtId="5" fontId="0" fillId="0" borderId="26" xfId="0" applyNumberFormat="1" applyFont="1" applyBorder="1" applyAlignment="1">
      <alignment horizontal="center"/>
    </xf>
    <xf numFmtId="179" fontId="8" fillId="0" borderId="26" xfId="0" applyNumberFormat="1" applyFont="1" applyBorder="1" applyAlignment="1">
      <alignment horizontal="center"/>
    </xf>
    <xf numFmtId="5" fontId="0" fillId="0" borderId="16" xfId="0" applyNumberFormat="1" applyFont="1" applyBorder="1" applyAlignment="1">
      <alignment horizontal="center"/>
    </xf>
    <xf numFmtId="179" fontId="8" fillId="0" borderId="0" xfId="0" applyNumberFormat="1" applyFont="1" applyBorder="1" applyAlignment="1">
      <alignment horizontal="center"/>
    </xf>
    <xf numFmtId="5" fontId="0" fillId="0" borderId="9" xfId="0" applyNumberFormat="1" applyFont="1" applyBorder="1" applyAlignment="1">
      <alignment horizontal="center"/>
    </xf>
    <xf numFmtId="5" fontId="0" fillId="0" borderId="0" xfId="0" applyNumberFormat="1" applyFont="1" applyBorder="1" applyAlignment="1">
      <alignment horizontal="center"/>
    </xf>
    <xf numFmtId="5" fontId="0" fillId="0" borderId="17" xfId="0" applyNumberFormat="1" applyFont="1" applyBorder="1" applyAlignment="1">
      <alignment horizontal="center"/>
    </xf>
    <xf numFmtId="3" fontId="0" fillId="0" borderId="18" xfId="0" quotePrefix="1" applyNumberFormat="1" applyBorder="1" applyAlignment="1">
      <alignment horizontal="centerContinuous"/>
    </xf>
    <xf numFmtId="3" fontId="0" fillId="0" borderId="27" xfId="0" applyNumberFormat="1" applyFont="1" applyBorder="1" applyAlignment="1">
      <alignment horizontal="centerContinuous"/>
    </xf>
    <xf numFmtId="3" fontId="0" fillId="0" borderId="22" xfId="0" applyNumberFormat="1" applyBorder="1" applyAlignment="1">
      <alignment horizontal="center"/>
    </xf>
    <xf numFmtId="3" fontId="0" fillId="0" borderId="24" xfId="0" applyNumberFormat="1" applyBorder="1" applyAlignment="1">
      <alignment horizontal="center"/>
    </xf>
    <xf numFmtId="3" fontId="0" fillId="0" borderId="23" xfId="0" applyNumberFormat="1" applyBorder="1" applyAlignment="1">
      <alignment horizontal="center"/>
    </xf>
    <xf numFmtId="3" fontId="0" fillId="0" borderId="26" xfId="0" applyNumberFormat="1" applyFont="1" applyBorder="1" applyAlignment="1"/>
    <xf numFmtId="5" fontId="32" fillId="0" borderId="0" xfId="0" applyNumberFormat="1" applyFont="1" applyAlignment="1">
      <alignment horizontal="center"/>
    </xf>
    <xf numFmtId="3" fontId="0" fillId="0" borderId="7" xfId="0" applyNumberFormat="1" applyBorder="1" applyAlignment="1">
      <alignment horizontal="centerContinuous"/>
    </xf>
    <xf numFmtId="3" fontId="0" fillId="0" borderId="26" xfId="0" applyNumberFormat="1" applyFont="1" applyBorder="1" applyAlignment="1">
      <alignment horizontal="centerContinuous"/>
    </xf>
    <xf numFmtId="3" fontId="0" fillId="0" borderId="16" xfId="0" applyNumberFormat="1" applyFont="1" applyBorder="1" applyAlignment="1">
      <alignment horizontal="centerContinuous"/>
    </xf>
    <xf numFmtId="3" fontId="17" fillId="0" borderId="9" xfId="0" applyNumberFormat="1" applyFont="1" applyBorder="1" applyAlignment="1">
      <alignment horizontal="centerContinuous"/>
    </xf>
    <xf numFmtId="3" fontId="0" fillId="0" borderId="0" xfId="0" applyNumberFormat="1" applyFont="1" applyBorder="1" applyAlignment="1">
      <alignment horizontal="centerContinuous"/>
    </xf>
    <xf numFmtId="3" fontId="17" fillId="0" borderId="0" xfId="0" applyNumberFormat="1" applyFont="1" applyBorder="1" applyAlignment="1">
      <alignment horizontal="centerContinuous"/>
    </xf>
    <xf numFmtId="3" fontId="17" fillId="0" borderId="17" xfId="0" applyNumberFormat="1" applyFont="1" applyBorder="1" applyAlignment="1">
      <alignment horizontal="centerContinuous"/>
    </xf>
    <xf numFmtId="3" fontId="0" fillId="0" borderId="9" xfId="0" applyNumberFormat="1" applyBorder="1" applyAlignment="1">
      <alignment horizontal="centerContinuous"/>
    </xf>
    <xf numFmtId="3" fontId="0" fillId="0" borderId="17" xfId="0" applyNumberFormat="1" applyFont="1" applyBorder="1" applyAlignment="1">
      <alignment horizontal="centerContinuous"/>
    </xf>
    <xf numFmtId="3" fontId="0" fillId="0" borderId="18" xfId="0" applyNumberFormat="1" applyBorder="1" applyAlignment="1">
      <alignment horizontal="centerContinuous"/>
    </xf>
    <xf numFmtId="3" fontId="0" fillId="0" borderId="19" xfId="0" applyNumberFormat="1" applyFont="1" applyBorder="1" applyAlignment="1">
      <alignment horizontal="centerContinuous"/>
    </xf>
    <xf numFmtId="172" fontId="0" fillId="0" borderId="16" xfId="0" applyNumberFormat="1" applyFont="1" applyBorder="1" applyAlignment="1">
      <alignment horizontal="center"/>
    </xf>
    <xf numFmtId="170" fontId="0" fillId="0" borderId="9" xfId="0" applyNumberFormat="1" applyFont="1" applyBorder="1" applyAlignment="1">
      <alignment horizontal="center"/>
    </xf>
    <xf numFmtId="172" fontId="0" fillId="0" borderId="17" xfId="0" applyNumberFormat="1" applyFont="1" applyBorder="1" applyAlignment="1">
      <alignment horizontal="center"/>
    </xf>
    <xf numFmtId="5" fontId="0" fillId="0" borderId="27" xfId="0" applyNumberFormat="1" applyFont="1" applyBorder="1" applyAlignment="1">
      <alignment horizontal="center"/>
    </xf>
    <xf numFmtId="5" fontId="0" fillId="0" borderId="24" xfId="0" applyNumberFormat="1" applyFont="1" applyBorder="1" applyAlignment="1">
      <alignment horizontal="center"/>
    </xf>
    <xf numFmtId="3" fontId="0" fillId="0" borderId="24" xfId="0" applyNumberFormat="1" applyFont="1" applyBorder="1" applyAlignment="1">
      <alignment horizontal="center"/>
    </xf>
    <xf numFmtId="170" fontId="0" fillId="0" borderId="22" xfId="0" applyNumberFormat="1" applyFont="1" applyBorder="1" applyAlignment="1">
      <alignment horizontal="center"/>
    </xf>
    <xf numFmtId="5" fontId="0" fillId="0" borderId="0" xfId="0" applyNumberFormat="1" applyAlignment="1"/>
    <xf numFmtId="7" fontId="27" fillId="0" borderId="6" xfId="6" applyNumberFormat="1" applyFont="1" applyBorder="1" applyAlignment="1"/>
    <xf numFmtId="7" fontId="8" fillId="0" borderId="8" xfId="6" applyNumberFormat="1" applyFont="1" applyBorder="1" applyAlignment="1"/>
    <xf numFmtId="7" fontId="8" fillId="0" borderId="20" xfId="6" applyNumberFormat="1" applyFont="1" applyBorder="1" applyAlignment="1"/>
    <xf numFmtId="3" fontId="0" fillId="0" borderId="0" xfId="0" quotePrefix="1" applyAlignment="1"/>
    <xf numFmtId="179" fontId="0" fillId="0" borderId="0" xfId="0" applyNumberFormat="1" applyFont="1" applyAlignment="1"/>
    <xf numFmtId="179" fontId="6" fillId="0" borderId="0" xfId="0" applyNumberFormat="1" applyFont="1" applyAlignment="1"/>
    <xf numFmtId="170" fontId="15" fillId="0" borderId="9" xfId="0" applyNumberFormat="1" applyFont="1" applyBorder="1" applyAlignment="1">
      <alignment horizontal="center"/>
    </xf>
    <xf numFmtId="170" fontId="15" fillId="0" borderId="18" xfId="0" applyNumberFormat="1" applyFont="1" applyBorder="1" applyAlignment="1">
      <alignment horizontal="center"/>
    </xf>
    <xf numFmtId="170" fontId="15" fillId="0" borderId="7" xfId="0" applyNumberFormat="1" applyFont="1" applyBorder="1" applyAlignment="1">
      <alignment horizontal="center"/>
    </xf>
    <xf numFmtId="173" fontId="11" fillId="0" borderId="0" xfId="0" applyNumberFormat="1" applyFont="1" applyAlignment="1"/>
    <xf numFmtId="172" fontId="17" fillId="0" borderId="0" xfId="6" applyNumberFormat="1" applyFont="1" applyAlignment="1"/>
    <xf numFmtId="172" fontId="33" fillId="0" borderId="9" xfId="6" applyNumberFormat="1" applyFont="1" applyBorder="1" applyAlignment="1"/>
    <xf numFmtId="183" fontId="17" fillId="0" borderId="0" xfId="6" applyFont="1" applyAlignment="1">
      <alignment horizontal="centerContinuous"/>
    </xf>
    <xf numFmtId="183" fontId="17" fillId="0" borderId="0" xfId="6" applyAlignment="1">
      <alignment horizontal="centerContinuous"/>
    </xf>
    <xf numFmtId="5" fontId="6" fillId="0" borderId="9" xfId="0" applyNumberFormat="1" applyFont="1" applyBorder="1" applyAlignment="1">
      <alignment horizontal="center"/>
    </xf>
    <xf numFmtId="5" fontId="6" fillId="0" borderId="0" xfId="0" applyNumberFormat="1" applyFont="1" applyBorder="1" applyAlignment="1">
      <alignment horizontal="center"/>
    </xf>
    <xf numFmtId="5" fontId="6" fillId="0" borderId="17" xfId="0" applyNumberFormat="1" applyFont="1" applyBorder="1" applyAlignment="1">
      <alignment horizontal="center"/>
    </xf>
    <xf numFmtId="5" fontId="8" fillId="0" borderId="19" xfId="0" applyNumberFormat="1" applyFont="1" applyBorder="1" applyAlignment="1">
      <alignment horizontal="center"/>
    </xf>
    <xf numFmtId="178" fontId="0" fillId="0" borderId="0" xfId="0" applyNumberFormat="1" applyFont="1" applyAlignment="1"/>
    <xf numFmtId="5" fontId="26" fillId="0" borderId="0" xfId="0" applyNumberFormat="1" applyFont="1" applyAlignment="1">
      <alignment horizontal="left"/>
    </xf>
    <xf numFmtId="37" fontId="6" fillId="0" borderId="0" xfId="0" applyNumberFormat="1" applyFont="1" applyAlignment="1" applyProtection="1">
      <protection locked="0"/>
    </xf>
    <xf numFmtId="3" fontId="0" fillId="0" borderId="0" xfId="0" quotePrefix="1" applyNumberFormat="1" applyAlignment="1" applyProtection="1">
      <protection locked="0"/>
    </xf>
    <xf numFmtId="5" fontId="12" fillId="0" borderId="0" xfId="0" applyNumberFormat="1" applyFont="1" applyAlignment="1" applyProtection="1">
      <protection locked="0"/>
    </xf>
    <xf numFmtId="172" fontId="0" fillId="0" borderId="0" xfId="0" applyNumberFormat="1" applyFont="1" applyAlignment="1">
      <alignment horizontal="center"/>
    </xf>
    <xf numFmtId="3" fontId="8" fillId="0" borderId="16" xfId="0" applyNumberFormat="1" applyFont="1" applyBorder="1" applyAlignment="1">
      <alignment horizontal="center"/>
    </xf>
    <xf numFmtId="3" fontId="8" fillId="0" borderId="17" xfId="0" applyNumberFormat="1" applyFont="1" applyBorder="1" applyAlignment="1">
      <alignment horizontal="center"/>
    </xf>
    <xf numFmtId="3" fontId="0" fillId="0" borderId="17" xfId="0" applyNumberFormat="1" applyFont="1" applyBorder="1" applyAlignment="1">
      <alignment horizontal="center"/>
    </xf>
    <xf numFmtId="3" fontId="8" fillId="0" borderId="19" xfId="0" applyNumberFormat="1" applyFont="1" applyBorder="1" applyAlignment="1">
      <alignment horizontal="center"/>
    </xf>
    <xf numFmtId="172" fontId="0" fillId="0" borderId="28" xfId="0" applyNumberFormat="1" applyFont="1" applyBorder="1" applyAlignment="1">
      <alignment horizontal="center"/>
    </xf>
    <xf numFmtId="172" fontId="0" fillId="0" borderId="9" xfId="0" applyNumberFormat="1" applyFont="1" applyBorder="1" applyAlignment="1">
      <alignment horizontal="center"/>
    </xf>
    <xf numFmtId="172" fontId="8" fillId="0" borderId="9" xfId="0" applyNumberFormat="1" applyFont="1" applyBorder="1" applyAlignment="1">
      <alignment horizontal="center"/>
    </xf>
    <xf numFmtId="172" fontId="0" fillId="0" borderId="9" xfId="0" applyNumberFormat="1" applyBorder="1" applyAlignment="1">
      <alignment horizontal="centerContinuous"/>
    </xf>
    <xf numFmtId="5" fontId="8" fillId="0" borderId="9" xfId="0" applyNumberFormat="1" applyFont="1" applyBorder="1" applyAlignment="1">
      <alignment horizontal="center"/>
    </xf>
    <xf numFmtId="5" fontId="8" fillId="0" borderId="18" xfId="0" applyNumberFormat="1" applyFont="1" applyBorder="1" applyAlignment="1">
      <alignment horizontal="center"/>
    </xf>
    <xf numFmtId="172" fontId="0" fillId="0" borderId="29" xfId="0" applyNumberFormat="1" applyFont="1" applyBorder="1" applyAlignment="1">
      <alignment horizontal="center"/>
    </xf>
    <xf numFmtId="172" fontId="0" fillId="0" borderId="29" xfId="0" applyNumberFormat="1" applyFont="1" applyBorder="1" applyAlignment="1">
      <alignment horizontal="centerContinuous"/>
    </xf>
    <xf numFmtId="172" fontId="0" fillId="0" borderId="30" xfId="0" applyNumberFormat="1" applyFont="1" applyBorder="1" applyAlignment="1">
      <alignment horizontal="center"/>
    </xf>
    <xf numFmtId="3" fontId="0" fillId="0" borderId="13" xfId="0" applyNumberFormat="1" applyBorder="1" applyAlignment="1"/>
    <xf numFmtId="3" fontId="0" fillId="0" borderId="28" xfId="0" applyNumberFormat="1" applyBorder="1" applyAlignment="1"/>
    <xf numFmtId="172" fontId="8" fillId="0" borderId="16" xfId="0" applyNumberFormat="1" applyFont="1" applyBorder="1" applyAlignment="1">
      <alignment horizontal="center"/>
    </xf>
    <xf numFmtId="172" fontId="8" fillId="0" borderId="17" xfId="0" applyNumberFormat="1" applyFont="1" applyBorder="1" applyAlignment="1">
      <alignment horizontal="center"/>
    </xf>
    <xf numFmtId="172" fontId="8" fillId="0" borderId="28" xfId="0" applyNumberFormat="1" applyFont="1" applyBorder="1" applyAlignment="1">
      <alignment horizontal="center"/>
    </xf>
    <xf numFmtId="169" fontId="0" fillId="0" borderId="0" xfId="0" applyNumberFormat="1" applyAlignment="1">
      <alignment horizontal="center"/>
    </xf>
    <xf numFmtId="3" fontId="0" fillId="0" borderId="4" xfId="0" applyNumberFormat="1" applyBorder="1" applyAlignment="1"/>
    <xf numFmtId="172" fontId="0" fillId="0" borderId="2" xfId="0" applyNumberFormat="1" applyFont="1" applyBorder="1" applyAlignment="1">
      <alignment horizontal="center"/>
    </xf>
    <xf numFmtId="172" fontId="0" fillId="0" borderId="10" xfId="0" applyNumberFormat="1" applyFont="1" applyBorder="1" applyAlignment="1">
      <alignment horizontal="center"/>
    </xf>
    <xf numFmtId="3" fontId="6" fillId="0" borderId="3" xfId="0" applyNumberFormat="1" applyFont="1" applyBorder="1" applyAlignment="1"/>
    <xf numFmtId="172" fontId="6" fillId="0" borderId="0" xfId="0" applyNumberFormat="1" applyFont="1" applyBorder="1" applyAlignment="1">
      <alignment horizontal="center"/>
    </xf>
    <xf numFmtId="172" fontId="6" fillId="0" borderId="12" xfId="0" applyNumberFormat="1" applyFont="1" applyBorder="1" applyAlignment="1">
      <alignment horizontal="center"/>
    </xf>
    <xf numFmtId="166" fontId="0" fillId="0" borderId="3" xfId="0" applyNumberFormat="1" applyBorder="1" applyAlignment="1"/>
    <xf numFmtId="172" fontId="0" fillId="0" borderId="0" xfId="0" applyNumberFormat="1" applyFont="1" applyBorder="1" applyAlignment="1">
      <alignment horizontal="center"/>
    </xf>
    <xf numFmtId="172" fontId="0" fillId="0" borderId="12" xfId="0" applyNumberFormat="1" applyFont="1" applyBorder="1" applyAlignment="1">
      <alignment horizontal="center"/>
    </xf>
    <xf numFmtId="3" fontId="0" fillId="0" borderId="14" xfId="0" applyNumberFormat="1" applyBorder="1" applyAlignment="1"/>
    <xf numFmtId="179" fontId="0" fillId="0" borderId="11" xfId="0" applyNumberFormat="1" applyFont="1" applyBorder="1" applyAlignment="1">
      <alignment horizontal="center"/>
    </xf>
    <xf numFmtId="179" fontId="0" fillId="0" borderId="31" xfId="0" applyNumberFormat="1" applyFont="1" applyBorder="1" applyAlignment="1">
      <alignment horizontal="center"/>
    </xf>
    <xf numFmtId="166" fontId="0" fillId="0" borderId="0" xfId="0" applyNumberFormat="1" applyAlignment="1">
      <alignment horizontal="center"/>
    </xf>
    <xf numFmtId="3" fontId="34" fillId="0" borderId="0" xfId="0" applyNumberFormat="1" applyFont="1" applyAlignment="1"/>
    <xf numFmtId="173" fontId="8" fillId="0" borderId="8" xfId="6" applyNumberFormat="1" applyFont="1" applyBorder="1" applyAlignment="1" applyProtection="1">
      <alignment horizontal="center"/>
      <protection locked="0"/>
    </xf>
    <xf numFmtId="173" fontId="8" fillId="0" borderId="32" xfId="6" applyNumberFormat="1" applyFont="1" applyBorder="1" applyAlignment="1" applyProtection="1">
      <alignment horizontal="center"/>
      <protection locked="0"/>
    </xf>
    <xf numFmtId="3" fontId="0" fillId="3" borderId="0" xfId="0" applyNumberFormat="1" applyFont="1" applyFill="1" applyAlignment="1"/>
    <xf numFmtId="37" fontId="8" fillId="3" borderId="0" xfId="0" applyNumberFormat="1" applyFont="1" applyFill="1" applyAlignment="1"/>
    <xf numFmtId="5" fontId="8" fillId="3" borderId="0" xfId="0" applyNumberFormat="1" applyFont="1" applyFill="1" applyAlignment="1"/>
    <xf numFmtId="5" fontId="11" fillId="3" borderId="0" xfId="0" applyNumberFormat="1" applyFont="1" applyFill="1" applyAlignment="1"/>
    <xf numFmtId="37" fontId="11" fillId="3" borderId="0" xfId="0" applyNumberFormat="1" applyFont="1" applyFill="1" applyAlignment="1"/>
    <xf numFmtId="172" fontId="8" fillId="3" borderId="0" xfId="0" applyNumberFormat="1" applyFont="1" applyFill="1" applyAlignment="1"/>
    <xf numFmtId="37" fontId="0" fillId="3" borderId="0" xfId="0" applyNumberFormat="1" applyFont="1" applyFill="1" applyAlignment="1"/>
    <xf numFmtId="5" fontId="27" fillId="3" borderId="0" xfId="0" applyNumberFormat="1" applyFont="1" applyFill="1" applyAlignment="1"/>
    <xf numFmtId="5" fontId="20" fillId="3" borderId="0" xfId="0" applyNumberFormat="1" applyFont="1" applyFill="1" applyAlignment="1"/>
    <xf numFmtId="172" fontId="11" fillId="3" borderId="0" xfId="0" applyNumberFormat="1" applyFont="1" applyFill="1" applyAlignment="1"/>
    <xf numFmtId="174" fontId="8" fillId="3" borderId="0" xfId="0" applyNumberFormat="1" applyFont="1" applyFill="1" applyAlignment="1"/>
    <xf numFmtId="37" fontId="8" fillId="3" borderId="0" xfId="0" applyNumberFormat="1" applyFont="1" applyFill="1" applyAlignment="1">
      <alignment horizontal="right"/>
    </xf>
    <xf numFmtId="174" fontId="8" fillId="3" borderId="0" xfId="0" applyNumberFormat="1" applyFont="1" applyFill="1" applyAlignment="1">
      <alignment horizontal="right"/>
    </xf>
    <xf numFmtId="174" fontId="11" fillId="3" borderId="0" xfId="0" applyNumberFormat="1" applyFont="1" applyFill="1" applyAlignment="1"/>
    <xf numFmtId="7" fontId="8" fillId="3" borderId="0" xfId="0" applyNumberFormat="1" applyFont="1" applyFill="1" applyAlignment="1"/>
    <xf numFmtId="175" fontId="8" fillId="3" borderId="0" xfId="0" applyNumberFormat="1" applyFont="1" applyFill="1" applyAlignment="1"/>
    <xf numFmtId="172" fontId="8" fillId="3" borderId="0" xfId="0" applyNumberFormat="1" applyFont="1" applyFill="1" applyAlignment="1" applyProtection="1">
      <protection locked="0"/>
    </xf>
    <xf numFmtId="183" fontId="32" fillId="0" borderId="0" xfId="5" applyFont="1" applyFill="1" applyAlignment="1">
      <alignment horizontal="center"/>
    </xf>
    <xf numFmtId="183" fontId="19" fillId="0" borderId="0" xfId="5" applyFont="1"/>
    <xf numFmtId="37" fontId="32" fillId="0" borderId="0" xfId="5" applyNumberFormat="1" applyFont="1" applyFill="1" applyAlignment="1">
      <alignment horizontal="centerContinuous"/>
    </xf>
    <xf numFmtId="183" fontId="32" fillId="0" borderId="0" xfId="5" applyFont="1" applyFill="1" applyAlignment="1">
      <alignment horizontal="centerContinuous"/>
    </xf>
    <xf numFmtId="5" fontId="32" fillId="0" borderId="0" xfId="5" applyNumberFormat="1" applyFont="1" applyFill="1" applyBorder="1" applyAlignment="1">
      <alignment horizontal="centerContinuous"/>
    </xf>
    <xf numFmtId="183" fontId="32" fillId="0" borderId="0" xfId="5" applyFont="1" applyFill="1" applyBorder="1" applyAlignment="1">
      <alignment horizontal="centerContinuous"/>
    </xf>
    <xf numFmtId="37" fontId="32" fillId="0" borderId="0" xfId="5" applyNumberFormat="1" applyFont="1" applyFill="1" applyBorder="1" applyAlignment="1">
      <alignment horizontal="centerContinuous"/>
    </xf>
    <xf numFmtId="183" fontId="19" fillId="0" borderId="0" xfId="5" applyFont="1" applyFill="1"/>
    <xf numFmtId="37" fontId="19" fillId="0" borderId="0" xfId="5" applyNumberFormat="1" applyFont="1" applyFill="1"/>
    <xf numFmtId="5" fontId="19" fillId="0" borderId="0" xfId="5" applyNumberFormat="1" applyFont="1" applyFill="1" applyBorder="1"/>
    <xf numFmtId="183" fontId="19" fillId="0" borderId="0" xfId="5" applyFont="1" applyFill="1" applyBorder="1"/>
    <xf numFmtId="37" fontId="19" fillId="0" borderId="0" xfId="5" applyNumberFormat="1" applyFont="1" applyFill="1" applyBorder="1"/>
    <xf numFmtId="183" fontId="32" fillId="0" borderId="0" xfId="5" applyFont="1" applyAlignment="1">
      <alignment horizontal="center"/>
    </xf>
    <xf numFmtId="183" fontId="17" fillId="0" borderId="4" xfId="6" applyFont="1" applyBorder="1" applyAlignment="1"/>
    <xf numFmtId="183" fontId="27" fillId="0" borderId="0" xfId="5" applyFont="1"/>
    <xf numFmtId="183" fontId="18" fillId="0" borderId="3" xfId="5" applyFont="1" applyBorder="1"/>
    <xf numFmtId="37" fontId="19" fillId="0" borderId="3" xfId="5" applyNumberFormat="1" applyFont="1" applyBorder="1"/>
    <xf numFmtId="183" fontId="19" fillId="0" borderId="13" xfId="5" applyFont="1" applyBorder="1"/>
    <xf numFmtId="183" fontId="19" fillId="0" borderId="3" xfId="5" applyFont="1" applyBorder="1"/>
    <xf numFmtId="183" fontId="17" fillId="0" borderId="13" xfId="6" applyFont="1" applyBorder="1" applyAlignment="1"/>
    <xf numFmtId="183" fontId="17" fillId="0" borderId="3" xfId="6" applyFont="1" applyBorder="1" applyAlignment="1"/>
    <xf numFmtId="37" fontId="19" fillId="0" borderId="0" xfId="5" applyNumberFormat="1" applyFont="1"/>
    <xf numFmtId="177" fontId="19" fillId="0" borderId="0" xfId="5" applyNumberFormat="1" applyFont="1"/>
    <xf numFmtId="180" fontId="19" fillId="0" borderId="0" xfId="1" applyNumberFormat="1" applyFont="1"/>
    <xf numFmtId="183" fontId="19" fillId="0" borderId="4" xfId="5" applyFont="1" applyBorder="1"/>
    <xf numFmtId="183" fontId="21" fillId="0" borderId="33" xfId="5" applyFont="1" applyFill="1" applyBorder="1" applyAlignment="1">
      <alignment horizontal="left"/>
    </xf>
    <xf numFmtId="183" fontId="17" fillId="0" borderId="22" xfId="6" applyFont="1" applyBorder="1" applyAlignment="1"/>
    <xf numFmtId="183" fontId="31" fillId="0" borderId="3" xfId="5" applyFont="1" applyBorder="1"/>
    <xf numFmtId="183" fontId="31" fillId="0" borderId="3" xfId="6" applyFont="1" applyBorder="1" applyAlignment="1"/>
    <xf numFmtId="183" fontId="31" fillId="0" borderId="14" xfId="6" applyFont="1" applyBorder="1" applyAlignment="1"/>
    <xf numFmtId="5" fontId="0" fillId="4" borderId="0" xfId="0" applyNumberFormat="1" applyFont="1" applyFill="1" applyAlignment="1"/>
    <xf numFmtId="182" fontId="34" fillId="4" borderId="0" xfId="2" applyNumberFormat="1" applyFont="1" applyFill="1" applyAlignment="1"/>
    <xf numFmtId="169" fontId="0" fillId="4" borderId="0" xfId="0" applyNumberFormat="1" applyFont="1" applyFill="1" applyAlignment="1"/>
    <xf numFmtId="169" fontId="0" fillId="0" borderId="0" xfId="0" applyNumberFormat="1" applyAlignment="1"/>
    <xf numFmtId="3" fontId="0" fillId="4" borderId="0" xfId="0" applyNumberFormat="1" applyFont="1" applyFill="1" applyAlignment="1"/>
    <xf numFmtId="3" fontId="36" fillId="0" borderId="0" xfId="0" applyFont="1" applyFill="1" applyAlignment="1">
      <alignment horizontal="left"/>
    </xf>
    <xf numFmtId="3" fontId="17" fillId="0" borderId="0" xfId="0" applyFont="1"/>
    <xf numFmtId="3" fontId="14" fillId="0" borderId="0" xfId="0" applyFont="1" applyAlignment="1">
      <alignment horizontal="center"/>
    </xf>
    <xf numFmtId="3" fontId="14" fillId="0" borderId="0" xfId="0" applyFont="1"/>
    <xf numFmtId="3" fontId="17" fillId="0" borderId="0" xfId="0" applyNumberFormat="1" applyFont="1" applyAlignment="1"/>
    <xf numFmtId="169" fontId="17" fillId="0" borderId="0" xfId="0" applyNumberFormat="1" applyFont="1" applyAlignment="1">
      <alignment horizontal="center"/>
    </xf>
    <xf numFmtId="5" fontId="17" fillId="0" borderId="0" xfId="0" applyNumberFormat="1" applyFont="1" applyAlignment="1">
      <alignment horizontal="center"/>
    </xf>
    <xf numFmtId="5" fontId="17" fillId="0" borderId="0" xfId="0" applyNumberFormat="1" applyFont="1" applyAlignment="1">
      <alignment horizontal="left"/>
    </xf>
    <xf numFmtId="172" fontId="19" fillId="0" borderId="0" xfId="5" applyNumberFormat="1" applyFont="1" applyBorder="1" applyAlignment="1">
      <alignment horizontal="center"/>
    </xf>
    <xf numFmtId="172" fontId="18" fillId="0" borderId="0" xfId="6" applyNumberFormat="1" applyFont="1" applyBorder="1" applyAlignment="1">
      <alignment horizontal="center"/>
    </xf>
    <xf numFmtId="183" fontId="17" fillId="0" borderId="0" xfId="6" applyFont="1" applyBorder="1" applyAlignment="1">
      <alignment horizontal="center"/>
    </xf>
    <xf numFmtId="172" fontId="18" fillId="0" borderId="0" xfId="5" applyNumberFormat="1" applyFont="1" applyBorder="1" applyAlignment="1">
      <alignment horizontal="center"/>
    </xf>
    <xf numFmtId="172" fontId="17" fillId="0" borderId="0" xfId="6" applyNumberFormat="1" applyBorder="1" applyAlignment="1">
      <alignment horizontal="center"/>
    </xf>
    <xf numFmtId="183" fontId="19" fillId="0" borderId="0" xfId="5" applyFont="1" applyBorder="1"/>
    <xf numFmtId="183" fontId="17" fillId="0" borderId="21" xfId="6" applyFont="1" applyBorder="1" applyAlignment="1">
      <alignment horizontal="center"/>
    </xf>
    <xf numFmtId="172" fontId="18" fillId="0" borderId="21" xfId="6" applyNumberFormat="1" applyFont="1" applyBorder="1" applyAlignment="1">
      <alignment horizontal="center"/>
    </xf>
    <xf numFmtId="172" fontId="19" fillId="0" borderId="21" xfId="5" applyNumberFormat="1" applyFont="1" applyBorder="1" applyAlignment="1">
      <alignment horizontal="center"/>
    </xf>
    <xf numFmtId="183" fontId="17" fillId="0" borderId="21" xfId="6" applyBorder="1" applyAlignment="1">
      <alignment horizontal="centerContinuous"/>
    </xf>
    <xf numFmtId="183" fontId="17" fillId="0" borderId="21" xfId="6" applyFont="1" applyBorder="1" applyAlignment="1">
      <alignment horizontal="centerContinuous"/>
    </xf>
    <xf numFmtId="183" fontId="17" fillId="0" borderId="20" xfId="6" applyBorder="1" applyAlignment="1">
      <alignment horizontal="centerContinuous"/>
    </xf>
    <xf numFmtId="183" fontId="17" fillId="0" borderId="20" xfId="6" applyFont="1" applyBorder="1" applyAlignment="1">
      <alignment horizontal="centerContinuous"/>
    </xf>
    <xf numFmtId="183" fontId="17" fillId="0" borderId="36" xfId="6" applyBorder="1" applyAlignment="1">
      <alignment horizontal="centerContinuous"/>
    </xf>
    <xf numFmtId="183" fontId="17" fillId="0" borderId="37" xfId="6" applyBorder="1" applyAlignment="1">
      <alignment horizontal="centerContinuous"/>
    </xf>
    <xf numFmtId="183" fontId="17" fillId="0" borderId="38" xfId="6" applyFont="1" applyBorder="1" applyAlignment="1">
      <alignment horizontal="centerContinuous"/>
    </xf>
    <xf numFmtId="183" fontId="17" fillId="0" borderId="39" xfId="6" applyBorder="1" applyAlignment="1">
      <alignment horizontal="centerContinuous"/>
    </xf>
    <xf numFmtId="183" fontId="17" fillId="0" borderId="38" xfId="6" applyFont="1" applyBorder="1" applyAlignment="1">
      <alignment horizontal="center"/>
    </xf>
    <xf numFmtId="183" fontId="17" fillId="0" borderId="39" xfId="6" applyFont="1" applyBorder="1" applyAlignment="1">
      <alignment horizontal="center"/>
    </xf>
    <xf numFmtId="172" fontId="18" fillId="0" borderId="38" xfId="6" applyNumberFormat="1" applyFont="1" applyBorder="1" applyAlignment="1">
      <alignment horizontal="center"/>
    </xf>
    <xf numFmtId="172" fontId="18" fillId="0" borderId="39" xfId="6" applyNumberFormat="1" applyFont="1" applyBorder="1" applyAlignment="1">
      <alignment horizontal="center"/>
    </xf>
    <xf numFmtId="172" fontId="19" fillId="0" borderId="38" xfId="5" applyNumberFormat="1" applyFont="1" applyBorder="1" applyAlignment="1">
      <alignment horizontal="center"/>
    </xf>
    <xf numFmtId="172" fontId="19" fillId="0" borderId="39" xfId="5" applyNumberFormat="1" applyFont="1" applyBorder="1" applyAlignment="1">
      <alignment horizontal="center"/>
    </xf>
    <xf numFmtId="172" fontId="17" fillId="0" borderId="40" xfId="6" applyNumberFormat="1" applyBorder="1" applyAlignment="1">
      <alignment horizontal="center"/>
    </xf>
    <xf numFmtId="183" fontId="17" fillId="0" borderId="36" xfId="6" applyBorder="1" applyAlignment="1"/>
    <xf numFmtId="183" fontId="17" fillId="0" borderId="43" xfId="6" applyBorder="1" applyAlignment="1"/>
    <xf numFmtId="183" fontId="17" fillId="0" borderId="44" xfId="6" applyBorder="1" applyAlignment="1"/>
    <xf numFmtId="183" fontId="17" fillId="0" borderId="45" xfId="6" applyFont="1" applyBorder="1" applyAlignment="1">
      <alignment horizontal="centerContinuous"/>
    </xf>
    <xf numFmtId="183" fontId="17" fillId="0" borderId="46" xfId="6" applyBorder="1" applyAlignment="1">
      <alignment horizontal="centerContinuous"/>
    </xf>
    <xf numFmtId="3" fontId="0" fillId="0" borderId="47" xfId="0" applyNumberFormat="1" applyFont="1" applyBorder="1" applyAlignment="1"/>
    <xf numFmtId="3" fontId="0" fillId="0" borderId="48" xfId="0" applyNumberFormat="1" applyFont="1" applyBorder="1" applyAlignment="1"/>
    <xf numFmtId="3" fontId="0" fillId="0" borderId="49" xfId="0" applyNumberFormat="1" applyFont="1" applyBorder="1" applyAlignment="1"/>
    <xf numFmtId="3" fontId="17" fillId="0" borderId="0" xfId="0" applyNumberFormat="1" applyFont="1" applyBorder="1" applyAlignment="1"/>
    <xf numFmtId="3" fontId="0" fillId="0" borderId="0" xfId="0" applyNumberFormat="1" applyFont="1" applyBorder="1" applyAlignment="1"/>
    <xf numFmtId="3" fontId="0" fillId="0" borderId="50" xfId="0" applyNumberFormat="1" applyFont="1" applyBorder="1" applyAlignment="1"/>
    <xf numFmtId="181" fontId="0" fillId="0" borderId="0" xfId="2" applyNumberFormat="1" applyFont="1" applyBorder="1" applyAlignment="1"/>
    <xf numFmtId="3" fontId="0" fillId="6" borderId="0" xfId="0" applyNumberFormat="1" applyFont="1" applyFill="1" applyBorder="1" applyAlignment="1"/>
    <xf numFmtId="181" fontId="40" fillId="6" borderId="0" xfId="2" applyNumberFormat="1" applyFont="1" applyFill="1" applyBorder="1" applyAlignment="1"/>
    <xf numFmtId="3" fontId="17" fillId="0" borderId="49" xfId="0" applyNumberFormat="1" applyFont="1" applyBorder="1" applyAlignment="1"/>
    <xf numFmtId="3" fontId="0" fillId="0" borderId="51" xfId="0" applyNumberFormat="1" applyFont="1" applyBorder="1" applyAlignment="1"/>
    <xf numFmtId="3" fontId="0" fillId="0" borderId="1" xfId="0" applyNumberFormat="1" applyFont="1" applyBorder="1" applyAlignment="1"/>
    <xf numFmtId="3" fontId="0" fillId="0" borderId="52" xfId="0" applyNumberFormat="1" applyFont="1" applyBorder="1" applyAlignment="1"/>
    <xf numFmtId="3" fontId="17" fillId="0" borderId="53" xfId="0" applyNumberFormat="1" applyFont="1" applyBorder="1" applyAlignment="1"/>
    <xf numFmtId="183" fontId="14" fillId="0" borderId="54" xfId="6" applyFont="1" applyBorder="1" applyAlignment="1">
      <alignment horizontal="centerContinuous"/>
    </xf>
    <xf numFmtId="183" fontId="14" fillId="0" borderId="54" xfId="6" applyFont="1" applyBorder="1" applyAlignment="1"/>
    <xf numFmtId="183" fontId="42" fillId="0" borderId="0" xfId="4" quotePrefix="1" applyFont="1" applyFill="1" applyAlignment="1">
      <alignment horizontal="left"/>
    </xf>
    <xf numFmtId="183" fontId="35" fillId="0" borderId="0" xfId="4" applyFont="1" applyFill="1"/>
    <xf numFmtId="183" fontId="35" fillId="0" borderId="0" xfId="4" applyFont="1" applyFill="1" applyAlignment="1">
      <alignment horizontal="right"/>
    </xf>
    <xf numFmtId="183" fontId="42" fillId="0" borderId="0" xfId="4" applyFont="1" applyFill="1" applyAlignment="1">
      <alignment horizontal="left"/>
    </xf>
    <xf numFmtId="183" fontId="42" fillId="0" borderId="0" xfId="4" applyFont="1" applyFill="1" applyAlignment="1">
      <alignment horizontal="center"/>
    </xf>
    <xf numFmtId="183" fontId="35" fillId="0" borderId="0" xfId="4" applyFont="1" applyFill="1" applyAlignment="1">
      <alignment horizontal="left"/>
    </xf>
    <xf numFmtId="183" fontId="35" fillId="0" borderId="0" xfId="4" quotePrefix="1" applyNumberFormat="1" applyFont="1" applyFill="1" applyAlignment="1">
      <alignment horizontal="center"/>
    </xf>
    <xf numFmtId="183" fontId="35" fillId="0" borderId="0" xfId="4" quotePrefix="1" applyFont="1" applyFill="1" applyAlignment="1">
      <alignment horizontal="center"/>
    </xf>
    <xf numFmtId="183" fontId="42" fillId="0" borderId="0" xfId="4" quotePrefix="1" applyFont="1" applyFill="1" applyAlignment="1">
      <alignment horizontal="center"/>
    </xf>
    <xf numFmtId="183" fontId="35" fillId="0" borderId="0" xfId="4" applyFont="1" applyFill="1" applyAlignment="1">
      <alignment horizontal="center"/>
    </xf>
    <xf numFmtId="183" fontId="35" fillId="0" borderId="1" xfId="4" applyNumberFormat="1" applyFont="1" applyFill="1" applyBorder="1" applyAlignment="1">
      <alignment horizontal="center"/>
    </xf>
    <xf numFmtId="183" fontId="35" fillId="0" borderId="1" xfId="4" applyFont="1" applyFill="1" applyBorder="1" applyAlignment="1">
      <alignment horizontal="center"/>
    </xf>
    <xf numFmtId="183" fontId="35" fillId="0" borderId="0" xfId="4" applyFont="1" applyFill="1" applyBorder="1" applyAlignment="1">
      <alignment horizontal="center"/>
    </xf>
    <xf numFmtId="183" fontId="35" fillId="0" borderId="0" xfId="4" quotePrefix="1" applyFont="1" applyFill="1" applyAlignment="1">
      <alignment horizontal="left"/>
    </xf>
    <xf numFmtId="37" fontId="43" fillId="0" borderId="0" xfId="4" applyNumberFormat="1" applyFont="1" applyFill="1"/>
    <xf numFmtId="37" fontId="35" fillId="0" borderId="0" xfId="4" applyNumberFormat="1" applyFont="1" applyFill="1"/>
    <xf numFmtId="37" fontId="35" fillId="0" borderId="26" xfId="4" applyNumberFormat="1" applyFont="1" applyFill="1" applyBorder="1"/>
    <xf numFmtId="37" fontId="35" fillId="0" borderId="1" xfId="4" applyNumberFormat="1" applyFont="1" applyFill="1" applyBorder="1"/>
    <xf numFmtId="37" fontId="35" fillId="0" borderId="0" xfId="4" applyNumberFormat="1" applyFont="1" applyFill="1" applyBorder="1"/>
    <xf numFmtId="37" fontId="35" fillId="0" borderId="55" xfId="4" applyNumberFormat="1" applyFont="1" applyFill="1" applyBorder="1"/>
    <xf numFmtId="3" fontId="35" fillId="0" borderId="55" xfId="4" applyNumberFormat="1" applyFont="1" applyFill="1" applyBorder="1"/>
    <xf numFmtId="37" fontId="42" fillId="0" borderId="56" xfId="4" applyNumberFormat="1" applyFont="1" applyFill="1" applyBorder="1"/>
    <xf numFmtId="183" fontId="35" fillId="0" borderId="1" xfId="4" quotePrefix="1" applyFont="1" applyFill="1" applyBorder="1" applyAlignment="1">
      <alignment horizontal="left"/>
    </xf>
    <xf numFmtId="183" fontId="42" fillId="0" borderId="47" xfId="4" quotePrefix="1" applyFont="1" applyFill="1" applyBorder="1" applyAlignment="1">
      <alignment horizontal="center"/>
    </xf>
    <xf numFmtId="183" fontId="42" fillId="0" borderId="0" xfId="4" quotePrefix="1" applyFont="1" applyFill="1" applyBorder="1" applyAlignment="1">
      <alignment horizontal="left"/>
    </xf>
    <xf numFmtId="183" fontId="42" fillId="0" borderId="0" xfId="4" quotePrefix="1" applyFont="1" applyFill="1" applyBorder="1" applyAlignment="1">
      <alignment horizontal="center"/>
    </xf>
    <xf numFmtId="37" fontId="42" fillId="0" borderId="0" xfId="4" applyNumberFormat="1" applyFont="1" applyFill="1" applyBorder="1" applyAlignment="1">
      <alignment horizontal="center"/>
    </xf>
    <xf numFmtId="37" fontId="42" fillId="0" borderId="1" xfId="4" quotePrefix="1" applyNumberFormat="1" applyFont="1" applyFill="1" applyBorder="1" applyAlignment="1">
      <alignment horizontal="center"/>
    </xf>
    <xf numFmtId="37" fontId="42" fillId="0" borderId="1" xfId="4" applyNumberFormat="1" applyFont="1" applyFill="1" applyBorder="1" applyAlignment="1">
      <alignment horizontal="center"/>
    </xf>
    <xf numFmtId="37" fontId="44" fillId="0" borderId="0" xfId="4" applyNumberFormat="1" applyFont="1" applyFill="1"/>
    <xf numFmtId="183" fontId="35" fillId="0" borderId="0" xfId="4" applyNumberFormat="1" applyFont="1" applyFill="1" applyBorder="1" applyAlignment="1">
      <alignment horizontal="center"/>
    </xf>
    <xf numFmtId="10" fontId="35" fillId="0" borderId="0" xfId="7" applyNumberFormat="1" applyFont="1" applyFill="1" applyBorder="1"/>
    <xf numFmtId="3" fontId="17" fillId="0" borderId="0" xfId="0" applyNumberFormat="1" applyFont="1" applyAlignment="1" applyProtection="1">
      <protection locked="0"/>
    </xf>
    <xf numFmtId="44" fontId="0" fillId="0" borderId="0" xfId="2" applyFont="1" applyAlignment="1"/>
    <xf numFmtId="182" fontId="0" fillId="0" borderId="0" xfId="2" applyNumberFormat="1" applyFont="1" applyAlignment="1"/>
    <xf numFmtId="44" fontId="0" fillId="0" borderId="0" xfId="2" applyFont="1" applyFill="1" applyAlignment="1"/>
    <xf numFmtId="172" fontId="18" fillId="0" borderId="57" xfId="6" applyNumberFormat="1" applyFont="1" applyBorder="1" applyAlignment="1">
      <alignment horizontal="center"/>
    </xf>
    <xf numFmtId="3" fontId="17" fillId="0" borderId="0" xfId="0" applyNumberFormat="1" applyFont="1" applyAlignment="1">
      <alignment horizontal="center"/>
    </xf>
    <xf numFmtId="10" fontId="0" fillId="0" borderId="0" xfId="7" applyNumberFormat="1" applyFont="1" applyAlignment="1">
      <alignment horizontal="center"/>
    </xf>
    <xf numFmtId="172" fontId="17" fillId="0" borderId="0" xfId="0" applyNumberFormat="1" applyFont="1" applyAlignment="1" applyProtection="1">
      <protection locked="0"/>
    </xf>
    <xf numFmtId="37" fontId="55" fillId="0" borderId="0" xfId="4" applyNumberFormat="1" applyFont="1" applyFill="1"/>
    <xf numFmtId="37" fontId="56" fillId="0" borderId="0" xfId="0" applyNumberFormat="1" applyFont="1" applyFill="1" applyAlignment="1"/>
    <xf numFmtId="37" fontId="57" fillId="0" borderId="0" xfId="0" applyNumberFormat="1" applyFont="1" applyFill="1" applyAlignment="1"/>
    <xf numFmtId="177" fontId="43" fillId="6" borderId="0" xfId="0" applyNumberFormat="1" applyFont="1" applyFill="1" applyBorder="1" applyAlignment="1">
      <alignment horizontal="right"/>
    </xf>
    <xf numFmtId="3" fontId="0" fillId="7" borderId="0" xfId="0" applyNumberFormat="1" applyFont="1" applyFill="1" applyAlignment="1"/>
    <xf numFmtId="37" fontId="17" fillId="0" borderId="3" xfId="5" applyNumberFormat="1" applyFont="1" applyBorder="1"/>
    <xf numFmtId="172" fontId="37" fillId="0" borderId="21" xfId="6" applyNumberFormat="1" applyFont="1" applyBorder="1" applyAlignment="1">
      <alignment horizontal="center"/>
    </xf>
    <xf numFmtId="183" fontId="8" fillId="0" borderId="0" xfId="0" applyNumberFormat="1" applyFont="1"/>
    <xf numFmtId="172" fontId="12" fillId="0" borderId="21" xfId="6" applyNumberFormat="1" applyFont="1" applyBorder="1" applyAlignment="1">
      <alignment horizontal="center"/>
    </xf>
    <xf numFmtId="5" fontId="56" fillId="0" borderId="0" xfId="0" applyNumberFormat="1" applyFont="1" applyFill="1" applyAlignment="1"/>
    <xf numFmtId="172" fontId="17" fillId="0" borderId="21" xfId="6" applyNumberFormat="1" applyFont="1" applyBorder="1" applyAlignment="1">
      <alignment horizontal="center"/>
    </xf>
    <xf numFmtId="183" fontId="36" fillId="0" borderId="0" xfId="5" applyFont="1" applyFill="1" applyAlignment="1">
      <alignment horizontal="left"/>
    </xf>
    <xf numFmtId="172" fontId="19" fillId="0" borderId="57" xfId="5" applyNumberFormat="1" applyFont="1" applyBorder="1" applyAlignment="1">
      <alignment horizontal="center"/>
    </xf>
    <xf numFmtId="172" fontId="59" fillId="0" borderId="38" xfId="6" applyNumberFormat="1" applyFont="1" applyBorder="1" applyAlignment="1">
      <alignment horizontal="center"/>
    </xf>
    <xf numFmtId="183" fontId="14" fillId="0" borderId="3" xfId="5" applyFont="1" applyBorder="1"/>
    <xf numFmtId="183" fontId="14" fillId="0" borderId="3" xfId="6" applyFont="1" applyBorder="1" applyAlignment="1"/>
    <xf numFmtId="183" fontId="14" fillId="0" borderId="14" xfId="6" applyFont="1" applyBorder="1" applyAlignment="1"/>
    <xf numFmtId="10" fontId="21" fillId="0" borderId="58" xfId="7" applyNumberFormat="1" applyFont="1" applyFill="1" applyBorder="1" applyAlignment="1">
      <alignment horizontal="center"/>
    </xf>
    <xf numFmtId="172" fontId="18" fillId="0" borderId="40" xfId="6" applyNumberFormat="1" applyFont="1" applyBorder="1" applyAlignment="1">
      <alignment horizontal="center"/>
    </xf>
    <xf numFmtId="172" fontId="18" fillId="0" borderId="41" xfId="6" applyNumberFormat="1" applyFont="1" applyBorder="1" applyAlignment="1">
      <alignment horizontal="center"/>
    </xf>
    <xf numFmtId="172" fontId="18" fillId="0" borderId="42" xfId="6" applyNumberFormat="1" applyFont="1" applyBorder="1" applyAlignment="1">
      <alignment horizontal="center"/>
    </xf>
    <xf numFmtId="172" fontId="37" fillId="0" borderId="38" xfId="6" applyNumberFormat="1" applyFont="1" applyBorder="1" applyAlignment="1">
      <alignment horizontal="center"/>
    </xf>
    <xf numFmtId="172" fontId="37" fillId="0" borderId="39" xfId="6" applyNumberFormat="1" applyFont="1" applyBorder="1" applyAlignment="1">
      <alignment horizontal="center"/>
    </xf>
    <xf numFmtId="172" fontId="17" fillId="0" borderId="39" xfId="6" applyNumberFormat="1" applyFont="1" applyBorder="1" applyAlignment="1">
      <alignment horizontal="center"/>
    </xf>
    <xf numFmtId="172" fontId="8" fillId="0" borderId="38" xfId="6" applyNumberFormat="1" applyFont="1" applyBorder="1" applyAlignment="1">
      <alignment horizontal="center"/>
    </xf>
    <xf numFmtId="5" fontId="17" fillId="0" borderId="0" xfId="14" applyNumberFormat="1" applyFont="1" applyFill="1" applyBorder="1"/>
    <xf numFmtId="183" fontId="17" fillId="0" borderId="0" xfId="14" applyFont="1"/>
    <xf numFmtId="37" fontId="17" fillId="0" borderId="0" xfId="14" applyNumberFormat="1" applyFont="1"/>
    <xf numFmtId="183" fontId="7" fillId="0" borderId="0" xfId="14" applyFont="1" applyAlignment="1">
      <alignment horizontal="centerContinuous"/>
    </xf>
    <xf numFmtId="183" fontId="14" fillId="0" borderId="0" xfId="14" applyFont="1" applyAlignment="1">
      <alignment horizontal="centerContinuous"/>
    </xf>
    <xf numFmtId="183" fontId="17" fillId="0" borderId="0" xfId="14" applyFont="1" applyFill="1"/>
    <xf numFmtId="183" fontId="17" fillId="0" borderId="0" xfId="14" applyFont="1" applyFill="1" applyBorder="1"/>
    <xf numFmtId="183" fontId="17" fillId="0" borderId="22" xfId="14" applyFont="1" applyBorder="1"/>
    <xf numFmtId="37" fontId="17" fillId="0" borderId="0" xfId="14" applyNumberFormat="1" applyFont="1" applyBorder="1"/>
    <xf numFmtId="7" fontId="8" fillId="0" borderId="23" xfId="14" applyNumberFormat="1" applyFont="1" applyBorder="1" applyAlignment="1">
      <alignment horizontal="center"/>
    </xf>
    <xf numFmtId="183" fontId="17" fillId="0" borderId="24" xfId="14" applyFont="1" applyBorder="1" applyAlignment="1">
      <alignment horizontal="center"/>
    </xf>
    <xf numFmtId="14" fontId="12" fillId="0" borderId="24" xfId="14" applyNumberFormat="1" applyFont="1" applyBorder="1" applyAlignment="1">
      <alignment horizontal="center"/>
    </xf>
    <xf numFmtId="14" fontId="17" fillId="0" borderId="24" xfId="14" quotePrefix="1" applyNumberFormat="1" applyFont="1" applyBorder="1" applyAlignment="1">
      <alignment horizontal="center"/>
    </xf>
    <xf numFmtId="37" fontId="17" fillId="0" borderId="23" xfId="14" applyNumberFormat="1" applyFont="1" applyBorder="1" applyAlignment="1">
      <alignment horizontal="center"/>
    </xf>
    <xf numFmtId="183" fontId="17" fillId="0" borderId="9" xfId="14" applyFont="1" applyBorder="1"/>
    <xf numFmtId="173" fontId="8" fillId="0" borderId="0" xfId="14" applyNumberFormat="1" applyFont="1" applyAlignment="1">
      <alignment horizontal="center"/>
    </xf>
    <xf numFmtId="7" fontId="17" fillId="0" borderId="0" xfId="14" applyNumberFormat="1" applyFont="1" applyBorder="1" applyAlignment="1">
      <alignment horizontal="center"/>
    </xf>
    <xf numFmtId="10" fontId="17" fillId="0" borderId="17" xfId="14" applyNumberFormat="1" applyFont="1" applyBorder="1" applyAlignment="1">
      <alignment horizontal="center"/>
    </xf>
    <xf numFmtId="183" fontId="17" fillId="0" borderId="33" xfId="14" applyFont="1" applyBorder="1"/>
    <xf numFmtId="173" fontId="17" fillId="0" borderId="34" xfId="14" applyNumberFormat="1" applyFont="1" applyBorder="1" applyAlignment="1">
      <alignment horizontal="center"/>
    </xf>
    <xf numFmtId="7" fontId="17" fillId="0" borderId="34" xfId="14" applyNumberFormat="1" applyFont="1" applyBorder="1" applyAlignment="1">
      <alignment horizontal="center"/>
    </xf>
    <xf numFmtId="10" fontId="17" fillId="0" borderId="35" xfId="7" applyNumberFormat="1" applyFont="1" applyFill="1" applyBorder="1" applyAlignment="1">
      <alignment horizontal="center"/>
    </xf>
    <xf numFmtId="3" fontId="6" fillId="6" borderId="0" xfId="0" applyNumberFormat="1" applyFont="1" applyFill="1" applyAlignment="1" applyProtection="1">
      <protection locked="0"/>
    </xf>
    <xf numFmtId="7" fontId="17" fillId="0" borderId="0" xfId="14" applyNumberFormat="1" applyFont="1" applyFill="1" applyBorder="1" applyAlignment="1">
      <alignment horizontal="center"/>
    </xf>
    <xf numFmtId="172" fontId="22" fillId="0" borderId="38" xfId="6" applyNumberFormat="1" applyFont="1" applyBorder="1" applyAlignment="1">
      <alignment horizontal="center"/>
    </xf>
    <xf numFmtId="172" fontId="22" fillId="0" borderId="57" xfId="6" applyNumberFormat="1" applyFont="1" applyBorder="1" applyAlignment="1">
      <alignment horizontal="center"/>
    </xf>
    <xf numFmtId="172" fontId="14" fillId="0" borderId="59" xfId="6" applyNumberFormat="1" applyFont="1" applyBorder="1" applyAlignment="1">
      <alignment horizontal="center"/>
    </xf>
    <xf numFmtId="172" fontId="14" fillId="0" borderId="38" xfId="5" applyNumberFormat="1" applyFont="1" applyBorder="1" applyAlignment="1">
      <alignment horizontal="center"/>
    </xf>
    <xf numFmtId="172" fontId="14" fillId="0" borderId="57" xfId="5" applyNumberFormat="1" applyFont="1" applyBorder="1" applyAlignment="1">
      <alignment horizontal="center"/>
    </xf>
    <xf numFmtId="172" fontId="17" fillId="0" borderId="60" xfId="6" applyNumberFormat="1" applyBorder="1" applyAlignment="1">
      <alignment horizontal="center"/>
    </xf>
    <xf numFmtId="184" fontId="0" fillId="0" borderId="0" xfId="0" applyNumberFormat="1" applyAlignment="1">
      <alignment horizontal="center"/>
    </xf>
    <xf numFmtId="3" fontId="0" fillId="0" borderId="27" xfId="0" applyNumberFormat="1" applyFont="1" applyBorder="1" applyAlignment="1"/>
    <xf numFmtId="172" fontId="17" fillId="0" borderId="0" xfId="0" applyNumberFormat="1" applyFont="1" applyAlignment="1"/>
    <xf numFmtId="181" fontId="0" fillId="0" borderId="0" xfId="2" applyNumberFormat="1" applyFont="1" applyAlignment="1"/>
    <xf numFmtId="3" fontId="0" fillId="0" borderId="61" xfId="0" applyNumberFormat="1" applyFont="1" applyBorder="1" applyAlignment="1"/>
    <xf numFmtId="3" fontId="17" fillId="0" borderId="0" xfId="0" applyNumberFormat="1" applyFont="1" applyAlignment="1">
      <alignment horizontal="left"/>
    </xf>
    <xf numFmtId="182" fontId="0" fillId="0" borderId="61" xfId="2" applyNumberFormat="1" applyFont="1" applyBorder="1" applyAlignment="1"/>
    <xf numFmtId="164" fontId="52" fillId="0" borderId="0" xfId="7" applyNumberFormat="1" applyFont="1" applyFill="1" applyAlignment="1"/>
    <xf numFmtId="182" fontId="0" fillId="0" borderId="0" xfId="2" applyNumberFormat="1" applyFont="1" applyFill="1" applyBorder="1" applyAlignment="1"/>
    <xf numFmtId="3" fontId="0" fillId="0" borderId="0" xfId="0" applyNumberFormat="1" applyFont="1" applyFill="1" applyBorder="1" applyAlignment="1"/>
    <xf numFmtId="3" fontId="0" fillId="0" borderId="7" xfId="0" applyNumberFormat="1" applyFont="1" applyBorder="1" applyAlignment="1"/>
    <xf numFmtId="3" fontId="60" fillId="0" borderId="26" xfId="0" applyNumberFormat="1" applyFont="1" applyBorder="1" applyAlignment="1"/>
    <xf numFmtId="3" fontId="0" fillId="0" borderId="16" xfId="0" applyNumberFormat="1" applyFont="1" applyBorder="1" applyAlignment="1"/>
    <xf numFmtId="3" fontId="0" fillId="0" borderId="9" xfId="0" applyNumberFormat="1" applyFont="1" applyBorder="1" applyAlignment="1"/>
    <xf numFmtId="3" fontId="60" fillId="0" borderId="0" xfId="0" applyNumberFormat="1" applyFont="1" applyBorder="1" applyAlignment="1">
      <alignment horizontal="center"/>
    </xf>
    <xf numFmtId="3" fontId="60" fillId="0" borderId="17" xfId="0" applyNumberFormat="1" applyFont="1" applyBorder="1" applyAlignment="1">
      <alignment horizontal="center"/>
    </xf>
    <xf numFmtId="182" fontId="0" fillId="0" borderId="0" xfId="2" applyNumberFormat="1" applyFont="1" applyBorder="1" applyAlignment="1"/>
    <xf numFmtId="182" fontId="0" fillId="0" borderId="17" xfId="2" applyNumberFormat="1" applyFont="1" applyBorder="1" applyAlignment="1"/>
    <xf numFmtId="3" fontId="0" fillId="0" borderId="17" xfId="0" applyNumberFormat="1" applyFont="1" applyBorder="1" applyAlignment="1"/>
    <xf numFmtId="3" fontId="0" fillId="0" borderId="19" xfId="0" applyNumberFormat="1" applyFont="1" applyBorder="1" applyAlignment="1"/>
    <xf numFmtId="3" fontId="17" fillId="0" borderId="9" xfId="0" applyNumberFormat="1" applyFont="1" applyBorder="1" applyAlignment="1"/>
    <xf numFmtId="166" fontId="0" fillId="0" borderId="0" xfId="0" applyNumberFormat="1" applyFont="1" applyBorder="1" applyAlignment="1"/>
    <xf numFmtId="169" fontId="0" fillId="0" borderId="17" xfId="0" applyNumberFormat="1" applyFont="1" applyBorder="1" applyAlignment="1"/>
    <xf numFmtId="3" fontId="0" fillId="0" borderId="18" xfId="0" applyNumberFormat="1" applyFont="1" applyBorder="1" applyAlignment="1"/>
    <xf numFmtId="3" fontId="17" fillId="0" borderId="27" xfId="0" applyNumberFormat="1" applyFont="1" applyBorder="1" applyAlignment="1"/>
    <xf numFmtId="166" fontId="0" fillId="0" borderId="27" xfId="0" applyNumberFormat="1" applyFont="1" applyBorder="1" applyAlignment="1"/>
    <xf numFmtId="164" fontId="0" fillId="0" borderId="19" xfId="7" applyNumberFormat="1" applyFont="1" applyBorder="1" applyAlignment="1"/>
    <xf numFmtId="10" fontId="0" fillId="0" borderId="0" xfId="7" applyNumberFormat="1" applyFont="1" applyBorder="1" applyAlignment="1"/>
    <xf numFmtId="183" fontId="8" fillId="0" borderId="0" xfId="18" applyNumberFormat="1" applyFont="1"/>
    <xf numFmtId="172" fontId="37" fillId="0" borderId="38" xfId="18" applyNumberFormat="1" applyFont="1" applyBorder="1" applyAlignment="1">
      <alignment horizontal="center"/>
    </xf>
    <xf numFmtId="172" fontId="37" fillId="0" borderId="21" xfId="18" applyNumberFormat="1" applyFont="1" applyBorder="1" applyAlignment="1">
      <alignment horizontal="center"/>
    </xf>
    <xf numFmtId="172" fontId="17" fillId="0" borderId="21" xfId="18" applyNumberFormat="1" applyFont="1" applyBorder="1" applyAlignment="1">
      <alignment horizontal="center"/>
    </xf>
    <xf numFmtId="172" fontId="17" fillId="0" borderId="39" xfId="18" applyNumberFormat="1" applyFont="1" applyBorder="1" applyAlignment="1">
      <alignment horizontal="center"/>
    </xf>
    <xf numFmtId="3" fontId="17" fillId="0" borderId="0" xfId="0" applyNumberFormat="1" applyFont="1" applyFill="1" applyBorder="1" applyAlignment="1"/>
    <xf numFmtId="172" fontId="59" fillId="0" borderId="38" xfId="18" applyNumberFormat="1" applyFont="1" applyBorder="1" applyAlignment="1">
      <alignment horizontal="center"/>
    </xf>
    <xf numFmtId="3" fontId="0" fillId="0" borderId="0" xfId="0" applyNumberFormat="1" applyFont="1" applyFill="1" applyAlignment="1"/>
    <xf numFmtId="3" fontId="17" fillId="0" borderId="0" xfId="0" applyNumberFormat="1" applyFont="1" applyFill="1" applyAlignment="1"/>
    <xf numFmtId="3" fontId="0" fillId="0" borderId="0" xfId="0" applyNumberFormat="1" applyFill="1" applyAlignment="1">
      <alignment horizontal="center"/>
    </xf>
    <xf numFmtId="3" fontId="0" fillId="0" borderId="0" xfId="0" applyNumberFormat="1" applyFont="1" applyFill="1" applyAlignment="1">
      <alignment horizontal="center"/>
    </xf>
    <xf numFmtId="3" fontId="6" fillId="0" borderId="0" xfId="0" applyNumberFormat="1" applyFont="1" applyFill="1" applyAlignment="1">
      <alignment horizontal="center"/>
    </xf>
    <xf numFmtId="171" fontId="0" fillId="0" borderId="0" xfId="0" applyNumberFormat="1" applyFill="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0" fillId="0" borderId="27" xfId="0" applyNumberFormat="1" applyFill="1" applyBorder="1" applyAlignment="1">
      <alignment horizontal="right"/>
    </xf>
    <xf numFmtId="181" fontId="0" fillId="0" borderId="0" xfId="2" applyNumberFormat="1" applyFont="1" applyFill="1" applyAlignment="1"/>
    <xf numFmtId="3" fontId="0" fillId="0" borderId="0" xfId="0" applyNumberFormat="1" applyFont="1" applyFill="1" applyAlignment="1" applyProtection="1">
      <protection locked="0"/>
    </xf>
    <xf numFmtId="10" fontId="49" fillId="0" borderId="0" xfId="7" applyNumberFormat="1" applyFont="1" applyFill="1" applyAlignment="1"/>
    <xf numFmtId="3" fontId="0" fillId="0" borderId="0" xfId="0" applyNumberFormat="1" applyFill="1" applyAlignment="1"/>
    <xf numFmtId="3" fontId="0" fillId="0" borderId="0" xfId="0" applyNumberFormat="1" applyFont="1" applyFill="1" applyAlignment="1">
      <alignment vertical="top"/>
    </xf>
    <xf numFmtId="182" fontId="0" fillId="0" borderId="0" xfId="2" applyNumberFormat="1" applyFont="1" applyFill="1" applyAlignment="1"/>
    <xf numFmtId="182" fontId="0" fillId="0" borderId="61" xfId="2" applyNumberFormat="1" applyFont="1" applyFill="1" applyBorder="1" applyAlignment="1"/>
    <xf numFmtId="5" fontId="34" fillId="6" borderId="0" xfId="0" applyNumberFormat="1" applyFont="1" applyFill="1" applyAlignment="1" applyProtection="1">
      <protection locked="0"/>
    </xf>
    <xf numFmtId="5" fontId="8" fillId="6" borderId="0" xfId="0" applyNumberFormat="1" applyFont="1" applyFill="1" applyAlignment="1" applyProtection="1">
      <protection locked="0"/>
    </xf>
    <xf numFmtId="5" fontId="11" fillId="6" borderId="0" xfId="0" applyNumberFormat="1" applyFont="1" applyFill="1" applyAlignment="1" applyProtection="1">
      <protection locked="0"/>
    </xf>
    <xf numFmtId="37" fontId="8" fillId="6" borderId="0" xfId="0" applyNumberFormat="1" applyFont="1" applyFill="1" applyAlignment="1"/>
    <xf numFmtId="37" fontId="11" fillId="6" borderId="0" xfId="0" applyNumberFormat="1" applyFont="1" applyFill="1" applyAlignment="1"/>
    <xf numFmtId="10" fontId="61" fillId="6" borderId="0" xfId="0" applyNumberFormat="1" applyFont="1" applyFill="1" applyAlignment="1"/>
    <xf numFmtId="5" fontId="58" fillId="0" borderId="0" xfId="0" applyNumberFormat="1" applyFont="1" applyFill="1" applyAlignment="1"/>
    <xf numFmtId="181" fontId="40" fillId="0" borderId="0" xfId="2" applyNumberFormat="1" applyFont="1" applyFill="1" applyBorder="1" applyAlignment="1"/>
    <xf numFmtId="3" fontId="0" fillId="0" borderId="53" xfId="0" applyNumberFormat="1" applyFont="1" applyBorder="1" applyAlignment="1"/>
    <xf numFmtId="3" fontId="17" fillId="6" borderId="47" xfId="0" applyNumberFormat="1" applyFont="1" applyFill="1" applyBorder="1" applyAlignment="1"/>
    <xf numFmtId="3" fontId="17" fillId="0" borderId="47" xfId="0" applyNumberFormat="1" applyFont="1" applyBorder="1" applyAlignment="1"/>
    <xf numFmtId="3" fontId="17" fillId="0" borderId="48" xfId="0" applyNumberFormat="1" applyFont="1" applyBorder="1" applyAlignment="1"/>
    <xf numFmtId="181" fontId="0" fillId="0" borderId="49" xfId="2" applyNumberFormat="1" applyFont="1" applyBorder="1" applyAlignment="1"/>
    <xf numFmtId="165" fontId="0" fillId="6" borderId="0" xfId="0" applyNumberFormat="1" applyFont="1" applyFill="1" applyBorder="1" applyAlignment="1"/>
    <xf numFmtId="181" fontId="40" fillId="6" borderId="49" xfId="2" applyNumberFormat="1" applyFont="1" applyFill="1" applyBorder="1" applyAlignment="1"/>
    <xf numFmtId="165" fontId="0" fillId="0" borderId="0" xfId="0" applyNumberFormat="1" applyFont="1" applyBorder="1" applyAlignment="1"/>
    <xf numFmtId="165" fontId="0" fillId="6" borderId="1" xfId="0" applyNumberFormat="1" applyFont="1" applyFill="1" applyBorder="1" applyAlignment="1"/>
    <xf numFmtId="169" fontId="17" fillId="0" borderId="0" xfId="0" applyNumberFormat="1" applyFont="1" applyFill="1" applyAlignment="1"/>
    <xf numFmtId="169" fontId="0" fillId="0" borderId="0" xfId="0" applyNumberFormat="1" applyFont="1" applyFill="1" applyAlignment="1"/>
    <xf numFmtId="165" fontId="16" fillId="0" borderId="0" xfId="0" applyNumberFormat="1" applyFont="1" applyFill="1" applyAlignment="1"/>
    <xf numFmtId="181" fontId="50" fillId="0" borderId="0" xfId="2" applyNumberFormat="1" applyFont="1" applyFill="1" applyAlignment="1"/>
    <xf numFmtId="44" fontId="49" fillId="0" borderId="48" xfId="2" applyFont="1" applyFill="1" applyBorder="1" applyAlignment="1"/>
    <xf numFmtId="44" fontId="0" fillId="0" borderId="50" xfId="2" applyFont="1" applyFill="1" applyBorder="1" applyAlignment="1"/>
    <xf numFmtId="44" fontId="49" fillId="0" borderId="50" xfId="2" applyFont="1" applyFill="1" applyBorder="1" applyAlignment="1"/>
    <xf numFmtId="3" fontId="0" fillId="0" borderId="50" xfId="0" applyNumberFormat="1" applyFont="1" applyFill="1" applyBorder="1" applyAlignment="1"/>
    <xf numFmtId="3" fontId="17" fillId="0" borderId="51" xfId="0" applyNumberFormat="1" applyFont="1" applyBorder="1" applyAlignment="1"/>
    <xf numFmtId="44" fontId="49" fillId="0" borderId="52" xfId="2" applyFont="1" applyFill="1" applyBorder="1" applyAlignment="1"/>
    <xf numFmtId="3" fontId="0" fillId="0" borderId="47" xfId="0" applyNumberFormat="1" applyFont="1" applyFill="1" applyBorder="1" applyAlignment="1"/>
    <xf numFmtId="3" fontId="0" fillId="0" borderId="48" xfId="0" applyNumberFormat="1" applyFont="1" applyFill="1" applyBorder="1" applyAlignment="1"/>
    <xf numFmtId="3" fontId="0" fillId="0" borderId="0" xfId="0" applyNumberFormat="1" applyBorder="1" applyAlignment="1"/>
    <xf numFmtId="3" fontId="0" fillId="0" borderId="0" xfId="0" applyNumberFormat="1" applyFill="1" applyBorder="1" applyAlignment="1"/>
    <xf numFmtId="3" fontId="17" fillId="0" borderId="50" xfId="0" applyNumberFormat="1" applyFont="1" applyFill="1" applyBorder="1" applyAlignment="1"/>
    <xf numFmtId="3" fontId="0" fillId="0" borderId="49" xfId="0" applyNumberFormat="1" applyBorder="1" applyAlignment="1"/>
    <xf numFmtId="3" fontId="54" fillId="0" borderId="0" xfId="0" applyNumberFormat="1" applyFont="1" applyBorder="1" applyAlignment="1"/>
    <xf numFmtId="3" fontId="17" fillId="0" borderId="49" xfId="0" applyNumberFormat="1" applyFont="1" applyBorder="1" applyAlignment="1" applyProtection="1">
      <protection locked="0"/>
    </xf>
    <xf numFmtId="3" fontId="0" fillId="0" borderId="0" xfId="0" applyNumberFormat="1" applyFont="1" applyBorder="1" applyAlignment="1" applyProtection="1">
      <protection locked="0"/>
    </xf>
    <xf numFmtId="3" fontId="0" fillId="0" borderId="50" xfId="0" applyNumberFormat="1" applyFont="1" applyFill="1" applyBorder="1" applyAlignment="1" applyProtection="1">
      <protection locked="0"/>
    </xf>
    <xf numFmtId="3" fontId="0" fillId="0" borderId="49" xfId="0" applyNumberFormat="1" applyFont="1" applyBorder="1" applyAlignment="1" applyProtection="1">
      <protection locked="0"/>
    </xf>
    <xf numFmtId="3" fontId="0" fillId="0" borderId="0" xfId="0" applyNumberFormat="1" applyFont="1" applyFill="1" applyBorder="1" applyAlignment="1" applyProtection="1">
      <protection locked="0"/>
    </xf>
    <xf numFmtId="10" fontId="49" fillId="0" borderId="50" xfId="7" applyNumberFormat="1" applyFont="1" applyFill="1" applyBorder="1" applyAlignment="1"/>
    <xf numFmtId="3" fontId="54" fillId="0" borderId="0" xfId="0" applyNumberFormat="1" applyFont="1" applyBorder="1" applyAlignment="1" applyProtection="1">
      <protection locked="0"/>
    </xf>
    <xf numFmtId="10" fontId="0" fillId="0" borderId="50" xfId="7" applyNumberFormat="1" applyFont="1" applyFill="1" applyBorder="1" applyAlignment="1"/>
    <xf numFmtId="3" fontId="53" fillId="0" borderId="0" xfId="0" applyNumberFormat="1" applyFont="1" applyBorder="1" applyAlignment="1" applyProtection="1">
      <protection locked="0"/>
    </xf>
    <xf numFmtId="3" fontId="0" fillId="0" borderId="1" xfId="0" applyNumberFormat="1" applyFont="1" applyFill="1" applyBorder="1" applyAlignment="1"/>
    <xf numFmtId="3" fontId="0" fillId="0" borderId="52" xfId="0" applyNumberFormat="1" applyFont="1" applyFill="1" applyBorder="1" applyAlignment="1"/>
    <xf numFmtId="182" fontId="6" fillId="0" borderId="0" xfId="2" applyNumberFormat="1" applyFont="1" applyAlignment="1"/>
    <xf numFmtId="182" fontId="25" fillId="0" borderId="0" xfId="2" applyNumberFormat="1" applyFont="1" applyAlignment="1"/>
    <xf numFmtId="182" fontId="0" fillId="0" borderId="0" xfId="2" applyNumberFormat="1" applyFont="1" applyAlignment="1" applyProtection="1">
      <protection locked="0"/>
    </xf>
    <xf numFmtId="3" fontId="17" fillId="0" borderId="24" xfId="0" applyNumberFormat="1" applyFont="1" applyBorder="1" applyAlignment="1" applyProtection="1">
      <protection locked="0"/>
    </xf>
    <xf numFmtId="3" fontId="17" fillId="0" borderId="61" xfId="0" applyNumberFormat="1" applyFont="1" applyBorder="1" applyAlignment="1" applyProtection="1">
      <protection locked="0"/>
    </xf>
    <xf numFmtId="3" fontId="17" fillId="0" borderId="53" xfId="0" applyNumberFormat="1" applyFont="1" applyBorder="1" applyAlignment="1" applyProtection="1">
      <protection locked="0"/>
    </xf>
    <xf numFmtId="3" fontId="17" fillId="0" borderId="47" xfId="0" applyNumberFormat="1" applyFont="1" applyBorder="1" applyAlignment="1" applyProtection="1">
      <protection locked="0"/>
    </xf>
    <xf numFmtId="3" fontId="17" fillId="0" borderId="48" xfId="0" applyNumberFormat="1" applyFont="1" applyBorder="1" applyAlignment="1" applyProtection="1">
      <protection locked="0"/>
    </xf>
    <xf numFmtId="3" fontId="17" fillId="0" borderId="62" xfId="0" applyNumberFormat="1" applyFont="1" applyBorder="1" applyAlignment="1" applyProtection="1">
      <protection locked="0"/>
    </xf>
    <xf numFmtId="3" fontId="6" fillId="0" borderId="0" xfId="0" applyNumberFormat="1" applyFont="1" applyBorder="1" applyAlignment="1" applyProtection="1">
      <protection locked="0"/>
    </xf>
    <xf numFmtId="3" fontId="6" fillId="0" borderId="50" xfId="0" applyNumberFormat="1" applyFont="1" applyBorder="1" applyAlignment="1" applyProtection="1">
      <protection locked="0"/>
    </xf>
    <xf numFmtId="181" fontId="17" fillId="0" borderId="49" xfId="2" applyNumberFormat="1" applyFont="1" applyBorder="1" applyAlignment="1" applyProtection="1">
      <protection locked="0"/>
    </xf>
    <xf numFmtId="181" fontId="17" fillId="0" borderId="0" xfId="2" applyNumberFormat="1" applyFont="1" applyBorder="1" applyAlignment="1" applyProtection="1">
      <protection locked="0"/>
    </xf>
    <xf numFmtId="182" fontId="17" fillId="0" borderId="0" xfId="2" applyNumberFormat="1" applyFont="1" applyBorder="1" applyAlignment="1" applyProtection="1">
      <protection locked="0"/>
    </xf>
    <xf numFmtId="3" fontId="17" fillId="0" borderId="50" xfId="0" applyNumberFormat="1" applyFont="1" applyBorder="1" applyAlignment="1" applyProtection="1">
      <protection locked="0"/>
    </xf>
    <xf numFmtId="3" fontId="6" fillId="0" borderId="49" xfId="0" applyNumberFormat="1" applyFont="1" applyBorder="1" applyAlignment="1" applyProtection="1">
      <protection locked="0"/>
    </xf>
    <xf numFmtId="3" fontId="17" fillId="0" borderId="63" xfId="0" applyNumberFormat="1" applyFont="1" applyBorder="1" applyAlignment="1" applyProtection="1">
      <protection locked="0"/>
    </xf>
    <xf numFmtId="3" fontId="6" fillId="0" borderId="51" xfId="0" applyNumberFormat="1" applyFont="1" applyBorder="1" applyAlignment="1" applyProtection="1">
      <protection locked="0"/>
    </xf>
    <xf numFmtId="3" fontId="6" fillId="0" borderId="1" xfId="0" applyNumberFormat="1" applyFont="1" applyBorder="1" applyAlignment="1" applyProtection="1">
      <protection locked="0"/>
    </xf>
    <xf numFmtId="3" fontId="6" fillId="0" borderId="52" xfId="0" applyNumberFormat="1" applyFont="1" applyBorder="1" applyAlignment="1" applyProtection="1">
      <protection locked="0"/>
    </xf>
    <xf numFmtId="3" fontId="17" fillId="0" borderId="51" xfId="0" applyNumberFormat="1" applyFont="1" applyBorder="1" applyAlignment="1" applyProtection="1">
      <protection locked="0"/>
    </xf>
    <xf numFmtId="3" fontId="17" fillId="0" borderId="27" xfId="0" applyNumberFormat="1" applyFont="1" applyBorder="1" applyAlignment="1" applyProtection="1">
      <protection locked="0"/>
    </xf>
    <xf numFmtId="172" fontId="17" fillId="0" borderId="0" xfId="0" applyNumberFormat="1" applyFont="1" applyFill="1" applyAlignment="1" applyProtection="1">
      <protection locked="0"/>
    </xf>
    <xf numFmtId="169" fontId="17" fillId="0" borderId="0" xfId="0" applyNumberFormat="1" applyFont="1" applyFill="1" applyAlignment="1" applyProtection="1">
      <protection locked="0"/>
    </xf>
    <xf numFmtId="7" fontId="17" fillId="0" borderId="0" xfId="0" applyNumberFormat="1" applyFont="1" applyFill="1" applyAlignment="1" applyProtection="1">
      <protection locked="0"/>
    </xf>
    <xf numFmtId="3" fontId="17" fillId="0" borderId="0" xfId="6" applyNumberFormat="1" applyFont="1" applyAlignment="1"/>
    <xf numFmtId="3" fontId="17" fillId="0" borderId="1" xfId="0" applyNumberFormat="1" applyFont="1" applyBorder="1" applyAlignment="1"/>
    <xf numFmtId="3" fontId="14" fillId="0" borderId="49" xfId="0" applyNumberFormat="1" applyFont="1" applyBorder="1" applyAlignment="1"/>
    <xf numFmtId="3" fontId="0" fillId="0" borderId="1" xfId="0" applyNumberFormat="1" applyFont="1" applyBorder="1" applyAlignment="1" applyProtection="1">
      <protection locked="0"/>
    </xf>
    <xf numFmtId="10" fontId="49" fillId="0" borderId="52" xfId="7" applyNumberFormat="1" applyFont="1" applyFill="1" applyBorder="1" applyAlignment="1"/>
    <xf numFmtId="3" fontId="17" fillId="0" borderId="0" xfId="0" applyNumberFormat="1" applyFont="1" applyBorder="1" applyAlignment="1" applyProtection="1">
      <protection locked="0"/>
    </xf>
    <xf numFmtId="10" fontId="49" fillId="0" borderId="0" xfId="7" applyNumberFormat="1" applyFont="1" applyFill="1" applyBorder="1" applyAlignment="1"/>
    <xf numFmtId="44" fontId="0" fillId="0" borderId="0" xfId="2" applyFont="1" applyBorder="1" applyAlignment="1"/>
    <xf numFmtId="10" fontId="0" fillId="0" borderId="0" xfId="7" applyNumberFormat="1" applyFont="1" applyFill="1" applyBorder="1" applyAlignment="1"/>
    <xf numFmtId="182" fontId="17" fillId="0" borderId="47" xfId="2" applyNumberFormat="1" applyFont="1" applyBorder="1" applyAlignment="1"/>
    <xf numFmtId="182" fontId="17" fillId="0" borderId="0" xfId="2" applyNumberFormat="1" applyFont="1" applyBorder="1" applyAlignment="1"/>
    <xf numFmtId="183" fontId="35" fillId="0" borderId="0" xfId="22"/>
    <xf numFmtId="17" fontId="35" fillId="0" borderId="0" xfId="22" applyNumberFormat="1"/>
    <xf numFmtId="1" fontId="35" fillId="0" borderId="0" xfId="22" applyNumberFormat="1"/>
    <xf numFmtId="183" fontId="35" fillId="0" borderId="0" xfId="22" applyAlignment="1">
      <alignment horizontal="center"/>
    </xf>
    <xf numFmtId="2" fontId="35" fillId="8" borderId="0" xfId="22" applyNumberFormat="1" applyFill="1" applyAlignment="1">
      <alignment horizontal="center"/>
    </xf>
    <xf numFmtId="181" fontId="35" fillId="0" borderId="0" xfId="22" applyNumberFormat="1" applyAlignment="1">
      <alignment horizontal="center"/>
    </xf>
    <xf numFmtId="183" fontId="35" fillId="0" borderId="0" xfId="22" applyFill="1"/>
    <xf numFmtId="183" fontId="35" fillId="0" borderId="0" xfId="22" applyFill="1" applyAlignment="1">
      <alignment horizontal="center"/>
    </xf>
    <xf numFmtId="183" fontId="35" fillId="3" borderId="0" xfId="22" applyFill="1" applyAlignment="1">
      <alignment horizontal="center"/>
    </xf>
    <xf numFmtId="44" fontId="35" fillId="0" borderId="0" xfId="23" applyNumberFormat="1" applyFont="1" applyFill="1" applyAlignment="1">
      <alignment horizontal="center"/>
    </xf>
    <xf numFmtId="181" fontId="35" fillId="0" borderId="0" xfId="22" applyNumberFormat="1" applyFill="1" applyAlignment="1">
      <alignment horizontal="center"/>
    </xf>
    <xf numFmtId="185" fontId="35" fillId="0" borderId="0" xfId="22" applyNumberFormat="1" applyFont="1" applyFill="1"/>
    <xf numFmtId="185" fontId="46" fillId="0" borderId="0" xfId="22" applyNumberFormat="1" applyFont="1" applyFill="1"/>
    <xf numFmtId="44" fontId="35" fillId="0" borderId="0" xfId="23" applyNumberFormat="1" applyFont="1"/>
    <xf numFmtId="183" fontId="35" fillId="0" borderId="0" xfId="22" applyFont="1" applyAlignment="1">
      <alignment horizontal="center"/>
    </xf>
    <xf numFmtId="185" fontId="46" fillId="0" borderId="0" xfId="22" applyNumberFormat="1" applyFont="1"/>
    <xf numFmtId="185" fontId="35" fillId="0" borderId="0" xfId="23" applyNumberFormat="1" applyFont="1"/>
    <xf numFmtId="185" fontId="35" fillId="0" borderId="0" xfId="22" applyNumberFormat="1"/>
    <xf numFmtId="183" fontId="35" fillId="0" borderId="0" xfId="22" applyFont="1"/>
    <xf numFmtId="44" fontId="35" fillId="0" borderId="0" xfId="22" applyNumberFormat="1"/>
    <xf numFmtId="9" fontId="35" fillId="3" borderId="0" xfId="17" applyFont="1" applyFill="1"/>
    <xf numFmtId="44" fontId="35" fillId="0" borderId="0" xfId="23" applyFont="1"/>
    <xf numFmtId="10" fontId="35" fillId="0" borderId="0" xfId="17" applyNumberFormat="1" applyFont="1"/>
    <xf numFmtId="41" fontId="35" fillId="0" borderId="0" xfId="22" applyNumberFormat="1"/>
    <xf numFmtId="183" fontId="46" fillId="0" borderId="0" xfId="22" applyFont="1"/>
    <xf numFmtId="183" fontId="35" fillId="3" borderId="0" xfId="22" applyFont="1" applyFill="1" applyAlignment="1">
      <alignment horizontal="center"/>
    </xf>
    <xf numFmtId="17" fontId="35" fillId="0" borderId="0" xfId="22" applyNumberFormat="1" applyAlignment="1">
      <alignment horizontal="center"/>
    </xf>
    <xf numFmtId="183" fontId="51" fillId="0" borderId="0" xfId="22" applyFont="1" applyAlignment="1">
      <alignment horizontal="center"/>
    </xf>
    <xf numFmtId="183" fontId="45" fillId="0" borderId="0" xfId="22" applyFont="1"/>
    <xf numFmtId="183" fontId="4" fillId="8" borderId="0" xfId="22" applyFont="1" applyFill="1" applyAlignment="1">
      <alignment horizontal="center"/>
    </xf>
    <xf numFmtId="183" fontId="45" fillId="0" borderId="0" xfId="22" applyFont="1" applyAlignment="1">
      <alignment horizontal="center"/>
    </xf>
    <xf numFmtId="183" fontId="45" fillId="8" borderId="0" xfId="22" applyFont="1" applyFill="1"/>
    <xf numFmtId="41" fontId="4" fillId="0" borderId="0" xfId="22" applyNumberFormat="1" applyFont="1"/>
    <xf numFmtId="186" fontId="45" fillId="0" borderId="0" xfId="22" applyNumberFormat="1" applyFont="1"/>
    <xf numFmtId="187" fontId="35" fillId="0" borderId="0" xfId="22" applyNumberFormat="1"/>
    <xf numFmtId="41" fontId="4" fillId="0" borderId="0" xfId="22" applyNumberFormat="1" applyFont="1" applyFill="1"/>
    <xf numFmtId="186" fontId="45" fillId="0" borderId="0" xfId="22" applyNumberFormat="1" applyFont="1" applyFill="1"/>
    <xf numFmtId="41" fontId="35" fillId="0" borderId="0" xfId="22" applyNumberFormat="1" applyFill="1"/>
    <xf numFmtId="41" fontId="35" fillId="0" borderId="0" xfId="17" applyNumberFormat="1" applyFont="1" applyFill="1"/>
    <xf numFmtId="186" fontId="51" fillId="0" borderId="0" xfId="22" applyNumberFormat="1" applyFont="1" applyFill="1"/>
    <xf numFmtId="186" fontId="51" fillId="0" borderId="0" xfId="22" applyNumberFormat="1" applyFont="1"/>
    <xf numFmtId="186" fontId="4" fillId="0" borderId="0" xfId="22" applyNumberFormat="1" applyFont="1" applyFill="1"/>
    <xf numFmtId="183" fontId="45" fillId="0" borderId="0" xfId="22" applyFont="1" applyFill="1"/>
    <xf numFmtId="41" fontId="4" fillId="8" borderId="0" xfId="22" applyNumberFormat="1" applyFont="1" applyFill="1"/>
    <xf numFmtId="183" fontId="35" fillId="3" borderId="0" xfId="22" applyFill="1"/>
    <xf numFmtId="186" fontId="62" fillId="3" borderId="0" xfId="22" applyNumberFormat="1" applyFont="1" applyFill="1"/>
    <xf numFmtId="41" fontId="43" fillId="0" borderId="0" xfId="22" applyNumberFormat="1" applyFont="1"/>
    <xf numFmtId="183" fontId="43" fillId="0" borderId="0" xfId="22" applyFont="1"/>
    <xf numFmtId="183" fontId="35" fillId="8" borderId="0" xfId="22" applyFill="1"/>
    <xf numFmtId="41" fontId="63" fillId="0" borderId="0" xfId="22" applyNumberFormat="1" applyFont="1"/>
    <xf numFmtId="183" fontId="46" fillId="8" borderId="0" xfId="22" applyFont="1" applyFill="1"/>
    <xf numFmtId="42" fontId="63" fillId="0" borderId="0" xfId="22" applyNumberFormat="1" applyFont="1"/>
    <xf numFmtId="188" fontId="63" fillId="0" borderId="0" xfId="22" applyNumberFormat="1" applyFont="1"/>
    <xf numFmtId="42" fontId="63" fillId="0" borderId="0" xfId="22" applyNumberFormat="1" applyFont="1" applyFill="1"/>
    <xf numFmtId="42" fontId="35" fillId="0" borderId="0" xfId="22" applyNumberFormat="1"/>
    <xf numFmtId="42" fontId="63" fillId="0" borderId="1" xfId="22" applyNumberFormat="1" applyFont="1" applyBorder="1"/>
    <xf numFmtId="189" fontId="46" fillId="0" borderId="0" xfId="22" applyNumberFormat="1" applyFont="1"/>
    <xf numFmtId="183" fontId="46" fillId="3" borderId="0" xfId="22" applyFont="1" applyFill="1"/>
    <xf numFmtId="42" fontId="44" fillId="3" borderId="0" xfId="22" applyNumberFormat="1" applyFont="1" applyFill="1"/>
    <xf numFmtId="189" fontId="46" fillId="3" borderId="0" xfId="22" applyNumberFormat="1" applyFont="1" applyFill="1"/>
    <xf numFmtId="42" fontId="64" fillId="8" borderId="0" xfId="22" applyNumberFormat="1" applyFont="1" applyFill="1"/>
    <xf numFmtId="43" fontId="35" fillId="0" borderId="0" xfId="22" applyNumberFormat="1"/>
    <xf numFmtId="42" fontId="64" fillId="3" borderId="0" xfId="22" applyNumberFormat="1" applyFont="1" applyFill="1"/>
    <xf numFmtId="42" fontId="46" fillId="0" borderId="0" xfId="22" applyNumberFormat="1" applyFont="1"/>
    <xf numFmtId="42" fontId="65" fillId="0" borderId="0" xfId="23" applyNumberFormat="1" applyFont="1"/>
    <xf numFmtId="41" fontId="43" fillId="0" borderId="0" xfId="15" applyNumberFormat="1" applyFont="1"/>
    <xf numFmtId="42" fontId="43" fillId="0" borderId="0" xfId="22" applyNumberFormat="1" applyFont="1"/>
    <xf numFmtId="167" fontId="43" fillId="0" borderId="0" xfId="22" applyNumberFormat="1" applyFont="1"/>
    <xf numFmtId="182" fontId="35" fillId="0" borderId="0" xfId="23" applyNumberFormat="1" applyFont="1"/>
    <xf numFmtId="41" fontId="35" fillId="0" borderId="27" xfId="22" applyNumberFormat="1" applyBorder="1"/>
    <xf numFmtId="42" fontId="35" fillId="0" borderId="27" xfId="22" applyNumberFormat="1" applyBorder="1"/>
    <xf numFmtId="44" fontId="35" fillId="0" borderId="27" xfId="23" applyNumberFormat="1" applyFont="1" applyBorder="1"/>
    <xf numFmtId="41" fontId="35" fillId="0" borderId="0" xfId="15" applyNumberFormat="1" applyFont="1"/>
    <xf numFmtId="41" fontId="43" fillId="9" borderId="0" xfId="22" applyNumberFormat="1" applyFont="1" applyFill="1"/>
    <xf numFmtId="42" fontId="43" fillId="9" borderId="0" xfId="22" applyNumberFormat="1" applyFont="1" applyFill="1"/>
    <xf numFmtId="185" fontId="0" fillId="0" borderId="0" xfId="23" applyNumberFormat="1" applyFont="1"/>
    <xf numFmtId="187" fontId="46" fillId="0" borderId="0" xfId="22" applyNumberFormat="1" applyFont="1"/>
    <xf numFmtId="190" fontId="35" fillId="0" borderId="0" xfId="22" applyNumberFormat="1"/>
    <xf numFmtId="186" fontId="62" fillId="0" borderId="0" xfId="22" applyNumberFormat="1" applyFont="1"/>
    <xf numFmtId="183" fontId="44" fillId="8" borderId="0" xfId="22" applyFont="1" applyFill="1"/>
    <xf numFmtId="42" fontId="66" fillId="3" borderId="0" xfId="22" applyNumberFormat="1" applyFont="1" applyFill="1"/>
    <xf numFmtId="183" fontId="35" fillId="10" borderId="0" xfId="22" applyFill="1"/>
    <xf numFmtId="183" fontId="35" fillId="0" borderId="0" xfId="22" applyNumberFormat="1"/>
    <xf numFmtId="191" fontId="35" fillId="0" borderId="0" xfId="22" applyNumberFormat="1"/>
    <xf numFmtId="183" fontId="35" fillId="0" borderId="0" xfId="22" applyAlignment="1">
      <alignment horizontal="centerContinuous"/>
    </xf>
    <xf numFmtId="183" fontId="35" fillId="6" borderId="0" xfId="22" applyFont="1" applyFill="1"/>
    <xf numFmtId="44" fontId="0" fillId="0" borderId="0" xfId="2" applyNumberFormat="1" applyFont="1"/>
    <xf numFmtId="185" fontId="0" fillId="0" borderId="0" xfId="2" applyNumberFormat="1" applyFont="1"/>
    <xf numFmtId="9" fontId="0" fillId="3" borderId="0" xfId="7" applyFont="1" applyFill="1"/>
    <xf numFmtId="44" fontId="0" fillId="0" borderId="0" xfId="2" applyFont="1"/>
    <xf numFmtId="10" fontId="0" fillId="0" borderId="0" xfId="7" applyNumberFormat="1" applyFont="1"/>
    <xf numFmtId="41" fontId="0" fillId="0" borderId="0" xfId="7" applyNumberFormat="1" applyFont="1" applyFill="1"/>
    <xf numFmtId="183" fontId="35" fillId="7" borderId="0" xfId="22" applyFill="1"/>
    <xf numFmtId="183" fontId="45" fillId="7" borderId="0" xfId="22" applyFont="1" applyFill="1"/>
    <xf numFmtId="41" fontId="4" fillId="7" borderId="0" xfId="22" applyNumberFormat="1" applyFont="1" applyFill="1"/>
    <xf numFmtId="186" fontId="45" fillId="11" borderId="0" xfId="22" applyNumberFormat="1" applyFont="1" applyFill="1"/>
    <xf numFmtId="41" fontId="35" fillId="7" borderId="0" xfId="22" applyNumberFormat="1" applyFill="1"/>
    <xf numFmtId="41" fontId="4" fillId="11" borderId="0" xfId="22" applyNumberFormat="1" applyFont="1" applyFill="1"/>
    <xf numFmtId="41" fontId="35" fillId="11" borderId="0" xfId="22" applyNumberFormat="1" applyFill="1"/>
    <xf numFmtId="183" fontId="35" fillId="11" borderId="0" xfId="22" applyFill="1"/>
    <xf numFmtId="42" fontId="65" fillId="0" borderId="0" xfId="2" applyNumberFormat="1" applyFont="1"/>
    <xf numFmtId="41" fontId="43" fillId="0" borderId="0" xfId="1" applyNumberFormat="1" applyFont="1"/>
    <xf numFmtId="182" fontId="0" fillId="0" borderId="0" xfId="2" applyNumberFormat="1" applyFont="1"/>
    <xf numFmtId="44" fontId="0" fillId="0" borderId="27" xfId="2" applyNumberFormat="1" applyFont="1" applyBorder="1"/>
    <xf numFmtId="41" fontId="0" fillId="0" borderId="0" xfId="1" applyNumberFormat="1" applyFont="1"/>
    <xf numFmtId="183" fontId="35" fillId="0" borderId="0" xfId="22" applyFill="1" applyBorder="1" applyAlignment="1">
      <alignment horizontal="center"/>
    </xf>
    <xf numFmtId="183" fontId="35" fillId="0" borderId="49" xfId="22" applyBorder="1"/>
    <xf numFmtId="183" fontId="35" fillId="0" borderId="0" xfId="22" applyFont="1" applyBorder="1"/>
    <xf numFmtId="183" fontId="35" fillId="0" borderId="50" xfId="22" applyBorder="1"/>
    <xf numFmtId="183" fontId="35" fillId="0" borderId="0" xfId="22" applyBorder="1"/>
    <xf numFmtId="42" fontId="63" fillId="0" borderId="0" xfId="22" applyNumberFormat="1" applyFont="1" applyBorder="1"/>
    <xf numFmtId="183" fontId="35" fillId="0" borderId="51" xfId="22" applyBorder="1"/>
    <xf numFmtId="37" fontId="17" fillId="0" borderId="0" xfId="0" applyNumberFormat="1" applyFont="1" applyFill="1" applyAlignment="1"/>
    <xf numFmtId="42" fontId="17" fillId="0" borderId="0" xfId="0" applyNumberFormat="1" applyFont="1" applyFill="1" applyAlignment="1">
      <alignment horizontal="right"/>
    </xf>
    <xf numFmtId="42" fontId="6" fillId="0" borderId="0" xfId="0" applyNumberFormat="1" applyFont="1" applyFill="1" applyAlignment="1">
      <alignment horizontal="right"/>
    </xf>
    <xf numFmtId="37" fontId="6" fillId="0" borderId="0" xfId="0" applyNumberFormat="1" applyFont="1" applyFill="1" applyAlignment="1"/>
    <xf numFmtId="42" fontId="17" fillId="0" borderId="0" xfId="0" applyNumberFormat="1" applyFont="1" applyFill="1" applyAlignment="1"/>
    <xf numFmtId="42" fontId="6" fillId="0" borderId="0" xfId="0" applyNumberFormat="1" applyFont="1" applyFill="1" applyAlignment="1"/>
    <xf numFmtId="183" fontId="42" fillId="0" borderId="0" xfId="4" applyFont="1" applyFill="1" applyBorder="1" applyAlignment="1">
      <alignment horizontal="center"/>
    </xf>
    <xf numFmtId="41" fontId="35" fillId="12" borderId="0" xfId="22" applyNumberFormat="1" applyFill="1"/>
    <xf numFmtId="42" fontId="43" fillId="6" borderId="0" xfId="22" applyNumberFormat="1" applyFont="1" applyFill="1"/>
    <xf numFmtId="44" fontId="61" fillId="0" borderId="0" xfId="2" applyNumberFormat="1" applyFont="1" applyFill="1" applyAlignment="1">
      <alignment horizontal="center"/>
    </xf>
    <xf numFmtId="165" fontId="61" fillId="0" borderId="0" xfId="0" applyNumberFormat="1" applyFont="1" applyAlignment="1"/>
    <xf numFmtId="3" fontId="17" fillId="12" borderId="0" xfId="0" applyNumberFormat="1" applyFont="1" applyFill="1" applyAlignment="1"/>
    <xf numFmtId="5" fontId="0" fillId="12" borderId="0" xfId="0" applyNumberFormat="1" applyFont="1" applyFill="1" applyAlignment="1"/>
    <xf numFmtId="5" fontId="6" fillId="12" borderId="0" xfId="0" applyNumberFormat="1" applyFont="1" applyFill="1" applyAlignment="1"/>
    <xf numFmtId="183" fontId="35" fillId="12" borderId="0" xfId="4" applyFont="1" applyFill="1"/>
    <xf numFmtId="183" fontId="35" fillId="12" borderId="0" xfId="4" applyFont="1" applyFill="1" applyAlignment="1">
      <alignment horizontal="left"/>
    </xf>
    <xf numFmtId="183" fontId="35" fillId="0" borderId="0" xfId="4" quotePrefix="1" applyFont="1" applyFill="1" applyBorder="1" applyAlignment="1">
      <alignment horizontal="left"/>
    </xf>
    <xf numFmtId="183" fontId="35" fillId="0" borderId="0" xfId="4" applyFont="1" applyFill="1" applyBorder="1" applyAlignment="1">
      <alignment horizontal="left"/>
    </xf>
    <xf numFmtId="183" fontId="35" fillId="0" borderId="0" xfId="4" applyFont="1" applyFill="1" applyBorder="1"/>
    <xf numFmtId="183" fontId="35" fillId="0" borderId="0" xfId="4" quotePrefix="1" applyFont="1" applyFill="1" applyBorder="1" applyAlignment="1">
      <alignment horizontal="center"/>
    </xf>
    <xf numFmtId="183" fontId="42" fillId="0" borderId="0" xfId="4" applyFont="1" applyFill="1" applyBorder="1" applyAlignment="1">
      <alignment horizontal="left"/>
    </xf>
    <xf numFmtId="183" fontId="35" fillId="0" borderId="0" xfId="4" applyNumberFormat="1" applyFont="1" applyFill="1" applyBorder="1" applyAlignment="1">
      <alignment horizontal="center"/>
    </xf>
    <xf numFmtId="5" fontId="35" fillId="0" borderId="0" xfId="4" applyNumberFormat="1" applyFont="1" applyFill="1" applyBorder="1"/>
    <xf numFmtId="5" fontId="43" fillId="0" borderId="0" xfId="4" applyNumberFormat="1" applyFont="1" applyFill="1" applyBorder="1"/>
    <xf numFmtId="177" fontId="35" fillId="0" borderId="0" xfId="4" applyNumberFormat="1" applyFont="1" applyFill="1" applyBorder="1"/>
    <xf numFmtId="5" fontId="35" fillId="0" borderId="0" xfId="1" applyNumberFormat="1" applyFont="1" applyFill="1" applyBorder="1"/>
    <xf numFmtId="177" fontId="43" fillId="0" borderId="0" xfId="4" applyNumberFormat="1" applyFont="1" applyFill="1" applyBorder="1"/>
    <xf numFmtId="183" fontId="35" fillId="0" borderId="0" xfId="1" applyNumberFormat="1" applyFont="1" applyFill="1" applyBorder="1"/>
    <xf numFmtId="10" fontId="35" fillId="0" borderId="0" xfId="4" applyNumberFormat="1" applyFont="1" applyFill="1" applyBorder="1"/>
    <xf numFmtId="183" fontId="35" fillId="0" borderId="0" xfId="4" applyFont="1" applyFill="1" applyBorder="1" applyAlignment="1">
      <alignment horizontal="right"/>
    </xf>
    <xf numFmtId="183" fontId="43" fillId="0" borderId="0" xfId="4" applyNumberFormat="1" applyFont="1" applyFill="1" applyBorder="1" applyAlignment="1">
      <alignment horizontal="center"/>
    </xf>
    <xf numFmtId="183" fontId="35" fillId="0" borderId="0" xfId="4" applyFont="1" applyFill="1" applyBorder="1" applyAlignment="1"/>
    <xf numFmtId="183" fontId="35" fillId="0" borderId="0" xfId="4" quotePrefix="1" applyFont="1" applyFill="1" applyBorder="1" applyAlignment="1"/>
    <xf numFmtId="183" fontId="35" fillId="0" borderId="0" xfId="4" applyNumberFormat="1" applyFont="1" applyFill="1" applyBorder="1" applyAlignment="1">
      <alignment horizontal="right"/>
    </xf>
    <xf numFmtId="5" fontId="35" fillId="0" borderId="0" xfId="4" applyNumberFormat="1" applyFont="1" applyFill="1" applyBorder="1" applyAlignment="1">
      <alignment horizontal="center"/>
    </xf>
    <xf numFmtId="5" fontId="42" fillId="0" borderId="0" xfId="4" applyNumberFormat="1" applyFont="1" applyFill="1" applyBorder="1" applyAlignment="1">
      <alignment horizontal="center"/>
    </xf>
    <xf numFmtId="5" fontId="42" fillId="0" borderId="0" xfId="4" quotePrefix="1" applyNumberFormat="1" applyFont="1" applyFill="1" applyBorder="1" applyAlignment="1">
      <alignment horizontal="center"/>
    </xf>
    <xf numFmtId="5" fontId="35" fillId="0" borderId="0" xfId="4" quotePrefix="1" applyNumberFormat="1" applyFont="1" applyFill="1" applyBorder="1" applyAlignment="1">
      <alignment horizontal="left"/>
    </xf>
    <xf numFmtId="5" fontId="35" fillId="0" borderId="0" xfId="4" applyNumberFormat="1" applyFont="1" applyFill="1" applyBorder="1" applyAlignment="1"/>
    <xf numFmtId="183" fontId="35" fillId="0" borderId="0" xfId="4" quotePrefix="1" applyFont="1" applyFill="1" applyBorder="1" applyAlignment="1">
      <alignment horizontal="right"/>
    </xf>
    <xf numFmtId="183" fontId="42" fillId="0" borderId="0" xfId="4" applyFont="1" applyFill="1" applyBorder="1"/>
    <xf numFmtId="37" fontId="35" fillId="0" borderId="0" xfId="1" applyNumberFormat="1" applyFont="1" applyFill="1" applyBorder="1"/>
    <xf numFmtId="37" fontId="45" fillId="0" borderId="0" xfId="4" applyNumberFormat="1" applyFont="1" applyFill="1" applyBorder="1" applyAlignment="1">
      <alignment horizontal="right"/>
    </xf>
    <xf numFmtId="37" fontId="42" fillId="0" borderId="0" xfId="4" applyNumberFormat="1" applyFont="1" applyFill="1" applyBorder="1"/>
    <xf numFmtId="37" fontId="42" fillId="6" borderId="0" xfId="4" applyNumberFormat="1" applyFont="1" applyFill="1" applyBorder="1"/>
    <xf numFmtId="170" fontId="35" fillId="0" borderId="0" xfId="7" applyNumberFormat="1" applyFont="1" applyFill="1" applyBorder="1"/>
    <xf numFmtId="183" fontId="46" fillId="0" borderId="0" xfId="4" quotePrefix="1" applyFont="1" applyFill="1" applyBorder="1" applyAlignment="1">
      <alignment horizontal="left"/>
    </xf>
    <xf numFmtId="172" fontId="35" fillId="0" borderId="0" xfId="4" applyNumberFormat="1" applyFont="1" applyFill="1" applyBorder="1"/>
    <xf numFmtId="183" fontId="46" fillId="0" borderId="0" xfId="4" applyFont="1" applyFill="1" applyBorder="1" applyAlignment="1">
      <alignment horizontal="left"/>
    </xf>
    <xf numFmtId="183" fontId="46" fillId="0" borderId="0" xfId="4" applyFont="1" applyFill="1" applyBorder="1"/>
    <xf numFmtId="172" fontId="43" fillId="5" borderId="0" xfId="4" applyNumberFormat="1" applyFont="1" applyFill="1" applyBorder="1"/>
    <xf numFmtId="7" fontId="35" fillId="0" borderId="0" xfId="4" applyNumberFormat="1" applyFont="1" applyFill="1" applyBorder="1"/>
    <xf numFmtId="166" fontId="35" fillId="0" borderId="0" xfId="4" applyNumberFormat="1" applyFont="1" applyFill="1" applyBorder="1" applyAlignment="1">
      <alignment horizontal="left"/>
    </xf>
    <xf numFmtId="166" fontId="35" fillId="0" borderId="0" xfId="4" applyNumberFormat="1" applyFont="1" applyFill="1" applyBorder="1"/>
    <xf numFmtId="183" fontId="4" fillId="0" borderId="47" xfId="4" quotePrefix="1" applyFont="1" applyFill="1" applyBorder="1" applyAlignment="1">
      <alignment horizontal="left"/>
    </xf>
    <xf numFmtId="3" fontId="56" fillId="0" borderId="0" xfId="0" applyNumberFormat="1" applyFont="1" applyBorder="1" applyAlignment="1"/>
    <xf numFmtId="3" fontId="17" fillId="0" borderId="0" xfId="0" quotePrefix="1" applyNumberFormat="1" applyFont="1" applyAlignment="1">
      <alignment horizontal="center"/>
    </xf>
    <xf numFmtId="3" fontId="17" fillId="0" borderId="49" xfId="0" applyNumberFormat="1" applyFont="1" applyBorder="1" applyAlignment="1">
      <alignment horizontal="center"/>
    </xf>
    <xf numFmtId="3" fontId="0" fillId="0" borderId="49" xfId="0" applyNumberFormat="1" applyBorder="1" applyAlignment="1">
      <alignment horizontal="center"/>
    </xf>
    <xf numFmtId="165" fontId="0" fillId="0" borderId="0" xfId="0" applyNumberFormat="1" applyFont="1" applyFill="1" applyBorder="1" applyAlignment="1"/>
    <xf numFmtId="3" fontId="0" fillId="0" borderId="0" xfId="0" applyNumberFormat="1" applyBorder="1" applyAlignment="1">
      <alignment horizontal="center"/>
    </xf>
    <xf numFmtId="3" fontId="0" fillId="0" borderId="49" xfId="0" applyNumberFormat="1" applyBorder="1" applyAlignment="1">
      <alignment horizontal="right"/>
    </xf>
    <xf numFmtId="3" fontId="17" fillId="0" borderId="49" xfId="0" applyNumberFormat="1" applyFont="1" applyBorder="1" applyAlignment="1">
      <alignment horizontal="left"/>
    </xf>
    <xf numFmtId="3" fontId="0" fillId="0" borderId="0" xfId="0" applyNumberFormat="1" applyBorder="1" applyAlignment="1">
      <alignment horizontal="right"/>
    </xf>
    <xf numFmtId="3" fontId="17" fillId="0" borderId="0" xfId="18" applyNumberFormat="1" applyFont="1" applyBorder="1" applyAlignment="1"/>
    <xf numFmtId="3" fontId="17" fillId="0" borderId="0" xfId="18" applyNumberFormat="1" applyFont="1" applyBorder="1" applyAlignment="1"/>
    <xf numFmtId="3" fontId="17" fillId="0" borderId="0" xfId="18" applyNumberFormat="1" applyFont="1" applyAlignment="1"/>
    <xf numFmtId="5" fontId="0" fillId="12" borderId="0" xfId="0" applyNumberFormat="1" applyFont="1" applyFill="1" applyAlignment="1">
      <alignment horizontal="center"/>
    </xf>
    <xf numFmtId="182" fontId="0" fillId="12" borderId="19" xfId="2" applyNumberFormat="1" applyFont="1" applyFill="1" applyBorder="1" applyAlignment="1"/>
    <xf numFmtId="165" fontId="0" fillId="12" borderId="0" xfId="0" applyNumberFormat="1" applyFont="1" applyFill="1" applyBorder="1" applyAlignment="1"/>
    <xf numFmtId="170" fontId="31" fillId="12" borderId="0" xfId="0" applyNumberFormat="1" applyFont="1" applyFill="1" applyAlignment="1"/>
    <xf numFmtId="10" fontId="8" fillId="3" borderId="0" xfId="0" applyNumberFormat="1" applyFont="1" applyFill="1" applyAlignment="1" applyProtection="1">
      <protection locked="0"/>
    </xf>
    <xf numFmtId="3" fontId="0" fillId="7" borderId="50" xfId="0" applyNumberFormat="1" applyFont="1" applyFill="1" applyBorder="1" applyAlignment="1"/>
    <xf numFmtId="3" fontId="0" fillId="7" borderId="64" xfId="0" applyNumberFormat="1" applyFont="1" applyFill="1" applyBorder="1" applyAlignment="1"/>
    <xf numFmtId="7" fontId="8" fillId="13" borderId="0" xfId="0" applyNumberFormat="1" applyFont="1" applyFill="1" applyAlignment="1"/>
    <xf numFmtId="172" fontId="8" fillId="13" borderId="0" xfId="0" applyNumberFormat="1" applyFont="1" applyFill="1" applyAlignment="1"/>
    <xf numFmtId="175" fontId="8" fillId="13" borderId="0" xfId="0" applyNumberFormat="1" applyFont="1" applyFill="1" applyAlignment="1"/>
    <xf numFmtId="172" fontId="8" fillId="13" borderId="0" xfId="0" applyNumberFormat="1" applyFont="1" applyFill="1" applyAlignment="1" applyProtection="1">
      <protection locked="0"/>
    </xf>
    <xf numFmtId="172" fontId="20" fillId="13" borderId="0" xfId="0" applyNumberFormat="1" applyFont="1" applyFill="1" applyAlignment="1" applyProtection="1">
      <protection locked="0"/>
    </xf>
    <xf numFmtId="5" fontId="8" fillId="13" borderId="0" xfId="0" applyNumberFormat="1" applyFont="1" applyFill="1" applyAlignment="1"/>
    <xf numFmtId="5" fontId="11" fillId="13" borderId="0" xfId="0" applyNumberFormat="1" applyFont="1" applyFill="1" applyAlignment="1"/>
    <xf numFmtId="169" fontId="0" fillId="13" borderId="0" xfId="0" applyNumberFormat="1" applyFont="1" applyFill="1" applyAlignment="1"/>
    <xf numFmtId="169" fontId="17" fillId="0" borderId="0" xfId="0" applyNumberFormat="1" applyFont="1" applyAlignment="1"/>
    <xf numFmtId="192" fontId="63" fillId="0" borderId="0" xfId="1" applyNumberFormat="1" applyFont="1" applyBorder="1"/>
    <xf numFmtId="41" fontId="55" fillId="0" borderId="0" xfId="1" applyNumberFormat="1" applyFont="1"/>
    <xf numFmtId="42" fontId="35" fillId="0" borderId="0" xfId="22" applyNumberFormat="1" applyFont="1"/>
    <xf numFmtId="44" fontId="46" fillId="0" borderId="0" xfId="22" applyNumberFormat="1" applyFont="1" applyFill="1"/>
    <xf numFmtId="0" fontId="0" fillId="0" borderId="0" xfId="0" applyNumberFormat="1" applyFont="1" applyAlignment="1">
      <alignment horizontal="center"/>
    </xf>
    <xf numFmtId="10" fontId="8" fillId="13" borderId="0" xfId="0" applyNumberFormat="1" applyFont="1" applyFill="1" applyAlignment="1" applyProtection="1">
      <protection locked="0"/>
    </xf>
    <xf numFmtId="1" fontId="35" fillId="3" borderId="0" xfId="22" applyNumberFormat="1" applyFill="1" applyAlignment="1">
      <alignment horizontal="center"/>
    </xf>
    <xf numFmtId="1" fontId="51" fillId="0" borderId="0" xfId="22" applyNumberFormat="1" applyFont="1" applyAlignment="1">
      <alignment horizontal="center"/>
    </xf>
    <xf numFmtId="1" fontId="35" fillId="0" borderId="0" xfId="22" applyNumberFormat="1" applyAlignment="1">
      <alignment horizontal="center"/>
    </xf>
    <xf numFmtId="44" fontId="14" fillId="0" borderId="0" xfId="2" applyNumberFormat="1" applyFont="1" applyFill="1" applyAlignment="1">
      <alignment horizontal="center"/>
    </xf>
    <xf numFmtId="0" fontId="35" fillId="0" borderId="0" xfId="22" applyNumberFormat="1" applyFont="1"/>
    <xf numFmtId="183" fontId="35" fillId="0" borderId="0" xfId="22" applyFill="1" applyBorder="1"/>
    <xf numFmtId="183" fontId="35" fillId="0" borderId="53" xfId="22" applyBorder="1"/>
    <xf numFmtId="183" fontId="35" fillId="0" borderId="47" xfId="22" applyFont="1" applyBorder="1"/>
    <xf numFmtId="183" fontId="35" fillId="12" borderId="47" xfId="22" applyFont="1" applyFill="1" applyBorder="1"/>
    <xf numFmtId="183" fontId="35" fillId="0" borderId="48" xfId="22" applyBorder="1"/>
    <xf numFmtId="41" fontId="35" fillId="0" borderId="0" xfId="22" applyNumberFormat="1" applyBorder="1"/>
    <xf numFmtId="183" fontId="35" fillId="0" borderId="1" xfId="22" applyBorder="1" applyAlignment="1">
      <alignment horizontal="center"/>
    </xf>
    <xf numFmtId="183" fontId="35" fillId="0" borderId="52" xfId="22" applyBorder="1" applyAlignment="1">
      <alignment horizontal="center"/>
    </xf>
    <xf numFmtId="41" fontId="35" fillId="6" borderId="0" xfId="22" applyNumberFormat="1" applyFont="1" applyFill="1"/>
    <xf numFmtId="172" fontId="69" fillId="3" borderId="0" xfId="0" applyNumberFormat="1" applyFont="1" applyFill="1" applyAlignment="1"/>
    <xf numFmtId="37" fontId="69" fillId="6" borderId="0" xfId="0" applyNumberFormat="1" applyFont="1" applyFill="1" applyAlignment="1"/>
    <xf numFmtId="0" fontId="45" fillId="3" borderId="0" xfId="0" applyNumberFormat="1" applyFont="1" applyFill="1" applyProtection="1"/>
    <xf numFmtId="0" fontId="4" fillId="3" borderId="0" xfId="0" applyNumberFormat="1" applyFont="1" applyFill="1" applyAlignment="1" applyProtection="1">
      <alignment horizontal="right"/>
    </xf>
    <xf numFmtId="0" fontId="35" fillId="3" borderId="0" xfId="0" applyNumberFormat="1" applyFont="1" applyFill="1" applyProtection="1"/>
    <xf numFmtId="0" fontId="35" fillId="0" borderId="0" xfId="0" applyNumberFormat="1" applyFont="1" applyFill="1" applyProtection="1"/>
    <xf numFmtId="0" fontId="35" fillId="0" borderId="0" xfId="0" applyNumberFormat="1" applyFont="1" applyFill="1" applyAlignment="1" applyProtection="1">
      <alignment horizontal="right"/>
    </xf>
    <xf numFmtId="0" fontId="35" fillId="0" borderId="0" xfId="0" applyNumberFormat="1" applyFont="1" applyFill="1"/>
    <xf numFmtId="0" fontId="4" fillId="0" borderId="0" xfId="0" applyNumberFormat="1" applyFont="1" applyFill="1" applyAlignment="1" applyProtection="1">
      <alignment horizontal="right"/>
    </xf>
    <xf numFmtId="0" fontId="35" fillId="0" borderId="0" xfId="0" applyNumberFormat="1" applyFont="1" applyFill="1" applyAlignment="1" applyProtection="1">
      <alignment horizontal="center"/>
    </xf>
    <xf numFmtId="0" fontId="35" fillId="0" borderId="1" xfId="0" applyNumberFormat="1" applyFont="1" applyFill="1" applyBorder="1" applyAlignment="1" applyProtection="1">
      <alignment horizontal="center"/>
    </xf>
    <xf numFmtId="0" fontId="35" fillId="0" borderId="1" xfId="0" quotePrefix="1" applyNumberFormat="1" applyFont="1" applyFill="1" applyBorder="1" applyAlignment="1" applyProtection="1">
      <alignment horizontal="center"/>
    </xf>
    <xf numFmtId="0" fontId="35" fillId="0" borderId="0" xfId="0" quotePrefix="1" applyNumberFormat="1" applyFont="1" applyFill="1" applyAlignment="1" applyProtection="1">
      <alignment horizontal="left"/>
    </xf>
    <xf numFmtId="37" fontId="44" fillId="0" borderId="0" xfId="0" applyNumberFormat="1" applyFont="1" applyFill="1" applyProtection="1"/>
    <xf numFmtId="172" fontId="35" fillId="0" borderId="0" xfId="0" applyNumberFormat="1" applyFont="1" applyFill="1" applyProtection="1"/>
    <xf numFmtId="5" fontId="35" fillId="0" borderId="0" xfId="0" applyNumberFormat="1" applyFont="1" applyFill="1" applyProtection="1"/>
    <xf numFmtId="10" fontId="35" fillId="0" borderId="0" xfId="0" applyNumberFormat="1" applyFont="1" applyFill="1" applyProtection="1"/>
    <xf numFmtId="37" fontId="35" fillId="0" borderId="0" xfId="0" applyNumberFormat="1" applyFont="1" applyFill="1" applyProtection="1"/>
    <xf numFmtId="0" fontId="35" fillId="0" borderId="0" xfId="0" applyNumberFormat="1" applyFont="1" applyFill="1" applyAlignment="1" applyProtection="1"/>
    <xf numFmtId="37" fontId="70" fillId="0" borderId="26" xfId="0" applyNumberFormat="1" applyFont="1" applyFill="1" applyBorder="1" applyProtection="1"/>
    <xf numFmtId="0" fontId="46" fillId="0" borderId="0" xfId="0" applyNumberFormat="1" applyFont="1" applyFill="1" applyProtection="1"/>
    <xf numFmtId="37" fontId="70" fillId="0" borderId="0" xfId="0" applyNumberFormat="1" applyFont="1" applyFill="1" applyProtection="1"/>
    <xf numFmtId="0" fontId="35" fillId="14" borderId="0" xfId="0" applyNumberFormat="1" applyFont="1" applyFill="1" applyAlignment="1" applyProtection="1"/>
    <xf numFmtId="37" fontId="35" fillId="14" borderId="0" xfId="0" applyNumberFormat="1" applyFont="1" applyFill="1" applyProtection="1"/>
    <xf numFmtId="0" fontId="35" fillId="14" borderId="0" xfId="0" applyNumberFormat="1" applyFont="1" applyFill="1" applyProtection="1"/>
    <xf numFmtId="5" fontId="35" fillId="14" borderId="0" xfId="0" applyNumberFormat="1" applyFont="1" applyFill="1" applyProtection="1"/>
    <xf numFmtId="172" fontId="35" fillId="0" borderId="0" xfId="0" applyNumberFormat="1" applyFont="1" applyFill="1" applyAlignment="1" applyProtection="1">
      <alignment horizontal="right"/>
    </xf>
    <xf numFmtId="37" fontId="35" fillId="0" borderId="0" xfId="0" applyNumberFormat="1" applyFont="1" applyFill="1" applyAlignment="1" applyProtection="1">
      <alignment horizontal="fill"/>
    </xf>
    <xf numFmtId="0" fontId="35" fillId="0" borderId="0" xfId="0" applyNumberFormat="1" applyFont="1" applyFill="1" applyAlignment="1" applyProtection="1">
      <alignment horizontal="fill"/>
    </xf>
    <xf numFmtId="193" fontId="35" fillId="0" borderId="0" xfId="0" applyNumberFormat="1" applyFont="1" applyFill="1" applyAlignment="1" applyProtection="1">
      <alignment horizontal="fill"/>
    </xf>
    <xf numFmtId="0" fontId="35" fillId="0" borderId="47" xfId="0" applyNumberFormat="1" applyFont="1" applyFill="1" applyBorder="1" applyAlignment="1" applyProtection="1">
      <alignment horizontal="center"/>
    </xf>
    <xf numFmtId="0" fontId="35" fillId="0" borderId="0" xfId="0" applyNumberFormat="1" applyFont="1" applyFill="1" applyBorder="1" applyAlignment="1" applyProtection="1">
      <alignment horizontal="center"/>
    </xf>
    <xf numFmtId="37" fontId="4" fillId="0" borderId="0" xfId="0" applyNumberFormat="1" applyFont="1" applyFill="1" applyProtection="1"/>
    <xf numFmtId="5" fontId="4" fillId="0" borderId="0" xfId="0" applyNumberFormat="1" applyFont="1" applyFill="1"/>
    <xf numFmtId="0" fontId="35" fillId="0" borderId="0" xfId="0" applyNumberFormat="1" applyFont="1" applyFill="1" applyAlignment="1">
      <alignment horizontal="center"/>
    </xf>
    <xf numFmtId="5" fontId="70" fillId="0" borderId="26" xfId="0" applyNumberFormat="1" applyFont="1" applyFill="1" applyBorder="1" applyProtection="1"/>
    <xf numFmtId="10" fontId="70" fillId="0" borderId="0" xfId="0" applyNumberFormat="1" applyFont="1" applyFill="1" applyProtection="1"/>
    <xf numFmtId="4" fontId="0" fillId="0" borderId="0" xfId="0" applyNumberFormat="1" applyFont="1" applyAlignment="1"/>
    <xf numFmtId="0" fontId="8" fillId="0" borderId="0" xfId="18" applyNumberFormat="1" applyFont="1"/>
    <xf numFmtId="3" fontId="0" fillId="13" borderId="0" xfId="0" applyNumberFormat="1" applyFont="1" applyFill="1" applyAlignment="1"/>
    <xf numFmtId="3" fontId="0" fillId="13" borderId="27" xfId="0" applyNumberFormat="1" applyFont="1" applyFill="1" applyBorder="1" applyAlignment="1"/>
    <xf numFmtId="165" fontId="6" fillId="0" borderId="0" xfId="0" applyNumberFormat="1" applyFont="1" applyAlignment="1" applyProtection="1">
      <protection locked="0"/>
    </xf>
    <xf numFmtId="4" fontId="17" fillId="0" borderId="0" xfId="0" applyNumberFormat="1" applyFont="1" applyAlignment="1" applyProtection="1">
      <protection locked="0"/>
    </xf>
    <xf numFmtId="44" fontId="17" fillId="0" borderId="61" xfId="2" applyFont="1" applyBorder="1" applyAlignment="1" applyProtection="1">
      <protection locked="0"/>
    </xf>
    <xf numFmtId="3" fontId="6" fillId="0" borderId="0" xfId="0" applyNumberFormat="1" applyFont="1" applyFill="1" applyAlignment="1" applyProtection="1">
      <protection locked="0"/>
    </xf>
    <xf numFmtId="182" fontId="17" fillId="0" borderId="0" xfId="2" applyNumberFormat="1" applyFont="1" applyAlignment="1" applyProtection="1">
      <protection locked="0"/>
    </xf>
    <xf numFmtId="181" fontId="17" fillId="0" borderId="0" xfId="2" applyNumberFormat="1" applyFont="1" applyAlignment="1" applyProtection="1">
      <protection locked="0"/>
    </xf>
    <xf numFmtId="181" fontId="59" fillId="0" borderId="0" xfId="2" applyNumberFormat="1" applyFont="1" applyAlignment="1" applyProtection="1">
      <protection locked="0"/>
    </xf>
    <xf numFmtId="3" fontId="17" fillId="6" borderId="0" xfId="0" applyNumberFormat="1" applyFont="1" applyFill="1" applyAlignment="1" applyProtection="1">
      <protection locked="0"/>
    </xf>
    <xf numFmtId="181" fontId="17" fillId="6" borderId="0" xfId="2" applyNumberFormat="1" applyFont="1" applyFill="1" applyAlignment="1" applyProtection="1">
      <protection locked="0"/>
    </xf>
    <xf numFmtId="181" fontId="71" fillId="0" borderId="0" xfId="2" applyNumberFormat="1" applyFont="1" applyAlignment="1" applyProtection="1">
      <protection locked="0"/>
    </xf>
    <xf numFmtId="181" fontId="72" fillId="0" borderId="0" xfId="2" applyNumberFormat="1" applyFont="1" applyAlignment="1" applyProtection="1">
      <protection locked="0"/>
    </xf>
    <xf numFmtId="181" fontId="72" fillId="6" borderId="0" xfId="2" applyNumberFormat="1" applyFont="1" applyFill="1" applyAlignment="1" applyProtection="1">
      <protection locked="0"/>
    </xf>
    <xf numFmtId="181" fontId="14" fillId="0" borderId="0" xfId="2" applyNumberFormat="1" applyFont="1" applyAlignment="1" applyProtection="1">
      <protection locked="0"/>
    </xf>
    <xf numFmtId="181" fontId="72" fillId="0" borderId="0" xfId="2" applyNumberFormat="1" applyFont="1" applyBorder="1" applyAlignment="1" applyProtection="1">
      <protection locked="0"/>
    </xf>
    <xf numFmtId="37" fontId="0" fillId="0" borderId="61" xfId="0" applyNumberFormat="1" applyFont="1" applyBorder="1" applyAlignment="1"/>
    <xf numFmtId="41" fontId="35" fillId="0" borderId="0" xfId="4" applyNumberFormat="1" applyFont="1" applyFill="1"/>
    <xf numFmtId="183" fontId="35" fillId="6" borderId="49" xfId="22" applyFill="1" applyBorder="1"/>
    <xf numFmtId="172" fontId="73" fillId="3" borderId="0" xfId="0" applyNumberFormat="1" applyFont="1" applyFill="1" applyAlignment="1"/>
    <xf numFmtId="177" fontId="73" fillId="3" borderId="0" xfId="0" applyNumberFormat="1" applyFont="1" applyFill="1" applyAlignment="1"/>
    <xf numFmtId="3" fontId="73" fillId="0" borderId="0" xfId="0" applyNumberFormat="1" applyFont="1" applyAlignment="1"/>
    <xf numFmtId="3" fontId="73" fillId="0" borderId="0" xfId="0" applyNumberFormat="1" applyFont="1" applyAlignment="1">
      <alignment horizontal="left"/>
    </xf>
    <xf numFmtId="172" fontId="12" fillId="6" borderId="0" xfId="0" applyNumberFormat="1" applyFont="1" applyFill="1" applyAlignment="1">
      <alignment horizontal="right"/>
    </xf>
    <xf numFmtId="5" fontId="74" fillId="3" borderId="0" xfId="0" applyNumberFormat="1" applyFont="1" applyFill="1" applyAlignment="1"/>
    <xf numFmtId="164" fontId="8" fillId="3" borderId="0" xfId="7" applyNumberFormat="1" applyFont="1" applyFill="1" applyAlignment="1" applyProtection="1">
      <protection locked="0"/>
    </xf>
    <xf numFmtId="44" fontId="17" fillId="0" borderId="34" xfId="2" applyFont="1" applyBorder="1" applyAlignment="1">
      <alignment horizontal="center"/>
    </xf>
    <xf numFmtId="44" fontId="17" fillId="0" borderId="0" xfId="2" applyFont="1" applyBorder="1" applyAlignment="1">
      <alignment horizontal="center"/>
    </xf>
    <xf numFmtId="3" fontId="0" fillId="15" borderId="0" xfId="0" applyNumberFormat="1" applyFont="1" applyFill="1" applyAlignment="1"/>
    <xf numFmtId="183" fontId="75" fillId="0" borderId="1" xfId="4" applyNumberFormat="1" applyFont="1" applyFill="1" applyBorder="1" applyAlignment="1">
      <alignment horizontal="center"/>
    </xf>
    <xf numFmtId="192" fontId="35" fillId="0" borderId="0" xfId="1" applyNumberFormat="1" applyFont="1" applyFill="1"/>
    <xf numFmtId="44" fontId="35" fillId="0" borderId="0" xfId="2"/>
    <xf numFmtId="44" fontId="35" fillId="0" borderId="0" xfId="2" applyFill="1"/>
    <xf numFmtId="44" fontId="46" fillId="0" borderId="0" xfId="2" applyFont="1" applyFill="1"/>
    <xf numFmtId="44" fontId="46" fillId="6" borderId="0" xfId="2" applyFont="1" applyFill="1"/>
    <xf numFmtId="17" fontId="35" fillId="0" borderId="0" xfId="22" applyNumberFormat="1" applyFont="1"/>
    <xf numFmtId="44" fontId="35" fillId="6" borderId="0" xfId="2" applyFont="1" applyFill="1"/>
    <xf numFmtId="44" fontId="35" fillId="0" borderId="0" xfId="2" applyFont="1" applyFill="1"/>
    <xf numFmtId="44" fontId="35" fillId="0" borderId="0" xfId="2" applyFont="1"/>
    <xf numFmtId="44" fontId="35" fillId="0" borderId="0" xfId="22" applyNumberFormat="1" applyFont="1"/>
    <xf numFmtId="17" fontId="35" fillId="0" borderId="0" xfId="2" applyNumberFormat="1" applyFont="1"/>
    <xf numFmtId="194" fontId="35" fillId="0" borderId="0" xfId="22" applyNumberFormat="1"/>
    <xf numFmtId="44" fontId="70" fillId="0" borderId="0" xfId="2" applyFont="1" applyFill="1"/>
    <xf numFmtId="183" fontId="75" fillId="6" borderId="1" xfId="4" applyNumberFormat="1" applyFont="1" applyFill="1" applyBorder="1" applyAlignment="1">
      <alignment horizontal="center"/>
    </xf>
    <xf numFmtId="181" fontId="35" fillId="0" borderId="0" xfId="22" applyNumberFormat="1" applyAlignment="1">
      <alignment horizontal="left"/>
    </xf>
    <xf numFmtId="183" fontId="35" fillId="0" borderId="0" xfId="22" applyAlignment="1">
      <alignment horizontal="left"/>
    </xf>
    <xf numFmtId="5" fontId="11" fillId="0" borderId="0" xfId="0" applyNumberFormat="1" applyFont="1" applyFill="1" applyAlignment="1"/>
    <xf numFmtId="43" fontId="0" fillId="0" borderId="0" xfId="1" applyFont="1" applyAlignment="1"/>
    <xf numFmtId="172" fontId="0" fillId="6" borderId="0" xfId="0" applyNumberFormat="1" applyFont="1" applyFill="1" applyAlignment="1"/>
    <xf numFmtId="37" fontId="0" fillId="6" borderId="0" xfId="0" applyNumberFormat="1" applyFont="1" applyFill="1" applyAlignment="1"/>
    <xf numFmtId="3" fontId="0" fillId="6" borderId="0" xfId="0" applyNumberFormat="1" applyFont="1" applyFill="1" applyAlignment="1"/>
    <xf numFmtId="3" fontId="0" fillId="16" borderId="0" xfId="0" applyNumberFormat="1" applyFont="1" applyFill="1" applyAlignment="1"/>
    <xf numFmtId="182" fontId="0" fillId="0" borderId="0" xfId="0" applyNumberFormat="1" applyFont="1" applyAlignment="1" applyProtection="1">
      <protection locked="0"/>
    </xf>
    <xf numFmtId="3" fontId="17" fillId="0" borderId="0" xfId="0" applyFont="1" applyAlignment="1"/>
    <xf numFmtId="182" fontId="13" fillId="0" borderId="0" xfId="0" applyNumberFormat="1" applyFont="1" applyAlignment="1"/>
    <xf numFmtId="195" fontId="8" fillId="3" borderId="0" xfId="0" applyNumberFormat="1" applyFont="1" applyFill="1" applyAlignment="1" applyProtection="1">
      <protection locked="0"/>
    </xf>
    <xf numFmtId="37" fontId="0" fillId="0" borderId="0" xfId="0" applyNumberFormat="1" applyFont="1" applyFill="1" applyAlignment="1"/>
    <xf numFmtId="5" fontId="17" fillId="0" borderId="0" xfId="0" applyNumberFormat="1" applyFont="1" applyAlignment="1"/>
    <xf numFmtId="192" fontId="0" fillId="0" borderId="0" xfId="1" applyNumberFormat="1" applyFont="1" applyAlignment="1"/>
    <xf numFmtId="175" fontId="17" fillId="0" borderId="21" xfId="18" applyNumberFormat="1" applyFont="1" applyBorder="1" applyAlignment="1">
      <alignment horizontal="center"/>
    </xf>
    <xf numFmtId="10" fontId="17" fillId="0" borderId="0" xfId="7" applyNumberFormat="1" applyFont="1" applyAlignment="1" applyProtection="1">
      <protection locked="0"/>
    </xf>
    <xf numFmtId="4" fontId="17" fillId="6" borderId="0" xfId="0" applyNumberFormat="1" applyFont="1" applyFill="1" applyBorder="1" applyAlignment="1" applyProtection="1">
      <protection locked="0"/>
    </xf>
    <xf numFmtId="4" fontId="17" fillId="6" borderId="0" xfId="0" applyNumberFormat="1" applyFont="1" applyFill="1" applyAlignment="1" applyProtection="1">
      <protection locked="0"/>
    </xf>
    <xf numFmtId="4" fontId="6" fillId="6" borderId="61" xfId="0" applyNumberFormat="1" applyFont="1" applyFill="1" applyBorder="1" applyAlignment="1" applyProtection="1">
      <protection locked="0"/>
    </xf>
    <xf numFmtId="7" fontId="8" fillId="6" borderId="23" xfId="14" applyNumberFormat="1" applyFont="1" applyFill="1" applyBorder="1" applyAlignment="1">
      <alignment horizontal="center"/>
    </xf>
    <xf numFmtId="3" fontId="17" fillId="6" borderId="0" xfId="0" applyNumberFormat="1" applyFont="1" applyFill="1" applyAlignment="1" applyProtection="1">
      <alignment horizontal="center"/>
      <protection locked="0"/>
    </xf>
    <xf numFmtId="3" fontId="17" fillId="0" borderId="0" xfId="0" applyNumberFormat="1" applyFont="1" applyAlignment="1" applyProtection="1">
      <alignment horizontal="center"/>
      <protection locked="0"/>
    </xf>
    <xf numFmtId="9" fontId="17" fillId="6" borderId="0" xfId="7" applyFont="1" applyFill="1" applyAlignment="1" applyProtection="1">
      <alignment horizontal="center"/>
      <protection locked="0"/>
    </xf>
    <xf numFmtId="43" fontId="17" fillId="0" borderId="0" xfId="1" applyFont="1" applyAlignment="1" applyProtection="1">
      <protection locked="0"/>
    </xf>
    <xf numFmtId="180" fontId="0" fillId="0" borderId="0" xfId="1" applyNumberFormat="1" applyFont="1" applyAlignment="1"/>
    <xf numFmtId="10" fontId="17" fillId="6" borderId="0" xfId="7" applyNumberFormat="1" applyFont="1" applyFill="1" applyAlignment="1" applyProtection="1">
      <alignment horizontal="center"/>
      <protection locked="0"/>
    </xf>
    <xf numFmtId="181" fontId="0" fillId="17" borderId="0" xfId="2" applyNumberFormat="1" applyFont="1" applyFill="1" applyBorder="1" applyAlignment="1"/>
    <xf numFmtId="3" fontId="0" fillId="15" borderId="0" xfId="0" applyNumberFormat="1" applyFont="1" applyFill="1" applyBorder="1" applyAlignment="1"/>
    <xf numFmtId="10" fontId="0" fillId="0" borderId="0" xfId="0" applyNumberFormat="1" applyFont="1" applyFill="1" applyAlignment="1"/>
    <xf numFmtId="181" fontId="0" fillId="0" borderId="0" xfId="2" applyNumberFormat="1" applyFont="1" applyFill="1" applyBorder="1" applyAlignment="1"/>
    <xf numFmtId="3" fontId="17" fillId="0" borderId="27" xfId="0" applyNumberFormat="1" applyFont="1" applyBorder="1" applyAlignment="1" applyProtection="1">
      <alignment horizontal="center"/>
      <protection locked="0"/>
    </xf>
    <xf numFmtId="181" fontId="0" fillId="16" borderId="0" xfId="2" applyNumberFormat="1" applyFont="1" applyFill="1" applyBorder="1" applyAlignment="1"/>
    <xf numFmtId="181" fontId="40" fillId="16" borderId="0" xfId="2" applyNumberFormat="1" applyFont="1" applyFill="1" applyBorder="1" applyAlignment="1"/>
    <xf numFmtId="180" fontId="0" fillId="16" borderId="0" xfId="1" applyNumberFormat="1" applyFont="1" applyFill="1" applyBorder="1" applyAlignment="1"/>
    <xf numFmtId="3" fontId="6" fillId="0" borderId="27" xfId="0" applyNumberFormat="1" applyFont="1" applyBorder="1" applyAlignment="1" applyProtection="1">
      <protection locked="0"/>
    </xf>
    <xf numFmtId="3" fontId="14" fillId="0" borderId="0" xfId="0" applyFont="1" applyFill="1"/>
    <xf numFmtId="10" fontId="17" fillId="15" borderId="0" xfId="0" applyNumberFormat="1" applyFont="1" applyFill="1" applyAlignment="1"/>
    <xf numFmtId="3" fontId="76" fillId="6" borderId="0" xfId="0" applyNumberFormat="1" applyFont="1" applyFill="1" applyAlignment="1"/>
    <xf numFmtId="192" fontId="8" fillId="3" borderId="0" xfId="1" applyNumberFormat="1" applyFont="1" applyFill="1" applyAlignment="1"/>
    <xf numFmtId="192" fontId="8" fillId="0" borderId="0" xfId="1" applyNumberFormat="1" applyFont="1" applyFill="1" applyAlignment="1"/>
    <xf numFmtId="192" fontId="11" fillId="3" borderId="0" xfId="1" applyNumberFormat="1" applyFont="1" applyFill="1" applyAlignment="1"/>
    <xf numFmtId="192" fontId="8" fillId="3" borderId="0" xfId="1" applyNumberFormat="1" applyFont="1" applyFill="1" applyAlignment="1" applyProtection="1">
      <protection locked="0"/>
    </xf>
    <xf numFmtId="192" fontId="0" fillId="0" borderId="0" xfId="1" applyNumberFormat="1" applyFont="1" applyAlignment="1">
      <alignment vertical="top"/>
    </xf>
    <xf numFmtId="192" fontId="8" fillId="3" borderId="27" xfId="1" applyNumberFormat="1" applyFont="1" applyFill="1" applyBorder="1" applyAlignment="1" applyProtection="1">
      <protection locked="0"/>
    </xf>
    <xf numFmtId="192" fontId="17" fillId="0" borderId="0" xfId="1" applyNumberFormat="1" applyFont="1" applyFill="1" applyAlignment="1"/>
    <xf numFmtId="192" fontId="25" fillId="0" borderId="0" xfId="1" applyNumberFormat="1" applyFont="1" applyAlignment="1"/>
    <xf numFmtId="192" fontId="19" fillId="0" borderId="0" xfId="1" applyNumberFormat="1" applyFont="1" applyAlignment="1"/>
    <xf numFmtId="192" fontId="20" fillId="3" borderId="0" xfId="1" applyNumberFormat="1" applyFont="1" applyFill="1" applyAlignment="1"/>
    <xf numFmtId="192" fontId="0" fillId="0" borderId="1" xfId="1" applyNumberFormat="1" applyFont="1" applyBorder="1" applyAlignment="1"/>
    <xf numFmtId="192" fontId="0" fillId="0" borderId="61" xfId="1" applyNumberFormat="1" applyFont="1" applyBorder="1" applyAlignment="1"/>
    <xf numFmtId="192" fontId="22" fillId="0" borderId="0" xfId="1" applyNumberFormat="1" applyFont="1" applyAlignment="1">
      <alignment horizontal="center"/>
    </xf>
    <xf numFmtId="192" fontId="13" fillId="0" borderId="0" xfId="1" applyNumberFormat="1" applyFont="1" applyAlignment="1"/>
    <xf numFmtId="192" fontId="19" fillId="0" borderId="0" xfId="1" applyNumberFormat="1" applyFont="1" applyFill="1" applyAlignment="1"/>
    <xf numFmtId="44" fontId="70" fillId="6" borderId="0" xfId="2" applyFont="1" applyFill="1"/>
    <xf numFmtId="10" fontId="17" fillId="6" borderId="61" xfId="7" applyNumberFormat="1" applyFont="1" applyFill="1" applyBorder="1" applyAlignment="1" applyProtection="1">
      <alignment horizontal="center"/>
      <protection locked="0"/>
    </xf>
    <xf numFmtId="183" fontId="8" fillId="0" borderId="0" xfId="0" applyNumberFormat="1" applyFont="1" applyFill="1"/>
    <xf numFmtId="0" fontId="8" fillId="0" borderId="0" xfId="18" applyNumberFormat="1" applyFont="1" applyFill="1"/>
    <xf numFmtId="183" fontId="8" fillId="0" borderId="0" xfId="18" applyNumberFormat="1" applyFont="1" applyFill="1"/>
    <xf numFmtId="183" fontId="27" fillId="0" borderId="0" xfId="5" applyFont="1" applyFill="1"/>
    <xf numFmtId="183" fontId="42" fillId="0" borderId="0" xfId="4" quotePrefix="1" applyFont="1" applyFill="1" applyAlignment="1">
      <alignment horizontal="center"/>
    </xf>
    <xf numFmtId="183" fontId="42" fillId="0" borderId="0" xfId="4" applyFont="1" applyFill="1" applyBorder="1" applyAlignment="1">
      <alignment horizontal="center"/>
    </xf>
    <xf numFmtId="183" fontId="42" fillId="0" borderId="0" xfId="4" applyFont="1" applyFill="1" applyAlignment="1">
      <alignment horizontal="left"/>
    </xf>
    <xf numFmtId="0" fontId="4" fillId="0" borderId="27"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3" fontId="17" fillId="0" borderId="27" xfId="0" applyNumberFormat="1" applyFont="1" applyBorder="1" applyAlignment="1" applyProtection="1">
      <alignment horizontal="center"/>
      <protection locked="0"/>
    </xf>
  </cellXfs>
  <cellStyles count="28">
    <cellStyle name="Comma" xfId="1" builtinId="3"/>
    <cellStyle name="Comma 2" xfId="15"/>
    <cellStyle name="Comma 2 2" xfId="20"/>
    <cellStyle name="Currency" xfId="2" builtinId="4"/>
    <cellStyle name="Currency 2" xfId="16"/>
    <cellStyle name="Currency 2 2" xfId="23"/>
    <cellStyle name="Currency 2 3" xfId="26"/>
    <cellStyle name="Currency 2 4" xfId="24"/>
    <cellStyle name="Normal" xfId="0" builtinId="0"/>
    <cellStyle name="Normal 16" xfId="3"/>
    <cellStyle name="Normal 2" xfId="4"/>
    <cellStyle name="Normal 2 2" xfId="22"/>
    <cellStyle name="Normal 3" xfId="14"/>
    <cellStyle name="Normal 4" xfId="18"/>
    <cellStyle name="Normal 5" xfId="19"/>
    <cellStyle name="Normal 5 2" xfId="27"/>
    <cellStyle name="Normal 5 3" xfId="25"/>
    <cellStyle name="Normal_CET Balancing Mechanism 08-057-24" xfId="5"/>
    <cellStyle name="Normal_GSBill" xfId="6"/>
    <cellStyle name="Percent" xfId="7" builtinId="5"/>
    <cellStyle name="Percent 2" xfId="17"/>
    <cellStyle name="Percent 2 2" xfId="21"/>
    <cellStyle name="PSChar" xfId="8"/>
    <cellStyle name="PSDate" xfId="9"/>
    <cellStyle name="PSDec" xfId="10"/>
    <cellStyle name="PSHeading" xfId="11"/>
    <cellStyle name="PSInt" xfId="12"/>
    <cellStyle name="PSSpacer" xfId="13"/>
  </cellStyles>
  <dxfs count="10">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Rockies Gas Price Comparison</a:t>
            </a:r>
          </a:p>
        </c:rich>
      </c:tx>
      <c:layout>
        <c:manualLayout>
          <c:xMode val="edge"/>
          <c:yMode val="edge"/>
          <c:x val="0.33287136116533089"/>
          <c:y val="3.2432432432432441E-2"/>
        </c:manualLayout>
      </c:layout>
      <c:overlay val="0"/>
      <c:spPr>
        <a:noFill/>
        <a:ln w="25400">
          <a:noFill/>
        </a:ln>
      </c:spPr>
    </c:title>
    <c:autoTitleDeleted val="0"/>
    <c:plotArea>
      <c:layout>
        <c:manualLayout>
          <c:layoutTarget val="inner"/>
          <c:xMode val="edge"/>
          <c:yMode val="edge"/>
          <c:x val="9.5607355770748734E-2"/>
          <c:y val="0.19459485139734561"/>
          <c:w val="0.65116361227644826"/>
          <c:h val="0.61621702942492251"/>
        </c:manualLayout>
      </c:layout>
      <c:lineChart>
        <c:grouping val="standard"/>
        <c:varyColors val="0"/>
        <c:ser>
          <c:idx val="0"/>
          <c:order val="0"/>
          <c:tx>
            <c:strRef>
              <c:f>'[5]Purchases Detail 1.2'!$B$466</c:f>
              <c:strCache>
                <c:ptCount val="1"/>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'[5]Purchases Detail 1.2'!$V$465:$BC$465</c:f>
              <c:numCache>
                <c:formatCode>General</c:formatCode>
                <c:ptCount val="34"/>
              </c:numCache>
            </c:numRef>
          </c:cat>
          <c:val>
            <c:numRef>
              <c:f>'[5]Purchases Detail 1.2'!$V$466:$BC$466</c:f>
              <c:numCache>
                <c:formatCode>General</c:formatCode>
                <c:ptCount val="34"/>
                <c:pt idx="0">
                  <c:v>38748</c:v>
                </c:pt>
                <c:pt idx="1">
                  <c:v>38776</c:v>
                </c:pt>
                <c:pt idx="2">
                  <c:v>38807</c:v>
                </c:pt>
                <c:pt idx="3">
                  <c:v>38837</c:v>
                </c:pt>
                <c:pt idx="4">
                  <c:v>38868</c:v>
                </c:pt>
                <c:pt idx="5">
                  <c:v>38898</c:v>
                </c:pt>
                <c:pt idx="6">
                  <c:v>38929</c:v>
                </c:pt>
                <c:pt idx="7">
                  <c:v>38960</c:v>
                </c:pt>
                <c:pt idx="8">
                  <c:v>38990</c:v>
                </c:pt>
                <c:pt idx="9">
                  <c:v>39021</c:v>
                </c:pt>
                <c:pt idx="10">
                  <c:v>39051</c:v>
                </c:pt>
                <c:pt idx="11">
                  <c:v>39082</c:v>
                </c:pt>
                <c:pt idx="12">
                  <c:v>39113</c:v>
                </c:pt>
                <c:pt idx="13">
                  <c:v>39141</c:v>
                </c:pt>
                <c:pt idx="14">
                  <c:v>39172</c:v>
                </c:pt>
                <c:pt idx="15">
                  <c:v>39202</c:v>
                </c:pt>
                <c:pt idx="16">
                  <c:v>39233</c:v>
                </c:pt>
                <c:pt idx="17">
                  <c:v>39263</c:v>
                </c:pt>
                <c:pt idx="18">
                  <c:v>39294</c:v>
                </c:pt>
                <c:pt idx="19">
                  <c:v>39325</c:v>
                </c:pt>
                <c:pt idx="20">
                  <c:v>39355</c:v>
                </c:pt>
                <c:pt idx="21">
                  <c:v>39386</c:v>
                </c:pt>
                <c:pt idx="22">
                  <c:v>39416</c:v>
                </c:pt>
                <c:pt idx="23">
                  <c:v>39447</c:v>
                </c:pt>
                <c:pt idx="24">
                  <c:v>39478</c:v>
                </c:pt>
                <c:pt idx="25">
                  <c:v>39507</c:v>
                </c:pt>
                <c:pt idx="26">
                  <c:v>39538</c:v>
                </c:pt>
                <c:pt idx="27">
                  <c:v>39568</c:v>
                </c:pt>
                <c:pt idx="28">
                  <c:v>39599</c:v>
                </c:pt>
                <c:pt idx="29">
                  <c:v>39629</c:v>
                </c:pt>
                <c:pt idx="30">
                  <c:v>39660</c:v>
                </c:pt>
                <c:pt idx="31">
                  <c:v>39691</c:v>
                </c:pt>
                <c:pt idx="32">
                  <c:v>39721</c:v>
                </c:pt>
                <c:pt idx="33">
                  <c:v>39752</c:v>
                </c:pt>
              </c:numCache>
            </c:numRef>
          </c:val>
          <c:smooth val="0"/>
        </c:ser>
        <c:ser>
          <c:idx val="1"/>
          <c:order val="1"/>
          <c:tx>
            <c:strRef>
              <c:f>'[5]Purchases Detail 1.2'!$B$467</c:f>
              <c:strCache>
                <c:ptCount val="1"/>
                <c:pt idx="0">
                  <c:v>Forecast Spot Prices</c:v>
                </c:pt>
              </c:strCache>
            </c:strRef>
          </c:tx>
          <c:spPr>
            <a:ln w="12700">
              <a:solidFill>
                <a:srgbClr val="FF0000"/>
              </a:solidFill>
              <a:prstDash val="solid"/>
            </a:ln>
          </c:spPr>
          <c:marker>
            <c:symbol val="square"/>
            <c:size val="5"/>
            <c:spPr>
              <a:solidFill>
                <a:srgbClr val="FF0000"/>
              </a:solidFill>
              <a:ln>
                <a:solidFill>
                  <a:srgbClr val="FF0000"/>
                </a:solidFill>
                <a:prstDash val="solid"/>
              </a:ln>
            </c:spPr>
          </c:marker>
          <c:cat>
            <c:numRef>
              <c:f>'[5]Purchases Detail 1.2'!$V$465:$BC$465</c:f>
              <c:numCache>
                <c:formatCode>General</c:formatCode>
                <c:ptCount val="34"/>
              </c:numCache>
            </c:numRef>
          </c:cat>
          <c:val>
            <c:numRef>
              <c:f>'[5]Purchases Detail 1.2'!$V$467:$BC$467</c:f>
              <c:numCache>
                <c:formatCode>General</c:formatCode>
                <c:ptCount val="34"/>
                <c:pt idx="0">
                  <c:v>7.3849999999999998</c:v>
                </c:pt>
                <c:pt idx="1">
                  <c:v>6.44</c:v>
                </c:pt>
                <c:pt idx="2">
                  <c:v>5.7486956521739145</c:v>
                </c:pt>
                <c:pt idx="3">
                  <c:v>5.81</c:v>
                </c:pt>
                <c:pt idx="4">
                  <c:v>5.1349999999999998</c:v>
                </c:pt>
                <c:pt idx="5">
                  <c:v>5.34</c:v>
                </c:pt>
                <c:pt idx="6">
                  <c:v>5.43</c:v>
                </c:pt>
                <c:pt idx="7">
                  <c:v>5.89</c:v>
                </c:pt>
                <c:pt idx="8">
                  <c:v>3.6150000000000002</c:v>
                </c:pt>
                <c:pt idx="9">
                  <c:v>3.49</c:v>
                </c:pt>
                <c:pt idx="10">
                  <c:v>5.99</c:v>
                </c:pt>
                <c:pt idx="11">
                  <c:v>6.85</c:v>
                </c:pt>
                <c:pt idx="12">
                  <c:v>7.38</c:v>
                </c:pt>
                <c:pt idx="13">
                  <c:v>7.24</c:v>
                </c:pt>
                <c:pt idx="14">
                  <c:v>7.29</c:v>
                </c:pt>
                <c:pt idx="15">
                  <c:v>7.13</c:v>
                </c:pt>
                <c:pt idx="16">
                  <c:v>6.5</c:v>
                </c:pt>
                <c:pt idx="17">
                  <c:v>6.55</c:v>
                </c:pt>
                <c:pt idx="18">
                  <c:v>6.7</c:v>
                </c:pt>
                <c:pt idx="19">
                  <c:v>6.65</c:v>
                </c:pt>
                <c:pt idx="20">
                  <c:v>6.89</c:v>
                </c:pt>
                <c:pt idx="21">
                  <c:v>7.71</c:v>
                </c:pt>
                <c:pt idx="22">
                  <c:v>3.97</c:v>
                </c:pt>
                <c:pt idx="23">
                  <c:v>5.24</c:v>
                </c:pt>
                <c:pt idx="24">
                  <c:v>5.43</c:v>
                </c:pt>
                <c:pt idx="25">
                  <c:v>5.39</c:v>
                </c:pt>
                <c:pt idx="26">
                  <c:v>5.77</c:v>
                </c:pt>
                <c:pt idx="27">
                  <c:v>5.9</c:v>
                </c:pt>
                <c:pt idx="28">
                  <c:v>5.55</c:v>
                </c:pt>
                <c:pt idx="29">
                  <c:v>5.42</c:v>
                </c:pt>
                <c:pt idx="30">
                  <c:v>5.55</c:v>
                </c:pt>
                <c:pt idx="31">
                  <c:v>5.39</c:v>
                </c:pt>
                <c:pt idx="32">
                  <c:v>4.93</c:v>
                </c:pt>
                <c:pt idx="33">
                  <c:v>5.07</c:v>
                </c:pt>
              </c:numCache>
            </c:numRef>
          </c:val>
          <c:smooth val="0"/>
        </c:ser>
        <c:ser>
          <c:idx val="2"/>
          <c:order val="2"/>
          <c:tx>
            <c:strRef>
              <c:f>'[5]Purchases Detail 1.2'!$B$468</c:f>
              <c:strCache>
                <c:ptCount val="1"/>
                <c:pt idx="0">
                  <c:v>First of Month Price</c:v>
                </c:pt>
              </c:strCache>
            </c:strRef>
          </c:tx>
          <c:spPr>
            <a:ln w="12700">
              <a:solidFill>
                <a:srgbClr val="00FF00"/>
              </a:solidFill>
              <a:prstDash val="solid"/>
            </a:ln>
          </c:spPr>
          <c:marker>
            <c:symbol val="triangle"/>
            <c:size val="5"/>
            <c:spPr>
              <a:solidFill>
                <a:srgbClr val="00FF00"/>
              </a:solidFill>
              <a:ln>
                <a:solidFill>
                  <a:srgbClr val="00FF00"/>
                </a:solidFill>
                <a:prstDash val="solid"/>
              </a:ln>
            </c:spPr>
          </c:marker>
          <c:cat>
            <c:numRef>
              <c:f>'[5]Purchases Detail 1.2'!$V$465:$BC$465</c:f>
              <c:numCache>
                <c:formatCode>General</c:formatCode>
                <c:ptCount val="34"/>
              </c:numCache>
            </c:numRef>
          </c:cat>
          <c:val>
            <c:numRef>
              <c:f>'[5]Purchases Detail 1.2'!$V$468:$BC$468</c:f>
              <c:numCache>
                <c:formatCode>General</c:formatCode>
                <c:ptCount val="34"/>
                <c:pt idx="0">
                  <c:v>8.7799999999999994</c:v>
                </c:pt>
                <c:pt idx="1">
                  <c:v>6.39</c:v>
                </c:pt>
                <c:pt idx="2">
                  <c:v>5.81</c:v>
                </c:pt>
                <c:pt idx="3">
                  <c:v>5.32</c:v>
                </c:pt>
                <c:pt idx="4">
                  <c:v>5.39</c:v>
                </c:pt>
                <c:pt idx="5">
                  <c:v>4.53</c:v>
                </c:pt>
                <c:pt idx="6">
                  <c:v>4.75</c:v>
                </c:pt>
                <c:pt idx="7">
                  <c:v>5.5</c:v>
                </c:pt>
                <c:pt idx="8">
                  <c:v>4.12</c:v>
                </c:pt>
                <c:pt idx="9">
                  <c:v>2.42</c:v>
                </c:pt>
                <c:pt idx="10">
                  <c:v>5.8</c:v>
                </c:pt>
                <c:pt idx="11">
                  <c:v>5.54</c:v>
                </c:pt>
                <c:pt idx="12">
                  <c:v>3.71</c:v>
                </c:pt>
                <c:pt idx="13">
                  <c:v>6</c:v>
                </c:pt>
                <c:pt idx="14">
                  <c:v>5.79</c:v>
                </c:pt>
                <c:pt idx="15">
                  <c:v>3.1</c:v>
                </c:pt>
                <c:pt idx="16">
                  <c:v>4.34</c:v>
                </c:pt>
                <c:pt idx="17">
                  <c:v>2.82</c:v>
                </c:pt>
                <c:pt idx="18">
                  <c:v>3.05</c:v>
                </c:pt>
                <c:pt idx="19">
                  <c:v>2.78</c:v>
                </c:pt>
                <c:pt idx="20">
                  <c:v>2</c:v>
                </c:pt>
                <c:pt idx="21">
                  <c:v>1.36</c:v>
                </c:pt>
              </c:numCache>
            </c:numRef>
          </c:val>
          <c:smooth val="0"/>
        </c:ser>
        <c:dLbls>
          <c:showLegendKey val="0"/>
          <c:showVal val="0"/>
          <c:showCatName val="0"/>
          <c:showSerName val="0"/>
          <c:showPercent val="0"/>
          <c:showBubbleSize val="0"/>
        </c:dLbls>
        <c:marker val="1"/>
        <c:smooth val="0"/>
        <c:axId val="206927400"/>
        <c:axId val="206426880"/>
      </c:lineChart>
      <c:catAx>
        <c:axId val="206927400"/>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206426880"/>
        <c:crosses val="autoZero"/>
        <c:auto val="1"/>
        <c:lblAlgn val="ctr"/>
        <c:lblOffset val="100"/>
        <c:tickLblSkip val="1"/>
        <c:tickMarkSkip val="1"/>
        <c:noMultiLvlLbl val="0"/>
      </c:catAx>
      <c:valAx>
        <c:axId val="2064268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206927400"/>
        <c:crosses val="autoZero"/>
        <c:crossBetween val="between"/>
      </c:valAx>
      <c:spPr>
        <a:solidFill>
          <a:srgbClr val="FFFFFF"/>
        </a:solidFill>
        <a:ln w="12700">
          <a:solidFill>
            <a:srgbClr val="FFFFFF"/>
          </a:solidFill>
          <a:prstDash val="solid"/>
        </a:ln>
      </c:spPr>
    </c:plotArea>
    <c:legend>
      <c:legendPos val="r"/>
      <c:layout>
        <c:manualLayout>
          <c:xMode val="edge"/>
          <c:yMode val="edge"/>
          <c:x val="0.77131884155506203"/>
          <c:y val="0.42162218911825777"/>
          <c:w val="0.21059455174940733"/>
          <c:h val="0.1729732567212825"/>
        </c:manualLayout>
      </c:layout>
      <c:overlay val="0"/>
      <c:spPr>
        <a:solidFill>
          <a:srgbClr val="FFFFFF"/>
        </a:solidFill>
        <a:ln w="3175">
          <a:solidFill>
            <a:srgbClr val="000000"/>
          </a:solidFill>
          <a:prstDash val="solid"/>
        </a:ln>
      </c:spPr>
      <c:txPr>
        <a:bodyPr/>
        <a:lstStyle/>
        <a:p>
          <a:pPr>
            <a:defRPr sz="8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11" r="0.750000000000006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t>Gas Price Voltility</a:t>
            </a:r>
          </a:p>
        </c:rich>
      </c:tx>
      <c:layout>
        <c:manualLayout>
          <c:xMode val="edge"/>
          <c:yMode val="edge"/>
          <c:x val="0.40000060861957482"/>
          <c:y val="3.2432432432432441E-2"/>
        </c:manualLayout>
      </c:layout>
      <c:overlay val="0"/>
      <c:spPr>
        <a:noFill/>
        <a:ln w="25400">
          <a:noFill/>
        </a:ln>
      </c:spPr>
    </c:title>
    <c:autoTitleDeleted val="0"/>
    <c:plotArea>
      <c:layout>
        <c:manualLayout>
          <c:layoutTarget val="inner"/>
          <c:xMode val="edge"/>
          <c:yMode val="edge"/>
          <c:x val="5.9420373953202134E-2"/>
          <c:y val="0.19459485139734561"/>
          <c:w val="0.90434910601945484"/>
          <c:h val="0.54324396015091858"/>
        </c:manualLayout>
      </c:layout>
      <c:lineChart>
        <c:grouping val="standard"/>
        <c:varyColors val="0"/>
        <c:ser>
          <c:idx val="0"/>
          <c:order val="0"/>
          <c:tx>
            <c:strRef>
              <c:f>'[5]Purchases Detail 1.2'!$B$466</c:f>
              <c:strCache>
                <c:ptCount val="1"/>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'[5]Purchases Detail 1.2'!$C$465:$BC$465</c:f>
              <c:numCache>
                <c:formatCode>General</c:formatCode>
                <c:ptCount val="53"/>
              </c:numCache>
            </c:numRef>
          </c:cat>
          <c:val>
            <c:numRef>
              <c:f>'[5]Purchases Detail 1.2'!$C$466:$BC$466</c:f>
              <c:numCache>
                <c:formatCode>General</c:formatCode>
                <c:ptCount val="53"/>
                <c:pt idx="0">
                  <c:v>38168</c:v>
                </c:pt>
                <c:pt idx="1">
                  <c:v>38199</c:v>
                </c:pt>
                <c:pt idx="2">
                  <c:v>38230</c:v>
                </c:pt>
                <c:pt idx="3">
                  <c:v>38260</c:v>
                </c:pt>
                <c:pt idx="4">
                  <c:v>38291</c:v>
                </c:pt>
                <c:pt idx="5">
                  <c:v>38321</c:v>
                </c:pt>
                <c:pt idx="6">
                  <c:v>38352</c:v>
                </c:pt>
                <c:pt idx="7">
                  <c:v>38383</c:v>
                </c:pt>
                <c:pt idx="8">
                  <c:v>38411</c:v>
                </c:pt>
                <c:pt idx="9">
                  <c:v>38442</c:v>
                </c:pt>
                <c:pt idx="10">
                  <c:v>38472</c:v>
                </c:pt>
                <c:pt idx="11">
                  <c:v>38503</c:v>
                </c:pt>
                <c:pt idx="12">
                  <c:v>38533</c:v>
                </c:pt>
                <c:pt idx="13">
                  <c:v>38564</c:v>
                </c:pt>
                <c:pt idx="14">
                  <c:v>38595</c:v>
                </c:pt>
                <c:pt idx="15">
                  <c:v>38625</c:v>
                </c:pt>
                <c:pt idx="16">
                  <c:v>38656</c:v>
                </c:pt>
                <c:pt idx="17">
                  <c:v>38686</c:v>
                </c:pt>
                <c:pt idx="18">
                  <c:v>38717</c:v>
                </c:pt>
                <c:pt idx="19">
                  <c:v>38748</c:v>
                </c:pt>
                <c:pt idx="20">
                  <c:v>38776</c:v>
                </c:pt>
                <c:pt idx="21">
                  <c:v>38807</c:v>
                </c:pt>
                <c:pt idx="22">
                  <c:v>38837</c:v>
                </c:pt>
                <c:pt idx="23">
                  <c:v>38868</c:v>
                </c:pt>
                <c:pt idx="24">
                  <c:v>38898</c:v>
                </c:pt>
                <c:pt idx="25">
                  <c:v>38929</c:v>
                </c:pt>
                <c:pt idx="26">
                  <c:v>38960</c:v>
                </c:pt>
                <c:pt idx="27">
                  <c:v>38990</c:v>
                </c:pt>
                <c:pt idx="28">
                  <c:v>39021</c:v>
                </c:pt>
                <c:pt idx="29">
                  <c:v>39051</c:v>
                </c:pt>
                <c:pt idx="30">
                  <c:v>39082</c:v>
                </c:pt>
                <c:pt idx="31">
                  <c:v>39113</c:v>
                </c:pt>
                <c:pt idx="32">
                  <c:v>39141</c:v>
                </c:pt>
                <c:pt idx="33">
                  <c:v>39172</c:v>
                </c:pt>
                <c:pt idx="34">
                  <c:v>39202</c:v>
                </c:pt>
                <c:pt idx="35">
                  <c:v>39233</c:v>
                </c:pt>
                <c:pt idx="36">
                  <c:v>39263</c:v>
                </c:pt>
                <c:pt idx="37">
                  <c:v>39294</c:v>
                </c:pt>
                <c:pt idx="38">
                  <c:v>39325</c:v>
                </c:pt>
                <c:pt idx="39">
                  <c:v>39355</c:v>
                </c:pt>
                <c:pt idx="40">
                  <c:v>39386</c:v>
                </c:pt>
                <c:pt idx="41">
                  <c:v>39416</c:v>
                </c:pt>
                <c:pt idx="42">
                  <c:v>39447</c:v>
                </c:pt>
                <c:pt idx="43">
                  <c:v>39478</c:v>
                </c:pt>
                <c:pt idx="44">
                  <c:v>39507</c:v>
                </c:pt>
                <c:pt idx="45">
                  <c:v>39538</c:v>
                </c:pt>
                <c:pt idx="46">
                  <c:v>39568</c:v>
                </c:pt>
                <c:pt idx="47">
                  <c:v>39599</c:v>
                </c:pt>
                <c:pt idx="48">
                  <c:v>39629</c:v>
                </c:pt>
                <c:pt idx="49">
                  <c:v>39660</c:v>
                </c:pt>
                <c:pt idx="50">
                  <c:v>39691</c:v>
                </c:pt>
                <c:pt idx="51">
                  <c:v>39721</c:v>
                </c:pt>
                <c:pt idx="52">
                  <c:v>39752</c:v>
                </c:pt>
              </c:numCache>
            </c:numRef>
          </c:val>
          <c:smooth val="0"/>
        </c:ser>
        <c:ser>
          <c:idx val="1"/>
          <c:order val="1"/>
          <c:tx>
            <c:strRef>
              <c:f>'[5]Purchases Detail 1.2'!$B$467</c:f>
              <c:strCache>
                <c:ptCount val="1"/>
                <c:pt idx="0">
                  <c:v>Forecast Spot Prices</c:v>
                </c:pt>
              </c:strCache>
            </c:strRef>
          </c:tx>
          <c:spPr>
            <a:ln w="12700">
              <a:solidFill>
                <a:srgbClr val="FF0000"/>
              </a:solidFill>
              <a:prstDash val="solid"/>
            </a:ln>
          </c:spPr>
          <c:marker>
            <c:symbol val="square"/>
            <c:size val="5"/>
            <c:spPr>
              <a:solidFill>
                <a:srgbClr val="FF0000"/>
              </a:solidFill>
              <a:ln>
                <a:solidFill>
                  <a:srgbClr val="FF0000"/>
                </a:solidFill>
                <a:prstDash val="solid"/>
              </a:ln>
            </c:spPr>
          </c:marker>
          <c:cat>
            <c:numRef>
              <c:f>'[5]Purchases Detail 1.2'!$C$465:$BC$465</c:f>
              <c:numCache>
                <c:formatCode>General</c:formatCode>
                <c:ptCount val="53"/>
              </c:numCache>
            </c:numRef>
          </c:cat>
          <c:val>
            <c:numRef>
              <c:f>'[5]Purchases Detail 1.2'!$C$467:$BC$467</c:f>
              <c:numCache>
                <c:formatCode>General</c:formatCode>
                <c:ptCount val="53"/>
                <c:pt idx="0">
                  <c:v>5.3345454545454549</c:v>
                </c:pt>
                <c:pt idx="1">
                  <c:v>5.4133333333333331</c:v>
                </c:pt>
                <c:pt idx="2">
                  <c:v>5.0017391304347827</c:v>
                </c:pt>
                <c:pt idx="3">
                  <c:v>4.5209523809523811</c:v>
                </c:pt>
                <c:pt idx="4">
                  <c:v>5.3547619047619053</c:v>
                </c:pt>
                <c:pt idx="5">
                  <c:v>5.918571428571429</c:v>
                </c:pt>
                <c:pt idx="6">
                  <c:v>6.0418181818181811</c:v>
                </c:pt>
                <c:pt idx="7">
                  <c:v>5.4740000000000002</c:v>
                </c:pt>
                <c:pt idx="8">
                  <c:v>5.5468421052631589</c:v>
                </c:pt>
                <c:pt idx="9">
                  <c:v>6.285909090909092</c:v>
                </c:pt>
                <c:pt idx="10">
                  <c:v>6.4590476190476194</c:v>
                </c:pt>
                <c:pt idx="11">
                  <c:v>5.66409090909091</c:v>
                </c:pt>
                <c:pt idx="12">
                  <c:v>5.964090909090908</c:v>
                </c:pt>
                <c:pt idx="13">
                  <c:v>6.48</c:v>
                </c:pt>
                <c:pt idx="14">
                  <c:v>7.7372727272727255</c:v>
                </c:pt>
                <c:pt idx="15">
                  <c:v>9.4171428571428546</c:v>
                </c:pt>
                <c:pt idx="16">
                  <c:v>10.638095238095238</c:v>
                </c:pt>
                <c:pt idx="17">
                  <c:v>7.5549999999999997</c:v>
                </c:pt>
                <c:pt idx="18">
                  <c:v>11.08</c:v>
                </c:pt>
                <c:pt idx="19">
                  <c:v>7.3849999999999998</c:v>
                </c:pt>
                <c:pt idx="20">
                  <c:v>6.44</c:v>
                </c:pt>
                <c:pt idx="21">
                  <c:v>5.7486956521739145</c:v>
                </c:pt>
                <c:pt idx="22">
                  <c:v>5.81</c:v>
                </c:pt>
                <c:pt idx="23">
                  <c:v>5.1349999999999998</c:v>
                </c:pt>
                <c:pt idx="24">
                  <c:v>5.34</c:v>
                </c:pt>
                <c:pt idx="25">
                  <c:v>5.43</c:v>
                </c:pt>
                <c:pt idx="26">
                  <c:v>5.89</c:v>
                </c:pt>
                <c:pt idx="27">
                  <c:v>3.6150000000000002</c:v>
                </c:pt>
                <c:pt idx="28">
                  <c:v>3.49</c:v>
                </c:pt>
                <c:pt idx="29">
                  <c:v>5.99</c:v>
                </c:pt>
                <c:pt idx="30">
                  <c:v>6.85</c:v>
                </c:pt>
                <c:pt idx="31">
                  <c:v>7.38</c:v>
                </c:pt>
                <c:pt idx="32">
                  <c:v>7.24</c:v>
                </c:pt>
                <c:pt idx="33">
                  <c:v>7.29</c:v>
                </c:pt>
                <c:pt idx="34">
                  <c:v>7.13</c:v>
                </c:pt>
                <c:pt idx="35">
                  <c:v>6.5</c:v>
                </c:pt>
                <c:pt idx="36">
                  <c:v>6.55</c:v>
                </c:pt>
                <c:pt idx="37">
                  <c:v>6.7</c:v>
                </c:pt>
                <c:pt idx="38">
                  <c:v>6.65</c:v>
                </c:pt>
                <c:pt idx="39">
                  <c:v>6.89</c:v>
                </c:pt>
                <c:pt idx="40">
                  <c:v>7.71</c:v>
                </c:pt>
                <c:pt idx="41">
                  <c:v>3.97</c:v>
                </c:pt>
                <c:pt idx="42">
                  <c:v>5.24</c:v>
                </c:pt>
                <c:pt idx="43">
                  <c:v>5.43</c:v>
                </c:pt>
                <c:pt idx="44">
                  <c:v>5.39</c:v>
                </c:pt>
                <c:pt idx="45">
                  <c:v>5.77</c:v>
                </c:pt>
                <c:pt idx="46">
                  <c:v>5.9</c:v>
                </c:pt>
                <c:pt idx="47">
                  <c:v>5.55</c:v>
                </c:pt>
                <c:pt idx="48">
                  <c:v>5.42</c:v>
                </c:pt>
                <c:pt idx="49">
                  <c:v>5.55</c:v>
                </c:pt>
                <c:pt idx="50">
                  <c:v>5.39</c:v>
                </c:pt>
                <c:pt idx="51">
                  <c:v>4.93</c:v>
                </c:pt>
                <c:pt idx="52">
                  <c:v>5.07</c:v>
                </c:pt>
              </c:numCache>
            </c:numRef>
          </c:val>
          <c:smooth val="0"/>
        </c:ser>
        <c:ser>
          <c:idx val="2"/>
          <c:order val="2"/>
          <c:tx>
            <c:strRef>
              <c:f>'[5]Purchases Detail 1.2'!$B$468</c:f>
              <c:strCache>
                <c:ptCount val="1"/>
                <c:pt idx="0">
                  <c:v>First of Month Price</c:v>
                </c:pt>
              </c:strCache>
            </c:strRef>
          </c:tx>
          <c:spPr>
            <a:ln w="12700">
              <a:solidFill>
                <a:srgbClr val="00FF00"/>
              </a:solidFill>
              <a:prstDash val="solid"/>
            </a:ln>
          </c:spPr>
          <c:marker>
            <c:symbol val="triangle"/>
            <c:size val="5"/>
            <c:spPr>
              <a:solidFill>
                <a:srgbClr val="00FF00"/>
              </a:solidFill>
              <a:ln>
                <a:solidFill>
                  <a:srgbClr val="00FF00"/>
                </a:solidFill>
                <a:prstDash val="solid"/>
              </a:ln>
            </c:spPr>
          </c:marker>
          <c:cat>
            <c:numRef>
              <c:f>'[5]Purchases Detail 1.2'!$C$465:$BC$465</c:f>
              <c:numCache>
                <c:formatCode>General</c:formatCode>
                <c:ptCount val="53"/>
              </c:numCache>
            </c:numRef>
          </c:cat>
          <c:val>
            <c:numRef>
              <c:f>'[5]Purchases Detail 1.2'!$C$468:$BC$468</c:f>
              <c:numCache>
                <c:formatCode>General</c:formatCode>
                <c:ptCount val="53"/>
                <c:pt idx="0">
                  <c:v>5.52</c:v>
                </c:pt>
                <c:pt idx="1">
                  <c:v>5.2</c:v>
                </c:pt>
                <c:pt idx="2">
                  <c:v>5.22</c:v>
                </c:pt>
                <c:pt idx="3">
                  <c:v>4.3899999999999997</c:v>
                </c:pt>
                <c:pt idx="4">
                  <c:v>4.42</c:v>
                </c:pt>
                <c:pt idx="5">
                  <c:v>6.55</c:v>
                </c:pt>
                <c:pt idx="6">
                  <c:v>5.91</c:v>
                </c:pt>
                <c:pt idx="7">
                  <c:v>5.47</c:v>
                </c:pt>
                <c:pt idx="8">
                  <c:v>5.32</c:v>
                </c:pt>
                <c:pt idx="9">
                  <c:v>5.38</c:v>
                </c:pt>
                <c:pt idx="10">
                  <c:v>6.02</c:v>
                </c:pt>
                <c:pt idx="11">
                  <c:v>6.04</c:v>
                </c:pt>
                <c:pt idx="12">
                  <c:v>5.24</c:v>
                </c:pt>
                <c:pt idx="13">
                  <c:v>5.74</c:v>
                </c:pt>
                <c:pt idx="14">
                  <c:v>5.75</c:v>
                </c:pt>
                <c:pt idx="15">
                  <c:v>7.64</c:v>
                </c:pt>
                <c:pt idx="16">
                  <c:v>9.48</c:v>
                </c:pt>
                <c:pt idx="17">
                  <c:v>10.210000000000001</c:v>
                </c:pt>
                <c:pt idx="18">
                  <c:v>8.4600000000000009</c:v>
                </c:pt>
                <c:pt idx="19">
                  <c:v>8.7799999999999994</c:v>
                </c:pt>
                <c:pt idx="20">
                  <c:v>6.39</c:v>
                </c:pt>
                <c:pt idx="21">
                  <c:v>5.81</c:v>
                </c:pt>
                <c:pt idx="22">
                  <c:v>5.32</c:v>
                </c:pt>
                <c:pt idx="23">
                  <c:v>5.39</c:v>
                </c:pt>
                <c:pt idx="24">
                  <c:v>4.53</c:v>
                </c:pt>
                <c:pt idx="25">
                  <c:v>4.75</c:v>
                </c:pt>
                <c:pt idx="26">
                  <c:v>5.5</c:v>
                </c:pt>
                <c:pt idx="27">
                  <c:v>4.12</c:v>
                </c:pt>
                <c:pt idx="28">
                  <c:v>2.42</c:v>
                </c:pt>
                <c:pt idx="29">
                  <c:v>5.8</c:v>
                </c:pt>
                <c:pt idx="30">
                  <c:v>5.54</c:v>
                </c:pt>
                <c:pt idx="31">
                  <c:v>3.71</c:v>
                </c:pt>
                <c:pt idx="32">
                  <c:v>6</c:v>
                </c:pt>
                <c:pt idx="33">
                  <c:v>5.79</c:v>
                </c:pt>
                <c:pt idx="34">
                  <c:v>3.1</c:v>
                </c:pt>
                <c:pt idx="35">
                  <c:v>4.34</c:v>
                </c:pt>
                <c:pt idx="36">
                  <c:v>2.82</c:v>
                </c:pt>
                <c:pt idx="37">
                  <c:v>3.05</c:v>
                </c:pt>
                <c:pt idx="38">
                  <c:v>2.78</c:v>
                </c:pt>
                <c:pt idx="39">
                  <c:v>2</c:v>
                </c:pt>
                <c:pt idx="40">
                  <c:v>1.36</c:v>
                </c:pt>
              </c:numCache>
            </c:numRef>
          </c:val>
          <c:smooth val="0"/>
        </c:ser>
        <c:dLbls>
          <c:showLegendKey val="0"/>
          <c:showVal val="0"/>
          <c:showCatName val="0"/>
          <c:showSerName val="0"/>
          <c:showPercent val="0"/>
          <c:showBubbleSize val="0"/>
        </c:dLbls>
        <c:marker val="1"/>
        <c:smooth val="0"/>
        <c:axId val="208553672"/>
        <c:axId val="208554056"/>
      </c:lineChart>
      <c:catAx>
        <c:axId val="208553672"/>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975" b="0" i="0" u="none" strike="noStrike" baseline="0">
                <a:solidFill>
                  <a:srgbClr val="000000"/>
                </a:solidFill>
                <a:latin typeface="Arial"/>
                <a:ea typeface="Arial"/>
                <a:cs typeface="Arial"/>
              </a:defRPr>
            </a:pPr>
            <a:endParaRPr lang="en-US"/>
          </a:p>
        </c:txPr>
        <c:crossAx val="208554056"/>
        <c:crosses val="autoZero"/>
        <c:auto val="1"/>
        <c:lblAlgn val="ctr"/>
        <c:lblOffset val="100"/>
        <c:tickLblSkip val="1"/>
        <c:tickMarkSkip val="1"/>
        <c:noMultiLvlLbl val="0"/>
      </c:catAx>
      <c:valAx>
        <c:axId val="20855405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208553672"/>
        <c:crosses val="autoZero"/>
        <c:crossBetween val="between"/>
      </c:valAx>
      <c:spPr>
        <a:solidFill>
          <a:srgbClr val="FFFFFF"/>
        </a:solidFill>
        <a:ln w="12700">
          <a:solidFill>
            <a:srgbClr val="808080"/>
          </a:solidFill>
          <a:prstDash val="solid"/>
        </a:ln>
      </c:spPr>
    </c:plotArea>
    <c:legend>
      <c:legendPos val="r"/>
      <c:layout>
        <c:manualLayout>
          <c:xMode val="edge"/>
          <c:yMode val="edge"/>
          <c:wMode val="edge"/>
          <c:hMode val="edge"/>
          <c:x val="0.16231914488950025"/>
          <c:y val="0.91621735120947712"/>
          <c:w val="0.85072585492031616"/>
          <c:h val="0.98108221607434198"/>
        </c:manualLayout>
      </c:layout>
      <c:overlay val="0"/>
      <c:spPr>
        <a:solidFill>
          <a:srgbClr val="FFFFFF"/>
        </a:solidFill>
        <a:ln w="3175">
          <a:solidFill>
            <a:srgbClr val="000000"/>
          </a:solidFill>
          <a:prstDash val="solid"/>
        </a:ln>
      </c:spPr>
      <c:txPr>
        <a:bodyPr/>
        <a:lstStyle/>
        <a:p>
          <a:pPr>
            <a:defRPr sz="8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11" r="0.750000000000006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dLbls>
          <c:showLegendKey val="0"/>
          <c:showVal val="0"/>
          <c:showCatName val="0"/>
          <c:showSerName val="0"/>
          <c:showPercent val="0"/>
          <c:showBubbleSize val="0"/>
        </c:dLbls>
        <c:marker val="1"/>
        <c:smooth val="0"/>
        <c:axId val="208534744"/>
        <c:axId val="206380512"/>
      </c:lineChart>
      <c:catAx>
        <c:axId val="208534744"/>
        <c:scaling>
          <c:orientation val="minMax"/>
        </c:scaling>
        <c:delete val="0"/>
        <c:axPos val="b"/>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6380512"/>
        <c:crosses val="autoZero"/>
        <c:auto val="1"/>
        <c:lblAlgn val="ctr"/>
        <c:lblOffset val="100"/>
        <c:noMultiLvlLbl val="0"/>
      </c:catAx>
      <c:valAx>
        <c:axId val="206380512"/>
        <c:scaling>
          <c:orientation val="minMax"/>
        </c:scaling>
        <c:delete val="0"/>
        <c:axPos val="l"/>
        <c:majorGridlines/>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3474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Opal FOM Market Price Compared</a:t>
            </a:r>
            <a:r>
              <a:rPr lang="en-US" baseline="0"/>
              <a:t> to Forecast</a:t>
            </a:r>
            <a:endParaRPr lang="en-US"/>
          </a:p>
        </c:rich>
      </c:tx>
      <c:overlay val="0"/>
    </c:title>
    <c:autoTitleDeleted val="0"/>
    <c:plotArea>
      <c:layout>
        <c:manualLayout>
          <c:layoutTarget val="inner"/>
          <c:xMode val="edge"/>
          <c:yMode val="edge"/>
          <c:x val="0.11133301074795818"/>
          <c:y val="0.16598642625293156"/>
          <c:w val="0.84024985703602795"/>
          <c:h val="0.57144667567441665"/>
        </c:manualLayout>
      </c:layout>
      <c:lineChart>
        <c:grouping val="standard"/>
        <c:varyColors val="0"/>
        <c:ser>
          <c:idx val="0"/>
          <c:order val="0"/>
          <c:tx>
            <c:strRef>
              <c:f>'Price Graph'!$AC$5</c:f>
              <c:strCache>
                <c:ptCount val="1"/>
                <c:pt idx="0">
                  <c:v>Opal FOM</c:v>
                </c:pt>
              </c:strCache>
            </c:strRef>
          </c:tx>
          <c:spPr>
            <a:ln>
              <a:solidFill>
                <a:schemeClr val="tx1"/>
              </a:solidFill>
            </a:ln>
          </c:spPr>
          <c:marker>
            <c:symbol val="none"/>
          </c:marker>
          <c:cat>
            <c:numRef>
              <c:f>'Price Graph'!$BS$4:$CU$4</c:f>
              <c:numCache>
                <c:formatCode>mmm\-yy</c:formatCode>
                <c:ptCount val="29"/>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numCache>
            </c:numRef>
          </c:cat>
          <c:val>
            <c:numRef>
              <c:f>'Price Graph'!$BS$5:$CU$5</c:f>
              <c:numCache>
                <c:formatCode>_("$"* #,##0.00_);_("$"* \(#,##0.00\);_("$"* "-"??_);_(@_)</c:formatCode>
                <c:ptCount val="29"/>
                <c:pt idx="0">
                  <c:v>3.27</c:v>
                </c:pt>
                <c:pt idx="1">
                  <c:v>3.25</c:v>
                </c:pt>
                <c:pt idx="2">
                  <c:v>3.3</c:v>
                </c:pt>
                <c:pt idx="3">
                  <c:v>3.77</c:v>
                </c:pt>
                <c:pt idx="4">
                  <c:v>3.78</c:v>
                </c:pt>
                <c:pt idx="5">
                  <c:v>3.96</c:v>
                </c:pt>
                <c:pt idx="6">
                  <c:v>3.3</c:v>
                </c:pt>
                <c:pt idx="7">
                  <c:v>3.39</c:v>
                </c:pt>
                <c:pt idx="8">
                  <c:v>3.24</c:v>
                </c:pt>
                <c:pt idx="9">
                  <c:v>3.33</c:v>
                </c:pt>
                <c:pt idx="10">
                  <c:v>3.51</c:v>
                </c:pt>
                <c:pt idx="11">
                  <c:v>3.6</c:v>
                </c:pt>
                <c:pt idx="12">
                  <c:v>4.33</c:v>
                </c:pt>
                <c:pt idx="13">
                  <c:v>4.78</c:v>
                </c:pt>
                <c:pt idx="14">
                  <c:v>5.31</c:v>
                </c:pt>
                <c:pt idx="15">
                  <c:v>4.28</c:v>
                </c:pt>
                <c:pt idx="16">
                  <c:v>4.46</c:v>
                </c:pt>
              </c:numCache>
            </c:numRef>
          </c:val>
          <c:smooth val="0"/>
        </c:ser>
        <c:ser>
          <c:idx val="1"/>
          <c:order val="1"/>
          <c:tx>
            <c:v>13-057-03 Forecast</c:v>
          </c:tx>
          <c:marker>
            <c:symbol val="none"/>
          </c:marker>
          <c:cat>
            <c:numRef>
              <c:f>'Price Graph'!$BS$4:$CU$4</c:f>
              <c:numCache>
                <c:formatCode>mmm\-yy</c:formatCode>
                <c:ptCount val="29"/>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numCache>
            </c:numRef>
          </c:cat>
          <c:val>
            <c:numRef>
              <c:f>('Price Graph'!$BS$23:$CI$23,'Price Graph'!$CJ$22:$CU$22)</c:f>
              <c:numCache>
                <c:formatCode>[$-409]mmmm\-yy;@</c:formatCode>
                <c:ptCount val="29"/>
                <c:pt idx="4" formatCode="_(&quot;$&quot;* #,##0.00_);_(&quot;$&quot;* \(#,##0.00\);_(&quot;$&quot;* &quot;-&quot;??_);_(@_)">
                  <c:v>4.0999999999999996</c:v>
                </c:pt>
                <c:pt idx="5" formatCode="_(&quot;$&quot;* #,##0.00_);_(&quot;$&quot;* \(#,##0.00\);_(&quot;$&quot;* &quot;-&quot;??_);_(@_)">
                  <c:v>4.2</c:v>
                </c:pt>
                <c:pt idx="6" formatCode="_(&quot;$&quot;* #,##0.00_);_(&quot;$&quot;* \(#,##0.00\);_(&quot;$&quot;* &quot;-&quot;??_);_(@_)">
                  <c:v>4.37</c:v>
                </c:pt>
                <c:pt idx="7" formatCode="_(&quot;$&quot;* #,##0.00_);_(&quot;$&quot;* \(#,##0.00\);_(&quot;$&quot;* &quot;-&quot;??_);_(@_)">
                  <c:v>4.49</c:v>
                </c:pt>
                <c:pt idx="8" formatCode="_(&quot;$&quot;* #,##0.00_);_(&quot;$&quot;* \(#,##0.00\);_(&quot;$&quot;* &quot;-&quot;??_);_(@_)">
                  <c:v>4.63</c:v>
                </c:pt>
                <c:pt idx="9" formatCode="_(&quot;$&quot;* #,##0.00_);_(&quot;$&quot;* \(#,##0.00\);_(&quot;$&quot;* &quot;-&quot;??_);_(@_)">
                  <c:v>4.5199999999999996</c:v>
                </c:pt>
                <c:pt idx="10" formatCode="_(&quot;$&quot;* #,##0.00_);_(&quot;$&quot;* \(#,##0.00\);_(&quot;$&quot;* &quot;-&quot;??_);_(@_)">
                  <c:v>4.6100000000000003</c:v>
                </c:pt>
                <c:pt idx="11" formatCode="_(&quot;$&quot;* #,##0.00_);_(&quot;$&quot;* \(#,##0.00\);_(&quot;$&quot;* &quot;-&quot;??_);_(@_)">
                  <c:v>4.82</c:v>
                </c:pt>
                <c:pt idx="12" formatCode="_(&quot;$&quot;* #,##0.00_);_(&quot;$&quot;* \(#,##0.00\);_(&quot;$&quot;* &quot;-&quot;??_);_(@_)">
                  <c:v>4.7699999999999996</c:v>
                </c:pt>
                <c:pt idx="13" formatCode="_(&quot;$&quot;* #,##0.00_);_(&quot;$&quot;* \(#,##0.00\);_(&quot;$&quot;* &quot;-&quot;??_);_(@_)">
                  <c:v>4.63</c:v>
                </c:pt>
                <c:pt idx="14" formatCode="_(&quot;$&quot;* #,##0.00_);_(&quot;$&quot;* \(#,##0.00\);_(&quot;$&quot;* &quot;-&quot;??_);_(@_)">
                  <c:v>4.32</c:v>
                </c:pt>
                <c:pt idx="15" formatCode="_(&quot;$&quot;* #,##0.00_);_(&quot;$&quot;* \(#,##0.00\);_(&quot;$&quot;* &quot;-&quot;??_);_(@_)">
                  <c:v>4.32</c:v>
                </c:pt>
                <c:pt idx="16" formatCode="_(&quot;$&quot;* #,##0.00_);_(&quot;$&quot;* \(#,##0.00\);_(&quot;$&quot;* &quot;-&quot;??_);_(@_)">
                  <c:v>4.32</c:v>
                </c:pt>
              </c:numCache>
            </c:numRef>
          </c:val>
          <c:smooth val="0"/>
        </c:ser>
        <c:ser>
          <c:idx val="2"/>
          <c:order val="2"/>
          <c:tx>
            <c:v>13-057-07 Forecast</c:v>
          </c:tx>
          <c:spPr>
            <a:ln>
              <a:solidFill>
                <a:schemeClr val="accent4"/>
              </a:solidFill>
            </a:ln>
          </c:spPr>
          <c:marker>
            <c:symbol val="none"/>
          </c:marker>
          <c:cat>
            <c:numRef>
              <c:f>'Price Graph'!$BS$4:$CU$4</c:f>
              <c:numCache>
                <c:formatCode>mmm\-yy</c:formatCode>
                <c:ptCount val="29"/>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numCache>
            </c:numRef>
          </c:cat>
          <c:val>
            <c:numRef>
              <c:f>('Price Graph'!$BS$14:$CM$14,'Price Graph'!$CN$13:$CU$13)</c:f>
              <c:numCache>
                <c:formatCode>[$-409]mmmm\-yy;@</c:formatCode>
                <c:ptCount val="29"/>
                <c:pt idx="8" formatCode="_(&quot;$&quot;* #,##0.00_);_(&quot;$&quot;* \(#,##0.00\);_(&quot;$&quot;* &quot;-&quot;??_);_(@_)">
                  <c:v>3.29</c:v>
                </c:pt>
                <c:pt idx="9" formatCode="_(&quot;$&quot;* #,##0.00_);_(&quot;$&quot;* \(#,##0.00\);_(&quot;$&quot;* &quot;-&quot;??_);_(@_)">
                  <c:v>3.26</c:v>
                </c:pt>
                <c:pt idx="10" formatCode="_(&quot;$&quot;* #,##0.00_);_(&quot;$&quot;* \(#,##0.00\);_(&quot;$&quot;* &quot;-&quot;??_);_(@_)">
                  <c:v>3.56</c:v>
                </c:pt>
                <c:pt idx="11" formatCode="_(&quot;$&quot;* #,##0.00_);_(&quot;$&quot;* \(#,##0.00\);_(&quot;$&quot;* &quot;-&quot;??_);_(@_)">
                  <c:v>3.77</c:v>
                </c:pt>
                <c:pt idx="12" formatCode="_(&quot;$&quot;* #,##0.00_);_(&quot;$&quot;* \(#,##0.00\);_(&quot;$&quot;* &quot;-&quot;??_);_(@_)">
                  <c:v>3.8</c:v>
                </c:pt>
                <c:pt idx="13" formatCode="_(&quot;$&quot;* #,##0.00_);_(&quot;$&quot;* \(#,##0.00\);_(&quot;$&quot;* &quot;-&quot;??_);_(@_)">
                  <c:v>3.7</c:v>
                </c:pt>
                <c:pt idx="14" formatCode="_(&quot;$&quot;* #,##0.00_);_(&quot;$&quot;* \(#,##0.00\);_(&quot;$&quot;* &quot;-&quot;??_);_(@_)">
                  <c:v>3.67</c:v>
                </c:pt>
                <c:pt idx="15" formatCode="_(&quot;$&quot;* #,##0.00_);_(&quot;$&quot;* \(#,##0.00\);_(&quot;$&quot;* &quot;-&quot;??_);_(@_)">
                  <c:v>3.63</c:v>
                </c:pt>
                <c:pt idx="16" formatCode="_(&quot;$&quot;* #,##0.00_);_(&quot;$&quot;* \(#,##0.00\);_(&quot;$&quot;* &quot;-&quot;??_);_(@_)">
                  <c:v>3.58</c:v>
                </c:pt>
                <c:pt idx="17" formatCode="_(&quot;$&quot;* #,##0.00_);_(&quot;$&quot;* \(#,##0.00\);_(&quot;$&quot;* &quot;-&quot;??_);_(@_)">
                  <c:v>3.56</c:v>
                </c:pt>
                <c:pt idx="18" formatCode="_(&quot;$&quot;* #,##0.00_);_(&quot;$&quot;* \(#,##0.00\);_(&quot;$&quot;* &quot;-&quot;??_);_(@_)">
                  <c:v>3.67</c:v>
                </c:pt>
                <c:pt idx="19" formatCode="_(&quot;$&quot;* #,##0.00_);_(&quot;$&quot;* \(#,##0.00\);_(&quot;$&quot;* &quot;-&quot;??_);_(@_)">
                  <c:v>3.68</c:v>
                </c:pt>
                <c:pt idx="20" formatCode="_(&quot;$&quot;* #,##0.00_);_(&quot;$&quot;* \(#,##0.00\);_(&quot;$&quot;* &quot;-&quot;??_);_(@_)">
                  <c:v>3.74</c:v>
                </c:pt>
              </c:numCache>
            </c:numRef>
          </c:val>
          <c:smooth val="0"/>
        </c:ser>
        <c:ser>
          <c:idx val="3"/>
          <c:order val="3"/>
          <c:tx>
            <c:v>14-057-07 Forecast</c:v>
          </c:tx>
          <c:spPr>
            <a:ln>
              <a:solidFill>
                <a:schemeClr val="accent3"/>
              </a:solidFill>
            </a:ln>
          </c:spPr>
          <c:marker>
            <c:symbol val="none"/>
          </c:marker>
          <c:cat>
            <c:numRef>
              <c:f>'Price Graph'!$BS$4:$CU$4</c:f>
              <c:numCache>
                <c:formatCode>mmm\-yy</c:formatCode>
                <c:ptCount val="29"/>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numCache>
            </c:numRef>
          </c:cat>
          <c:val>
            <c:numRef>
              <c:f>('Price Graph'!$BS$14:$BZ$14,'Price Graph'!$CA$17:$CH$17,'Price Graph'!$CI$18:$CU$18)</c:f>
              <c:numCache>
                <c:formatCode>[$-409]mmmm\-yy;@</c:formatCode>
                <c:ptCount val="29"/>
                <c:pt idx="16" formatCode="_(&quot;$&quot;* #,##0.00_);_(&quot;$&quot;* \(#,##0.00\);_(&quot;$&quot;* &quot;-&quot;??_);_(@_)">
                  <c:v>4.8099999999999996</c:v>
                </c:pt>
                <c:pt idx="17" formatCode="_(&quot;$&quot;* #,##0.00_);_(&quot;$&quot;* \(#,##0.00\);_(&quot;$&quot;* &quot;-&quot;??_);_(@_)">
                  <c:v>4.6900000000000004</c:v>
                </c:pt>
                <c:pt idx="18" formatCode="_(&quot;$&quot;* #,##0.00_);_(&quot;$&quot;* \(#,##0.00\);_(&quot;$&quot;* &quot;-&quot;??_);_(@_)">
                  <c:v>4.91</c:v>
                </c:pt>
                <c:pt idx="19" formatCode="_(&quot;$&quot;* #,##0.00_);_(&quot;$&quot;* \(#,##0.00\);_(&quot;$&quot;* &quot;-&quot;??_);_(@_)">
                  <c:v>4.82</c:v>
                </c:pt>
                <c:pt idx="20" formatCode="_(&quot;$&quot;* #,##0.00_);_(&quot;$&quot;* \(#,##0.00\);_(&quot;$&quot;* &quot;-&quot;??_);_(@_)">
                  <c:v>4.72</c:v>
                </c:pt>
                <c:pt idx="21" formatCode="_(&quot;$&quot;* #,##0.00_);_(&quot;$&quot;* \(#,##0.00\);_(&quot;$&quot;* &quot;-&quot;??_);_(@_)">
                  <c:v>4.72</c:v>
                </c:pt>
                <c:pt idx="22" formatCode="_(&quot;$&quot;* #,##0.00_);_(&quot;$&quot;* \(#,##0.00\);_(&quot;$&quot;* &quot;-&quot;??_);_(@_)">
                  <c:v>4.82</c:v>
                </c:pt>
                <c:pt idx="23" formatCode="_(&quot;$&quot;* #,##0.00_);_(&quot;$&quot;* \(#,##0.00\);_(&quot;$&quot;* &quot;-&quot;??_);_(@_)">
                  <c:v>4.97</c:v>
                </c:pt>
                <c:pt idx="24" formatCode="_(&quot;$&quot;* #,##0.00_);_(&quot;$&quot;* \(#,##0.00\);_(&quot;$&quot;* &quot;-&quot;??_);_(@_)">
                  <c:v>4.88</c:v>
                </c:pt>
                <c:pt idx="25" formatCode="_(&quot;$&quot;* #,##0.00_);_(&quot;$&quot;* \(#,##0.00\);_(&quot;$&quot;* &quot;-&quot;??_);_(@_)">
                  <c:v>4.78</c:v>
                </c:pt>
                <c:pt idx="26" formatCode="_(&quot;$&quot;* #,##0.00_);_(&quot;$&quot;* \(#,##0.00\);_(&quot;$&quot;* &quot;-&quot;??_);_(@_)">
                  <c:v>4.53</c:v>
                </c:pt>
                <c:pt idx="27" formatCode="_(&quot;$&quot;* #,##0.00_);_(&quot;$&quot;* \(#,##0.00\);_(&quot;$&quot;* &quot;-&quot;??_);_(@_)">
                  <c:v>4.18</c:v>
                </c:pt>
                <c:pt idx="28" formatCode="_(&quot;$&quot;* #,##0.00_);_(&quot;$&quot;* \(#,##0.00\);_(&quot;$&quot;* &quot;-&quot;??_);_(@_)">
                  <c:v>4.0599999999999996</c:v>
                </c:pt>
              </c:numCache>
            </c:numRef>
          </c:val>
          <c:smooth val="0"/>
        </c:ser>
        <c:dLbls>
          <c:showLegendKey val="0"/>
          <c:showVal val="0"/>
          <c:showCatName val="0"/>
          <c:showSerName val="0"/>
          <c:showPercent val="0"/>
          <c:showBubbleSize val="0"/>
        </c:dLbls>
        <c:smooth val="0"/>
        <c:axId val="206381296"/>
        <c:axId val="206381688"/>
      </c:lineChart>
      <c:dateAx>
        <c:axId val="206381296"/>
        <c:scaling>
          <c:orientation val="minMax"/>
        </c:scaling>
        <c:delete val="0"/>
        <c:axPos val="b"/>
        <c:numFmt formatCode="mmm\-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6381688"/>
        <c:crosses val="autoZero"/>
        <c:auto val="1"/>
        <c:lblOffset val="100"/>
        <c:baseTimeUnit val="months"/>
      </c:dateAx>
      <c:valAx>
        <c:axId val="206381688"/>
        <c:scaling>
          <c:orientation val="minMax"/>
          <c:max val="5.5"/>
          <c:min val="3"/>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 per Decatherm</a:t>
                </a:r>
              </a:p>
            </c:rich>
          </c:tx>
          <c:overlay val="0"/>
        </c:title>
        <c:numFmt formatCode="\$#,##0.0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6381296"/>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Forecast Price - Opal Market </a:t>
            </a:r>
          </a:p>
        </c:rich>
      </c:tx>
      <c:overlay val="0"/>
    </c:title>
    <c:autoTitleDeleted val="0"/>
    <c:plotArea>
      <c:layout/>
      <c:lineChart>
        <c:grouping val="standard"/>
        <c:varyColors val="0"/>
        <c:ser>
          <c:idx val="0"/>
          <c:order val="0"/>
          <c:tx>
            <c:strRef>
              <c:f>'Price Graph'!$AC$11</c:f>
              <c:strCache>
                <c:ptCount val="1"/>
                <c:pt idx="0">
                  <c:v>CERA</c:v>
                </c:pt>
              </c:strCache>
            </c:strRef>
          </c:tx>
          <c:marker>
            <c:symbol val="none"/>
          </c:marker>
          <c:cat>
            <c:numRef>
              <c:f>'Price Graph'!$CI$15:$CU$15</c:f>
              <c:numCache>
                <c:formatCode>mmm\-yy</c:formatCode>
                <c:ptCount val="13"/>
                <c:pt idx="0">
                  <c:v>41760</c:v>
                </c:pt>
                <c:pt idx="1">
                  <c:v>41791</c:v>
                </c:pt>
                <c:pt idx="2">
                  <c:v>41821</c:v>
                </c:pt>
                <c:pt idx="3">
                  <c:v>41852</c:v>
                </c:pt>
                <c:pt idx="4">
                  <c:v>41883</c:v>
                </c:pt>
                <c:pt idx="5">
                  <c:v>41913</c:v>
                </c:pt>
                <c:pt idx="6">
                  <c:v>41944</c:v>
                </c:pt>
                <c:pt idx="7">
                  <c:v>41974</c:v>
                </c:pt>
                <c:pt idx="8">
                  <c:v>42005</c:v>
                </c:pt>
                <c:pt idx="9">
                  <c:v>42036</c:v>
                </c:pt>
                <c:pt idx="10">
                  <c:v>42064</c:v>
                </c:pt>
                <c:pt idx="11">
                  <c:v>42095</c:v>
                </c:pt>
                <c:pt idx="12">
                  <c:v>42125</c:v>
                </c:pt>
              </c:numCache>
            </c:numRef>
          </c:cat>
          <c:val>
            <c:numRef>
              <c:f>'Price Graph'!$CI$16:$CU$16</c:f>
              <c:numCache>
                <c:formatCode>_("$"* #,##0.00_);_("$"* \(#,##0.00\);_("$"* "-"??_);_(@_)</c:formatCode>
                <c:ptCount val="13"/>
                <c:pt idx="0">
                  <c:v>4.96</c:v>
                </c:pt>
                <c:pt idx="1">
                  <c:v>4.7699999999999996</c:v>
                </c:pt>
                <c:pt idx="2">
                  <c:v>5.09</c:v>
                </c:pt>
                <c:pt idx="3">
                  <c:v>4.9000000000000004</c:v>
                </c:pt>
                <c:pt idx="4">
                  <c:v>4.74</c:v>
                </c:pt>
                <c:pt idx="5">
                  <c:v>4.66</c:v>
                </c:pt>
                <c:pt idx="6">
                  <c:v>4.79</c:v>
                </c:pt>
                <c:pt idx="7">
                  <c:v>4.96</c:v>
                </c:pt>
                <c:pt idx="8">
                  <c:v>4.8600000000000003</c:v>
                </c:pt>
                <c:pt idx="9">
                  <c:v>4.78</c:v>
                </c:pt>
                <c:pt idx="10">
                  <c:v>4.49</c:v>
                </c:pt>
                <c:pt idx="11">
                  <c:v>4.26</c:v>
                </c:pt>
                <c:pt idx="12">
                  <c:v>4.22</c:v>
                </c:pt>
              </c:numCache>
            </c:numRef>
          </c:val>
          <c:smooth val="0"/>
        </c:ser>
        <c:ser>
          <c:idx val="1"/>
          <c:order val="1"/>
          <c:tx>
            <c:strRef>
              <c:f>'Price Graph'!$AC$12</c:f>
              <c:strCache>
                <c:ptCount val="1"/>
                <c:pt idx="0">
                  <c:v>PIRA</c:v>
                </c:pt>
              </c:strCache>
            </c:strRef>
          </c:tx>
          <c:marker>
            <c:symbol val="none"/>
          </c:marker>
          <c:cat>
            <c:numRef>
              <c:f>'Price Graph'!$CI$15:$CU$15</c:f>
              <c:numCache>
                <c:formatCode>mmm\-yy</c:formatCode>
                <c:ptCount val="13"/>
                <c:pt idx="0">
                  <c:v>41760</c:v>
                </c:pt>
                <c:pt idx="1">
                  <c:v>41791</c:v>
                </c:pt>
                <c:pt idx="2">
                  <c:v>41821</c:v>
                </c:pt>
                <c:pt idx="3">
                  <c:v>41852</c:v>
                </c:pt>
                <c:pt idx="4">
                  <c:v>41883</c:v>
                </c:pt>
                <c:pt idx="5">
                  <c:v>41913</c:v>
                </c:pt>
                <c:pt idx="6">
                  <c:v>41944</c:v>
                </c:pt>
                <c:pt idx="7">
                  <c:v>41974</c:v>
                </c:pt>
                <c:pt idx="8">
                  <c:v>42005</c:v>
                </c:pt>
                <c:pt idx="9">
                  <c:v>42036</c:v>
                </c:pt>
                <c:pt idx="10">
                  <c:v>42064</c:v>
                </c:pt>
                <c:pt idx="11">
                  <c:v>42095</c:v>
                </c:pt>
                <c:pt idx="12">
                  <c:v>42125</c:v>
                </c:pt>
              </c:numCache>
            </c:numRef>
          </c:cat>
          <c:val>
            <c:numRef>
              <c:f>'Price Graph'!$CI$17:$CU$17</c:f>
              <c:numCache>
                <c:formatCode>_("$"* #,##0.00_);_("$"* \(#,##0.00\);_("$"* "-"??_);_(@_)</c:formatCode>
                <c:ptCount val="13"/>
                <c:pt idx="0">
                  <c:v>4.66</c:v>
                </c:pt>
                <c:pt idx="1">
                  <c:v>4.6100000000000003</c:v>
                </c:pt>
                <c:pt idx="2">
                  <c:v>4.72</c:v>
                </c:pt>
                <c:pt idx="3">
                  <c:v>4.7300000000000004</c:v>
                </c:pt>
                <c:pt idx="4">
                  <c:v>4.7</c:v>
                </c:pt>
                <c:pt idx="5">
                  <c:v>4.78</c:v>
                </c:pt>
                <c:pt idx="6">
                  <c:v>4.8499999999999996</c:v>
                </c:pt>
                <c:pt idx="7">
                  <c:v>4.97</c:v>
                </c:pt>
                <c:pt idx="8">
                  <c:v>4.8899999999999997</c:v>
                </c:pt>
                <c:pt idx="9">
                  <c:v>4.78</c:v>
                </c:pt>
                <c:pt idx="10">
                  <c:v>4.5599999999999996</c:v>
                </c:pt>
                <c:pt idx="11">
                  <c:v>4.09</c:v>
                </c:pt>
                <c:pt idx="12">
                  <c:v>3.89</c:v>
                </c:pt>
              </c:numCache>
            </c:numRef>
          </c:val>
          <c:smooth val="0"/>
        </c:ser>
        <c:ser>
          <c:idx val="2"/>
          <c:order val="2"/>
          <c:tx>
            <c:strRef>
              <c:f>'Price Graph'!$AC$13</c:f>
              <c:strCache>
                <c:ptCount val="1"/>
                <c:pt idx="0">
                  <c:v>Average</c:v>
                </c:pt>
              </c:strCache>
            </c:strRef>
          </c:tx>
          <c:marker>
            <c:symbol val="none"/>
          </c:marker>
          <c:cat>
            <c:numRef>
              <c:f>'Price Graph'!$CI$15:$CU$15</c:f>
              <c:numCache>
                <c:formatCode>mmm\-yy</c:formatCode>
                <c:ptCount val="13"/>
                <c:pt idx="0">
                  <c:v>41760</c:v>
                </c:pt>
                <c:pt idx="1">
                  <c:v>41791</c:v>
                </c:pt>
                <c:pt idx="2">
                  <c:v>41821</c:v>
                </c:pt>
                <c:pt idx="3">
                  <c:v>41852</c:v>
                </c:pt>
                <c:pt idx="4">
                  <c:v>41883</c:v>
                </c:pt>
                <c:pt idx="5">
                  <c:v>41913</c:v>
                </c:pt>
                <c:pt idx="6">
                  <c:v>41944</c:v>
                </c:pt>
                <c:pt idx="7">
                  <c:v>41974</c:v>
                </c:pt>
                <c:pt idx="8">
                  <c:v>42005</c:v>
                </c:pt>
                <c:pt idx="9">
                  <c:v>42036</c:v>
                </c:pt>
                <c:pt idx="10">
                  <c:v>42064</c:v>
                </c:pt>
                <c:pt idx="11">
                  <c:v>42095</c:v>
                </c:pt>
                <c:pt idx="12">
                  <c:v>42125</c:v>
                </c:pt>
              </c:numCache>
            </c:numRef>
          </c:cat>
          <c:val>
            <c:numRef>
              <c:f>'Price Graph'!$CI$18:$CU$18</c:f>
              <c:numCache>
                <c:formatCode>_("$"* #,##0.00_);_("$"* \(#,##0.00\);_("$"* "-"??_);_(@_)</c:formatCode>
                <c:ptCount val="13"/>
                <c:pt idx="0">
                  <c:v>4.8099999999999996</c:v>
                </c:pt>
                <c:pt idx="1">
                  <c:v>4.6900000000000004</c:v>
                </c:pt>
                <c:pt idx="2">
                  <c:v>4.91</c:v>
                </c:pt>
                <c:pt idx="3">
                  <c:v>4.82</c:v>
                </c:pt>
                <c:pt idx="4">
                  <c:v>4.72</c:v>
                </c:pt>
                <c:pt idx="5">
                  <c:v>4.72</c:v>
                </c:pt>
                <c:pt idx="6">
                  <c:v>4.82</c:v>
                </c:pt>
                <c:pt idx="7">
                  <c:v>4.97</c:v>
                </c:pt>
                <c:pt idx="8">
                  <c:v>4.88</c:v>
                </c:pt>
                <c:pt idx="9">
                  <c:v>4.78</c:v>
                </c:pt>
                <c:pt idx="10">
                  <c:v>4.53</c:v>
                </c:pt>
                <c:pt idx="11">
                  <c:v>4.18</c:v>
                </c:pt>
                <c:pt idx="12">
                  <c:v>4.0599999999999996</c:v>
                </c:pt>
              </c:numCache>
            </c:numRef>
          </c:val>
          <c:smooth val="0"/>
        </c:ser>
        <c:dLbls>
          <c:showLegendKey val="0"/>
          <c:showVal val="0"/>
          <c:showCatName val="0"/>
          <c:showSerName val="0"/>
          <c:showPercent val="0"/>
          <c:showBubbleSize val="0"/>
        </c:dLbls>
        <c:smooth val="0"/>
        <c:axId val="206384432"/>
        <c:axId val="206384824"/>
      </c:lineChart>
      <c:dateAx>
        <c:axId val="206384432"/>
        <c:scaling>
          <c:orientation val="minMax"/>
        </c:scaling>
        <c:delete val="0"/>
        <c:axPos val="b"/>
        <c:numFmt formatCode="mmm\-yy"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6384824"/>
        <c:crosses val="autoZero"/>
        <c:auto val="1"/>
        <c:lblOffset val="100"/>
        <c:baseTimeUnit val="months"/>
        <c:majorUnit val="2"/>
        <c:majorTimeUnit val="months"/>
      </c:dateAx>
      <c:valAx>
        <c:axId val="206384824"/>
        <c:scaling>
          <c:orientation val="minMax"/>
          <c:max val="5.5"/>
          <c:min val="3"/>
        </c:scaling>
        <c:delete val="0"/>
        <c:axPos val="l"/>
        <c:majorGridlines/>
        <c:title>
          <c:tx>
            <c:rich>
              <a:bodyPr rot="-5400000" vert="horz"/>
              <a:lstStyle/>
              <a:p>
                <a:pPr>
                  <a:defRPr b="1"/>
                </a:pPr>
                <a:r>
                  <a:rPr lang="en-US" b="1"/>
                  <a:t>$ per Decatherm</a:t>
                </a:r>
              </a:p>
            </c:rich>
          </c:tx>
          <c:overlay val="0"/>
        </c:title>
        <c:numFmt formatCode="_(&quot;$&quot;* #,##0.00_);_(&quot;$&quot;* \(#,##0.00\);_(&quot;$&quot;* &quot;-&quot;??_);_(@_)"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206384432"/>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Rockies Gas Price Comparison</a:t>
            </a:r>
          </a:p>
        </c:rich>
      </c:tx>
      <c:layout>
        <c:manualLayout>
          <c:xMode val="edge"/>
          <c:yMode val="edge"/>
          <c:x val="0.33287133681933495"/>
          <c:y val="3.2432432432432441E-2"/>
        </c:manualLayout>
      </c:layout>
      <c:overlay val="0"/>
      <c:spPr>
        <a:noFill/>
        <a:ln w="25400">
          <a:noFill/>
        </a:ln>
      </c:spPr>
    </c:title>
    <c:autoTitleDeleted val="0"/>
    <c:plotArea>
      <c:layout>
        <c:manualLayout>
          <c:layoutTarget val="inner"/>
          <c:xMode val="edge"/>
          <c:yMode val="edge"/>
          <c:x val="9.5607355770748706E-2"/>
          <c:y val="0.19189214512793817"/>
          <c:w val="0.65245560357064736"/>
          <c:h val="0.61891973569433678"/>
        </c:manualLayout>
      </c:layout>
      <c:lineChart>
        <c:grouping val="standard"/>
        <c:varyColors val="0"/>
        <c:ser>
          <c:idx val="0"/>
          <c:order val="0"/>
          <c:tx>
            <c:strRef>
              <c:f>'Purchases Detail 1.2'!$B$467</c:f>
              <c:strCache>
                <c:ptCount val="1"/>
                <c:pt idx="0">
                  <c:v>Forecast Spot Prices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'Purchases Detail 1.2'!$V$466:$BC$466</c:f>
              <c:numCache>
                <c:formatCode>m/d/yy;@</c:formatCode>
                <c:ptCount val="34"/>
                <c:pt idx="0">
                  <c:v>38748</c:v>
                </c:pt>
                <c:pt idx="1">
                  <c:v>38776</c:v>
                </c:pt>
                <c:pt idx="2">
                  <c:v>38807</c:v>
                </c:pt>
                <c:pt idx="3">
                  <c:v>38837</c:v>
                </c:pt>
                <c:pt idx="4">
                  <c:v>38868</c:v>
                </c:pt>
                <c:pt idx="5">
                  <c:v>38898</c:v>
                </c:pt>
                <c:pt idx="6">
                  <c:v>38929</c:v>
                </c:pt>
                <c:pt idx="7">
                  <c:v>38960</c:v>
                </c:pt>
                <c:pt idx="8">
                  <c:v>38990</c:v>
                </c:pt>
                <c:pt idx="9">
                  <c:v>39021</c:v>
                </c:pt>
                <c:pt idx="10">
                  <c:v>39051</c:v>
                </c:pt>
                <c:pt idx="11">
                  <c:v>39082</c:v>
                </c:pt>
                <c:pt idx="12">
                  <c:v>39113</c:v>
                </c:pt>
                <c:pt idx="13">
                  <c:v>39141</c:v>
                </c:pt>
                <c:pt idx="14">
                  <c:v>39172</c:v>
                </c:pt>
                <c:pt idx="15">
                  <c:v>39202</c:v>
                </c:pt>
                <c:pt idx="16">
                  <c:v>39233</c:v>
                </c:pt>
                <c:pt idx="17">
                  <c:v>39263</c:v>
                </c:pt>
                <c:pt idx="18">
                  <c:v>39294</c:v>
                </c:pt>
                <c:pt idx="19">
                  <c:v>39325</c:v>
                </c:pt>
                <c:pt idx="20">
                  <c:v>39355</c:v>
                </c:pt>
                <c:pt idx="21">
                  <c:v>39386</c:v>
                </c:pt>
                <c:pt idx="22">
                  <c:v>39416</c:v>
                </c:pt>
                <c:pt idx="23">
                  <c:v>39447</c:v>
                </c:pt>
                <c:pt idx="24">
                  <c:v>39478</c:v>
                </c:pt>
                <c:pt idx="25">
                  <c:v>39507</c:v>
                </c:pt>
                <c:pt idx="26">
                  <c:v>39538</c:v>
                </c:pt>
                <c:pt idx="27">
                  <c:v>39568</c:v>
                </c:pt>
                <c:pt idx="28">
                  <c:v>39599</c:v>
                </c:pt>
                <c:pt idx="29">
                  <c:v>39629</c:v>
                </c:pt>
                <c:pt idx="30">
                  <c:v>39660</c:v>
                </c:pt>
                <c:pt idx="31">
                  <c:v>39691</c:v>
                </c:pt>
                <c:pt idx="32">
                  <c:v>39721</c:v>
                </c:pt>
                <c:pt idx="33">
                  <c:v>39752</c:v>
                </c:pt>
              </c:numCache>
            </c:numRef>
          </c:cat>
          <c:val>
            <c:numRef>
              <c:f>'Purchases Detail 1.2'!$V$467:$BC$467</c:f>
              <c:numCache>
                <c:formatCode>_("$"* #,##0.00_);_("$"* \(#,##0.00\);_("$"* "-"??_);_(@_)</c:formatCode>
                <c:ptCount val="34"/>
                <c:pt idx="0">
                  <c:v>7.3849999999999998</c:v>
                </c:pt>
                <c:pt idx="1">
                  <c:v>6.44</c:v>
                </c:pt>
                <c:pt idx="2">
                  <c:v>5.7486956521739145</c:v>
                </c:pt>
                <c:pt idx="3">
                  <c:v>5.81</c:v>
                </c:pt>
                <c:pt idx="4">
                  <c:v>5.1349999999999998</c:v>
                </c:pt>
                <c:pt idx="5">
                  <c:v>5.34</c:v>
                </c:pt>
                <c:pt idx="6">
                  <c:v>5.43</c:v>
                </c:pt>
                <c:pt idx="7">
                  <c:v>5.89</c:v>
                </c:pt>
                <c:pt idx="8">
                  <c:v>3.6150000000000002</c:v>
                </c:pt>
                <c:pt idx="9">
                  <c:v>3.49</c:v>
                </c:pt>
                <c:pt idx="10">
                  <c:v>5.99</c:v>
                </c:pt>
                <c:pt idx="11">
                  <c:v>6.85</c:v>
                </c:pt>
                <c:pt idx="12">
                  <c:v>7.38</c:v>
                </c:pt>
                <c:pt idx="13">
                  <c:v>7.24</c:v>
                </c:pt>
                <c:pt idx="14">
                  <c:v>7.29</c:v>
                </c:pt>
                <c:pt idx="15">
                  <c:v>7.13</c:v>
                </c:pt>
                <c:pt idx="16">
                  <c:v>6.5</c:v>
                </c:pt>
                <c:pt idx="17">
                  <c:v>6.55</c:v>
                </c:pt>
                <c:pt idx="18">
                  <c:v>6.7</c:v>
                </c:pt>
                <c:pt idx="19">
                  <c:v>6.65</c:v>
                </c:pt>
                <c:pt idx="20">
                  <c:v>6.89</c:v>
                </c:pt>
                <c:pt idx="21">
                  <c:v>7.71</c:v>
                </c:pt>
                <c:pt idx="22">
                  <c:v>3.97</c:v>
                </c:pt>
                <c:pt idx="23">
                  <c:v>5.24</c:v>
                </c:pt>
                <c:pt idx="24">
                  <c:v>5.43</c:v>
                </c:pt>
                <c:pt idx="25">
                  <c:v>5.39</c:v>
                </c:pt>
                <c:pt idx="26">
                  <c:v>5.77</c:v>
                </c:pt>
                <c:pt idx="27">
                  <c:v>5.9</c:v>
                </c:pt>
                <c:pt idx="28">
                  <c:v>5.55</c:v>
                </c:pt>
                <c:pt idx="29">
                  <c:v>5.42</c:v>
                </c:pt>
                <c:pt idx="30">
                  <c:v>5.55</c:v>
                </c:pt>
                <c:pt idx="31">
                  <c:v>5.39</c:v>
                </c:pt>
                <c:pt idx="32">
                  <c:v>4.93</c:v>
                </c:pt>
                <c:pt idx="33">
                  <c:v>5.07</c:v>
                </c:pt>
              </c:numCache>
            </c:numRef>
          </c:val>
          <c:smooth val="0"/>
        </c:ser>
        <c:ser>
          <c:idx val="1"/>
          <c:order val="1"/>
          <c:tx>
            <c:strRef>
              <c:f>'Purchases Detail 1.2'!$B$468</c:f>
              <c:strCache>
                <c:ptCount val="1"/>
                <c:pt idx="0">
                  <c:v>First of Month Price</c:v>
                </c:pt>
              </c:strCache>
            </c:strRef>
          </c:tx>
          <c:spPr>
            <a:ln w="12700">
              <a:solidFill>
                <a:srgbClr val="FF0000"/>
              </a:solidFill>
              <a:prstDash val="solid"/>
            </a:ln>
          </c:spPr>
          <c:marker>
            <c:symbol val="square"/>
            <c:size val="5"/>
            <c:spPr>
              <a:solidFill>
                <a:srgbClr val="FF0000"/>
              </a:solidFill>
              <a:ln>
                <a:solidFill>
                  <a:srgbClr val="FF0000"/>
                </a:solidFill>
                <a:prstDash val="solid"/>
              </a:ln>
            </c:spPr>
          </c:marker>
          <c:cat>
            <c:numRef>
              <c:f>'Purchases Detail 1.2'!$V$466:$BC$466</c:f>
              <c:numCache>
                <c:formatCode>m/d/yy;@</c:formatCode>
                <c:ptCount val="34"/>
                <c:pt idx="0">
                  <c:v>38748</c:v>
                </c:pt>
                <c:pt idx="1">
                  <c:v>38776</c:v>
                </c:pt>
                <c:pt idx="2">
                  <c:v>38807</c:v>
                </c:pt>
                <c:pt idx="3">
                  <c:v>38837</c:v>
                </c:pt>
                <c:pt idx="4">
                  <c:v>38868</c:v>
                </c:pt>
                <c:pt idx="5">
                  <c:v>38898</c:v>
                </c:pt>
                <c:pt idx="6">
                  <c:v>38929</c:v>
                </c:pt>
                <c:pt idx="7">
                  <c:v>38960</c:v>
                </c:pt>
                <c:pt idx="8">
                  <c:v>38990</c:v>
                </c:pt>
                <c:pt idx="9">
                  <c:v>39021</c:v>
                </c:pt>
                <c:pt idx="10">
                  <c:v>39051</c:v>
                </c:pt>
                <c:pt idx="11">
                  <c:v>39082</c:v>
                </c:pt>
                <c:pt idx="12">
                  <c:v>39113</c:v>
                </c:pt>
                <c:pt idx="13">
                  <c:v>39141</c:v>
                </c:pt>
                <c:pt idx="14">
                  <c:v>39172</c:v>
                </c:pt>
                <c:pt idx="15">
                  <c:v>39202</c:v>
                </c:pt>
                <c:pt idx="16">
                  <c:v>39233</c:v>
                </c:pt>
                <c:pt idx="17">
                  <c:v>39263</c:v>
                </c:pt>
                <c:pt idx="18">
                  <c:v>39294</c:v>
                </c:pt>
                <c:pt idx="19">
                  <c:v>39325</c:v>
                </c:pt>
                <c:pt idx="20">
                  <c:v>39355</c:v>
                </c:pt>
                <c:pt idx="21">
                  <c:v>39386</c:v>
                </c:pt>
                <c:pt idx="22">
                  <c:v>39416</c:v>
                </c:pt>
                <c:pt idx="23">
                  <c:v>39447</c:v>
                </c:pt>
                <c:pt idx="24">
                  <c:v>39478</c:v>
                </c:pt>
                <c:pt idx="25">
                  <c:v>39507</c:v>
                </c:pt>
                <c:pt idx="26">
                  <c:v>39538</c:v>
                </c:pt>
                <c:pt idx="27">
                  <c:v>39568</c:v>
                </c:pt>
                <c:pt idx="28">
                  <c:v>39599</c:v>
                </c:pt>
                <c:pt idx="29">
                  <c:v>39629</c:v>
                </c:pt>
                <c:pt idx="30">
                  <c:v>39660</c:v>
                </c:pt>
                <c:pt idx="31">
                  <c:v>39691</c:v>
                </c:pt>
                <c:pt idx="32">
                  <c:v>39721</c:v>
                </c:pt>
                <c:pt idx="33">
                  <c:v>39752</c:v>
                </c:pt>
              </c:numCache>
            </c:numRef>
          </c:cat>
          <c:val>
            <c:numRef>
              <c:f>'Purchases Detail 1.2'!$V$468:$BC$468</c:f>
              <c:numCache>
                <c:formatCode>_("$"* #,##0.00_);_("$"* \(#,##0.00\);_("$"* "-"??_);_(@_)</c:formatCode>
                <c:ptCount val="34"/>
                <c:pt idx="0">
                  <c:v>8.7799999999999994</c:v>
                </c:pt>
                <c:pt idx="1">
                  <c:v>6.39</c:v>
                </c:pt>
                <c:pt idx="2">
                  <c:v>5.81</c:v>
                </c:pt>
                <c:pt idx="3">
                  <c:v>5.32</c:v>
                </c:pt>
                <c:pt idx="4">
                  <c:v>5.39</c:v>
                </c:pt>
                <c:pt idx="5">
                  <c:v>4.53</c:v>
                </c:pt>
                <c:pt idx="6">
                  <c:v>4.75</c:v>
                </c:pt>
                <c:pt idx="7">
                  <c:v>5.5</c:v>
                </c:pt>
                <c:pt idx="8">
                  <c:v>4.12</c:v>
                </c:pt>
                <c:pt idx="9">
                  <c:v>2.42</c:v>
                </c:pt>
                <c:pt idx="10">
                  <c:v>5.8</c:v>
                </c:pt>
                <c:pt idx="11">
                  <c:v>5.54</c:v>
                </c:pt>
                <c:pt idx="12">
                  <c:v>3.71</c:v>
                </c:pt>
                <c:pt idx="13">
                  <c:v>6</c:v>
                </c:pt>
                <c:pt idx="14">
                  <c:v>5.79</c:v>
                </c:pt>
                <c:pt idx="15">
                  <c:v>3.1</c:v>
                </c:pt>
                <c:pt idx="16">
                  <c:v>4.34</c:v>
                </c:pt>
                <c:pt idx="17">
                  <c:v>2.82</c:v>
                </c:pt>
                <c:pt idx="18">
                  <c:v>3.05</c:v>
                </c:pt>
                <c:pt idx="19">
                  <c:v>2.78</c:v>
                </c:pt>
                <c:pt idx="20">
                  <c:v>2</c:v>
                </c:pt>
                <c:pt idx="21">
                  <c:v>1.36</c:v>
                </c:pt>
              </c:numCache>
            </c:numRef>
          </c:val>
          <c:smooth val="0"/>
        </c:ser>
        <c:ser>
          <c:idx val="2"/>
          <c:order val="2"/>
          <c:tx>
            <c:strRef>
              <c:f>'Purchases Detail 1.2'!$B$469</c:f>
              <c:strCache>
                <c:ptCount val="1"/>
                <c:pt idx="0">
                  <c:v>GS Commodity Rate </c:v>
                </c:pt>
              </c:strCache>
            </c:strRef>
          </c:tx>
          <c:spPr>
            <a:ln w="12700">
              <a:solidFill>
                <a:srgbClr val="00FF00"/>
              </a:solidFill>
              <a:prstDash val="solid"/>
            </a:ln>
          </c:spPr>
          <c:marker>
            <c:symbol val="triangle"/>
            <c:size val="5"/>
            <c:spPr>
              <a:solidFill>
                <a:srgbClr val="00FF00"/>
              </a:solidFill>
              <a:ln>
                <a:solidFill>
                  <a:srgbClr val="00FF00"/>
                </a:solidFill>
                <a:prstDash val="solid"/>
              </a:ln>
            </c:spPr>
          </c:marker>
          <c:cat>
            <c:numRef>
              <c:f>'Purchases Detail 1.2'!$V$466:$BC$466</c:f>
              <c:numCache>
                <c:formatCode>m/d/yy;@</c:formatCode>
                <c:ptCount val="34"/>
                <c:pt idx="0">
                  <c:v>38748</c:v>
                </c:pt>
                <c:pt idx="1">
                  <c:v>38776</c:v>
                </c:pt>
                <c:pt idx="2">
                  <c:v>38807</c:v>
                </c:pt>
                <c:pt idx="3">
                  <c:v>38837</c:v>
                </c:pt>
                <c:pt idx="4">
                  <c:v>38868</c:v>
                </c:pt>
                <c:pt idx="5">
                  <c:v>38898</c:v>
                </c:pt>
                <c:pt idx="6">
                  <c:v>38929</c:v>
                </c:pt>
                <c:pt idx="7">
                  <c:v>38960</c:v>
                </c:pt>
                <c:pt idx="8">
                  <c:v>38990</c:v>
                </c:pt>
                <c:pt idx="9">
                  <c:v>39021</c:v>
                </c:pt>
                <c:pt idx="10">
                  <c:v>39051</c:v>
                </c:pt>
                <c:pt idx="11">
                  <c:v>39082</c:v>
                </c:pt>
                <c:pt idx="12">
                  <c:v>39113</c:v>
                </c:pt>
                <c:pt idx="13">
                  <c:v>39141</c:v>
                </c:pt>
                <c:pt idx="14">
                  <c:v>39172</c:v>
                </c:pt>
                <c:pt idx="15">
                  <c:v>39202</c:v>
                </c:pt>
                <c:pt idx="16">
                  <c:v>39233</c:v>
                </c:pt>
                <c:pt idx="17">
                  <c:v>39263</c:v>
                </c:pt>
                <c:pt idx="18">
                  <c:v>39294</c:v>
                </c:pt>
                <c:pt idx="19">
                  <c:v>39325</c:v>
                </c:pt>
                <c:pt idx="20">
                  <c:v>39355</c:v>
                </c:pt>
                <c:pt idx="21">
                  <c:v>39386</c:v>
                </c:pt>
                <c:pt idx="22">
                  <c:v>39416</c:v>
                </c:pt>
                <c:pt idx="23">
                  <c:v>39447</c:v>
                </c:pt>
                <c:pt idx="24">
                  <c:v>39478</c:v>
                </c:pt>
                <c:pt idx="25">
                  <c:v>39507</c:v>
                </c:pt>
                <c:pt idx="26">
                  <c:v>39538</c:v>
                </c:pt>
                <c:pt idx="27">
                  <c:v>39568</c:v>
                </c:pt>
                <c:pt idx="28">
                  <c:v>39599</c:v>
                </c:pt>
                <c:pt idx="29">
                  <c:v>39629</c:v>
                </c:pt>
                <c:pt idx="30">
                  <c:v>39660</c:v>
                </c:pt>
                <c:pt idx="31">
                  <c:v>39691</c:v>
                </c:pt>
                <c:pt idx="32">
                  <c:v>39721</c:v>
                </c:pt>
                <c:pt idx="33">
                  <c:v>39752</c:v>
                </c:pt>
              </c:numCache>
            </c:numRef>
          </c:cat>
          <c:val>
            <c:numRef>
              <c:f>'Purchases Detail 1.2'!$V$469:$BC$469</c:f>
              <c:numCache>
                <c:formatCode>_("$"* #,##0.00_);_("$"* \(#,##0.00\);_("$"* "-"??_);_(@_)</c:formatCode>
                <c:ptCount val="34"/>
                <c:pt idx="0">
                  <c:v>7.8152400000000002</c:v>
                </c:pt>
                <c:pt idx="1">
                  <c:v>6.92</c:v>
                </c:pt>
                <c:pt idx="2">
                  <c:v>6.92</c:v>
                </c:pt>
                <c:pt idx="3">
                  <c:v>6.53</c:v>
                </c:pt>
                <c:pt idx="4">
                  <c:v>6.53</c:v>
                </c:pt>
                <c:pt idx="5">
                  <c:v>6.53</c:v>
                </c:pt>
                <c:pt idx="6">
                  <c:v>6.53</c:v>
                </c:pt>
                <c:pt idx="7">
                  <c:v>6.53</c:v>
                </c:pt>
                <c:pt idx="8">
                  <c:v>6.53</c:v>
                </c:pt>
                <c:pt idx="9">
                  <c:v>6.53</c:v>
                </c:pt>
                <c:pt idx="10">
                  <c:v>5.3721153573889886</c:v>
                </c:pt>
                <c:pt idx="11">
                  <c:v>5.3721153573889886</c:v>
                </c:pt>
                <c:pt idx="12">
                  <c:v>5.3721153573889886</c:v>
                </c:pt>
                <c:pt idx="13">
                  <c:v>5.3721153573889886</c:v>
                </c:pt>
                <c:pt idx="14">
                  <c:v>5.3721153573889886</c:v>
                </c:pt>
                <c:pt idx="15">
                  <c:v>5.3721153573889886</c:v>
                </c:pt>
                <c:pt idx="16">
                  <c:v>5.3721153573889886</c:v>
                </c:pt>
                <c:pt idx="17">
                  <c:v>5.3721153573889886</c:v>
                </c:pt>
                <c:pt idx="18">
                  <c:v>5.3721153573889886</c:v>
                </c:pt>
                <c:pt idx="19">
                  <c:v>5.3721153573889886</c:v>
                </c:pt>
                <c:pt idx="20">
                  <c:v>5.3721153573889886</c:v>
                </c:pt>
                <c:pt idx="21">
                  <c:v>5.3721153573889886</c:v>
                </c:pt>
                <c:pt idx="22">
                  <c:v>4.8583455783480378</c:v>
                </c:pt>
              </c:numCache>
            </c:numRef>
          </c:val>
          <c:smooth val="0"/>
        </c:ser>
        <c:dLbls>
          <c:showLegendKey val="0"/>
          <c:showVal val="0"/>
          <c:showCatName val="0"/>
          <c:showSerName val="0"/>
          <c:showPercent val="0"/>
          <c:showBubbleSize val="0"/>
        </c:dLbls>
        <c:marker val="1"/>
        <c:smooth val="0"/>
        <c:axId val="206385608"/>
        <c:axId val="206386000"/>
      </c:lineChart>
      <c:dateAx>
        <c:axId val="206385608"/>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206386000"/>
        <c:crosses val="autoZero"/>
        <c:auto val="1"/>
        <c:lblOffset val="100"/>
        <c:baseTimeUnit val="months"/>
        <c:majorUnit val="2"/>
        <c:majorTimeUnit val="months"/>
        <c:minorUnit val="1"/>
        <c:minorTimeUnit val="months"/>
      </c:dateAx>
      <c:valAx>
        <c:axId val="206386000"/>
        <c:scaling>
          <c:orientation val="minMax"/>
        </c:scaling>
        <c:delete val="0"/>
        <c:axPos val="l"/>
        <c:majorGridlines>
          <c:spPr>
            <a:ln w="3175">
              <a:solidFill>
                <a:srgbClr val="000000"/>
              </a:solidFill>
              <a:prstDash val="solid"/>
            </a:ln>
          </c:spPr>
        </c:majorGridlines>
        <c:numFmt formatCode="_(&quot;$&quot;* #,##0.00_);_(&quot;$&quot;* \(#,##0.00\);_(&quot;$&quot;*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206385608"/>
        <c:crosses val="autoZero"/>
        <c:crossBetween val="between"/>
      </c:valAx>
      <c:spPr>
        <a:solidFill>
          <a:srgbClr val="FFFFFF"/>
        </a:solidFill>
        <a:ln w="12700">
          <a:solidFill>
            <a:srgbClr val="FFFFFF"/>
          </a:solidFill>
          <a:prstDash val="solid"/>
        </a:ln>
      </c:spPr>
    </c:plotArea>
    <c:legend>
      <c:legendPos val="r"/>
      <c:layout>
        <c:manualLayout>
          <c:xMode val="edge"/>
          <c:yMode val="edge"/>
          <c:x val="0.7713187789510807"/>
          <c:y val="0.41621678371285448"/>
          <c:w val="0.21059458652939919"/>
          <c:h val="0.17297325672128724"/>
        </c:manualLayout>
      </c:layout>
      <c:overlay val="0"/>
      <c:spPr>
        <a:solidFill>
          <a:srgbClr val="FFFFFF"/>
        </a:solidFill>
        <a:ln w="3175">
          <a:solidFill>
            <a:srgbClr val="000000"/>
          </a:solidFill>
          <a:prstDash val="solid"/>
        </a:ln>
      </c:spPr>
      <c:txPr>
        <a:bodyPr/>
        <a:lstStyle/>
        <a:p>
          <a:pPr>
            <a:defRPr sz="8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Gas Price Voltility</a:t>
            </a:r>
          </a:p>
        </c:rich>
      </c:tx>
      <c:layout>
        <c:manualLayout>
          <c:xMode val="edge"/>
          <c:yMode val="edge"/>
          <c:x val="0.40000060861957482"/>
          <c:y val="3.2432432432432441E-2"/>
        </c:manualLayout>
      </c:layout>
      <c:overlay val="0"/>
      <c:spPr>
        <a:noFill/>
        <a:ln w="25400">
          <a:noFill/>
        </a:ln>
      </c:spPr>
    </c:title>
    <c:autoTitleDeleted val="0"/>
    <c:plotArea>
      <c:layout>
        <c:manualLayout>
          <c:layoutTarget val="inner"/>
          <c:xMode val="edge"/>
          <c:yMode val="edge"/>
          <c:x val="5.9420373953202134E-2"/>
          <c:y val="0.19189214512793817"/>
          <c:w val="0.90434910601945484"/>
          <c:h val="0.54594666642032663"/>
        </c:manualLayout>
      </c:layout>
      <c:lineChart>
        <c:grouping val="standard"/>
        <c:varyColors val="0"/>
        <c:ser>
          <c:idx val="0"/>
          <c:order val="0"/>
          <c:tx>
            <c:strRef>
              <c:f>'Purchases Detail 1.2'!$B$467</c:f>
              <c:strCache>
                <c:ptCount val="1"/>
                <c:pt idx="0">
                  <c:v>Forecast Spot Prices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'Purchases Detail 1.2'!$C$466:$BC$466</c:f>
              <c:numCache>
                <c:formatCode>m/d/yy;@</c:formatCode>
                <c:ptCount val="53"/>
                <c:pt idx="0">
                  <c:v>38168</c:v>
                </c:pt>
                <c:pt idx="1">
                  <c:v>38199</c:v>
                </c:pt>
                <c:pt idx="2">
                  <c:v>38230</c:v>
                </c:pt>
                <c:pt idx="3">
                  <c:v>38260</c:v>
                </c:pt>
                <c:pt idx="4">
                  <c:v>38291</c:v>
                </c:pt>
                <c:pt idx="5">
                  <c:v>38321</c:v>
                </c:pt>
                <c:pt idx="6">
                  <c:v>38352</c:v>
                </c:pt>
                <c:pt idx="7">
                  <c:v>38383</c:v>
                </c:pt>
                <c:pt idx="8">
                  <c:v>38411</c:v>
                </c:pt>
                <c:pt idx="9">
                  <c:v>38442</c:v>
                </c:pt>
                <c:pt idx="10">
                  <c:v>38472</c:v>
                </c:pt>
                <c:pt idx="11">
                  <c:v>38503</c:v>
                </c:pt>
                <c:pt idx="12">
                  <c:v>38533</c:v>
                </c:pt>
                <c:pt idx="13">
                  <c:v>38564</c:v>
                </c:pt>
                <c:pt idx="14">
                  <c:v>38595</c:v>
                </c:pt>
                <c:pt idx="15">
                  <c:v>38625</c:v>
                </c:pt>
                <c:pt idx="16">
                  <c:v>38656</c:v>
                </c:pt>
                <c:pt idx="17">
                  <c:v>38686</c:v>
                </c:pt>
                <c:pt idx="18">
                  <c:v>38717</c:v>
                </c:pt>
                <c:pt idx="19">
                  <c:v>38748</c:v>
                </c:pt>
                <c:pt idx="20">
                  <c:v>38776</c:v>
                </c:pt>
                <c:pt idx="21">
                  <c:v>38807</c:v>
                </c:pt>
                <c:pt idx="22">
                  <c:v>38837</c:v>
                </c:pt>
                <c:pt idx="23">
                  <c:v>38868</c:v>
                </c:pt>
                <c:pt idx="24">
                  <c:v>38898</c:v>
                </c:pt>
                <c:pt idx="25">
                  <c:v>38929</c:v>
                </c:pt>
                <c:pt idx="26">
                  <c:v>38960</c:v>
                </c:pt>
                <c:pt idx="27">
                  <c:v>38990</c:v>
                </c:pt>
                <c:pt idx="28">
                  <c:v>39021</c:v>
                </c:pt>
                <c:pt idx="29">
                  <c:v>39051</c:v>
                </c:pt>
                <c:pt idx="30">
                  <c:v>39082</c:v>
                </c:pt>
                <c:pt idx="31">
                  <c:v>39113</c:v>
                </c:pt>
                <c:pt idx="32">
                  <c:v>39141</c:v>
                </c:pt>
                <c:pt idx="33">
                  <c:v>39172</c:v>
                </c:pt>
                <c:pt idx="34">
                  <c:v>39202</c:v>
                </c:pt>
                <c:pt idx="35">
                  <c:v>39233</c:v>
                </c:pt>
                <c:pt idx="36">
                  <c:v>39263</c:v>
                </c:pt>
                <c:pt idx="37">
                  <c:v>39294</c:v>
                </c:pt>
                <c:pt idx="38">
                  <c:v>39325</c:v>
                </c:pt>
                <c:pt idx="39">
                  <c:v>39355</c:v>
                </c:pt>
                <c:pt idx="40">
                  <c:v>39386</c:v>
                </c:pt>
                <c:pt idx="41">
                  <c:v>39416</c:v>
                </c:pt>
                <c:pt idx="42">
                  <c:v>39447</c:v>
                </c:pt>
                <c:pt idx="43">
                  <c:v>39478</c:v>
                </c:pt>
                <c:pt idx="44">
                  <c:v>39507</c:v>
                </c:pt>
                <c:pt idx="45">
                  <c:v>39538</c:v>
                </c:pt>
                <c:pt idx="46">
                  <c:v>39568</c:v>
                </c:pt>
                <c:pt idx="47">
                  <c:v>39599</c:v>
                </c:pt>
                <c:pt idx="48">
                  <c:v>39629</c:v>
                </c:pt>
                <c:pt idx="49">
                  <c:v>39660</c:v>
                </c:pt>
                <c:pt idx="50">
                  <c:v>39691</c:v>
                </c:pt>
                <c:pt idx="51">
                  <c:v>39721</c:v>
                </c:pt>
                <c:pt idx="52">
                  <c:v>39752</c:v>
                </c:pt>
              </c:numCache>
            </c:numRef>
          </c:cat>
          <c:val>
            <c:numRef>
              <c:f>'Purchases Detail 1.2'!$C$467:$BC$467</c:f>
              <c:numCache>
                <c:formatCode>_("$"* #,##0.0000_);_("$"* \(#,##0.0000\);_("$"* "-"??_);_(@_)</c:formatCode>
                <c:ptCount val="53"/>
                <c:pt idx="0">
                  <c:v>5.3345454545454549</c:v>
                </c:pt>
                <c:pt idx="1">
                  <c:v>5.4133333333333331</c:v>
                </c:pt>
                <c:pt idx="2">
                  <c:v>5.0017391304347827</c:v>
                </c:pt>
                <c:pt idx="3">
                  <c:v>4.5209523809523811</c:v>
                </c:pt>
                <c:pt idx="4">
                  <c:v>5.3547619047619053</c:v>
                </c:pt>
                <c:pt idx="5">
                  <c:v>5.918571428571429</c:v>
                </c:pt>
                <c:pt idx="6">
                  <c:v>6.0418181818181811</c:v>
                </c:pt>
                <c:pt idx="7">
                  <c:v>5.4740000000000002</c:v>
                </c:pt>
                <c:pt idx="8">
                  <c:v>5.5468421052631589</c:v>
                </c:pt>
                <c:pt idx="9">
                  <c:v>6.285909090909092</c:v>
                </c:pt>
                <c:pt idx="10">
                  <c:v>6.4590476190476194</c:v>
                </c:pt>
                <c:pt idx="11">
                  <c:v>5.66409090909091</c:v>
                </c:pt>
                <c:pt idx="12">
                  <c:v>5.964090909090908</c:v>
                </c:pt>
                <c:pt idx="13">
                  <c:v>6.48</c:v>
                </c:pt>
                <c:pt idx="14">
                  <c:v>7.7372727272727255</c:v>
                </c:pt>
                <c:pt idx="15">
                  <c:v>9.4171428571428546</c:v>
                </c:pt>
                <c:pt idx="16">
                  <c:v>10.638095238095238</c:v>
                </c:pt>
                <c:pt idx="17">
                  <c:v>7.5549999999999997</c:v>
                </c:pt>
                <c:pt idx="18">
                  <c:v>11.08</c:v>
                </c:pt>
                <c:pt idx="19" formatCode="_(&quot;$&quot;* #,##0.00_);_(&quot;$&quot;* \(#,##0.00\);_(&quot;$&quot;* &quot;-&quot;??_);_(@_)">
                  <c:v>7.3849999999999998</c:v>
                </c:pt>
                <c:pt idx="20" formatCode="_(&quot;$&quot;* #,##0.00_);_(&quot;$&quot;* \(#,##0.00\);_(&quot;$&quot;* &quot;-&quot;??_);_(@_)">
                  <c:v>6.44</c:v>
                </c:pt>
                <c:pt idx="21" formatCode="_(&quot;$&quot;* #,##0.00_);_(&quot;$&quot;* \(#,##0.00\);_(&quot;$&quot;* &quot;-&quot;??_);_(@_)">
                  <c:v>5.7486956521739145</c:v>
                </c:pt>
                <c:pt idx="22" formatCode="_(&quot;$&quot;* #,##0.00_);_(&quot;$&quot;* \(#,##0.00\);_(&quot;$&quot;* &quot;-&quot;??_);_(@_)">
                  <c:v>5.81</c:v>
                </c:pt>
                <c:pt idx="23" formatCode="_(&quot;$&quot;* #,##0.00_);_(&quot;$&quot;* \(#,##0.00\);_(&quot;$&quot;* &quot;-&quot;??_);_(@_)">
                  <c:v>5.1349999999999998</c:v>
                </c:pt>
                <c:pt idx="24" formatCode="_(&quot;$&quot;* #,##0.00_);_(&quot;$&quot;* \(#,##0.00\);_(&quot;$&quot;* &quot;-&quot;??_);_(@_)">
                  <c:v>5.34</c:v>
                </c:pt>
                <c:pt idx="25" formatCode="_(&quot;$&quot;* #,##0.00_);_(&quot;$&quot;* \(#,##0.00\);_(&quot;$&quot;* &quot;-&quot;??_);_(@_)">
                  <c:v>5.43</c:v>
                </c:pt>
                <c:pt idx="26" formatCode="_(&quot;$&quot;* #,##0.00_);_(&quot;$&quot;* \(#,##0.00\);_(&quot;$&quot;* &quot;-&quot;??_);_(@_)">
                  <c:v>5.89</c:v>
                </c:pt>
                <c:pt idx="27" formatCode="_(&quot;$&quot;* #,##0.00_);_(&quot;$&quot;* \(#,##0.00\);_(&quot;$&quot;* &quot;-&quot;??_);_(@_)">
                  <c:v>3.6150000000000002</c:v>
                </c:pt>
                <c:pt idx="28" formatCode="_(&quot;$&quot;* #,##0.00_);_(&quot;$&quot;* \(#,##0.00\);_(&quot;$&quot;* &quot;-&quot;??_);_(@_)">
                  <c:v>3.49</c:v>
                </c:pt>
                <c:pt idx="29" formatCode="_(&quot;$&quot;* #,##0.00_);_(&quot;$&quot;* \(#,##0.00\);_(&quot;$&quot;* &quot;-&quot;??_);_(@_)">
                  <c:v>5.99</c:v>
                </c:pt>
                <c:pt idx="30" formatCode="_(&quot;$&quot;* #,##0.00_);_(&quot;$&quot;* \(#,##0.00\);_(&quot;$&quot;* &quot;-&quot;??_);_(@_)">
                  <c:v>6.85</c:v>
                </c:pt>
                <c:pt idx="31" formatCode="_(&quot;$&quot;* #,##0.00_);_(&quot;$&quot;* \(#,##0.00\);_(&quot;$&quot;* &quot;-&quot;??_);_(@_)">
                  <c:v>7.38</c:v>
                </c:pt>
                <c:pt idx="32" formatCode="_(&quot;$&quot;* #,##0.00_);_(&quot;$&quot;* \(#,##0.00\);_(&quot;$&quot;* &quot;-&quot;??_);_(@_)">
                  <c:v>7.24</c:v>
                </c:pt>
                <c:pt idx="33" formatCode="_(&quot;$&quot;* #,##0.00_);_(&quot;$&quot;* \(#,##0.00\);_(&quot;$&quot;* &quot;-&quot;??_);_(@_)">
                  <c:v>7.29</c:v>
                </c:pt>
                <c:pt idx="34" formatCode="_(&quot;$&quot;* #,##0.00_);_(&quot;$&quot;* \(#,##0.00\);_(&quot;$&quot;* &quot;-&quot;??_);_(@_)">
                  <c:v>7.13</c:v>
                </c:pt>
                <c:pt idx="35" formatCode="_(&quot;$&quot;* #,##0.00_);_(&quot;$&quot;* \(#,##0.00\);_(&quot;$&quot;* &quot;-&quot;??_);_(@_)">
                  <c:v>6.5</c:v>
                </c:pt>
                <c:pt idx="36" formatCode="_(&quot;$&quot;* #,##0.00_);_(&quot;$&quot;* \(#,##0.00\);_(&quot;$&quot;* &quot;-&quot;??_);_(@_)">
                  <c:v>6.55</c:v>
                </c:pt>
                <c:pt idx="37" formatCode="_(&quot;$&quot;* #,##0.00_);_(&quot;$&quot;* \(#,##0.00\);_(&quot;$&quot;* &quot;-&quot;??_);_(@_)">
                  <c:v>6.7</c:v>
                </c:pt>
                <c:pt idx="38" formatCode="_(&quot;$&quot;* #,##0.00_);_(&quot;$&quot;* \(#,##0.00\);_(&quot;$&quot;* &quot;-&quot;??_);_(@_)">
                  <c:v>6.65</c:v>
                </c:pt>
                <c:pt idx="39" formatCode="_(&quot;$&quot;* #,##0.00_);_(&quot;$&quot;* \(#,##0.00\);_(&quot;$&quot;* &quot;-&quot;??_);_(@_)">
                  <c:v>6.89</c:v>
                </c:pt>
                <c:pt idx="40" formatCode="_(&quot;$&quot;* #,##0.00_);_(&quot;$&quot;* \(#,##0.00\);_(&quot;$&quot;* &quot;-&quot;??_);_(@_)">
                  <c:v>7.71</c:v>
                </c:pt>
                <c:pt idx="41" formatCode="_(&quot;$&quot;* #,##0.00_);_(&quot;$&quot;* \(#,##0.00\);_(&quot;$&quot;* &quot;-&quot;??_);_(@_)">
                  <c:v>3.97</c:v>
                </c:pt>
                <c:pt idx="42" formatCode="_(&quot;$&quot;* #,##0.00_);_(&quot;$&quot;* \(#,##0.00\);_(&quot;$&quot;* &quot;-&quot;??_);_(@_)">
                  <c:v>5.24</c:v>
                </c:pt>
                <c:pt idx="43" formatCode="_(&quot;$&quot;* #,##0.00_);_(&quot;$&quot;* \(#,##0.00\);_(&quot;$&quot;* &quot;-&quot;??_);_(@_)">
                  <c:v>5.43</c:v>
                </c:pt>
                <c:pt idx="44" formatCode="_(&quot;$&quot;* #,##0.00_);_(&quot;$&quot;* \(#,##0.00\);_(&quot;$&quot;* &quot;-&quot;??_);_(@_)">
                  <c:v>5.39</c:v>
                </c:pt>
                <c:pt idx="45" formatCode="_(&quot;$&quot;* #,##0.00_);_(&quot;$&quot;* \(#,##0.00\);_(&quot;$&quot;* &quot;-&quot;??_);_(@_)">
                  <c:v>5.77</c:v>
                </c:pt>
                <c:pt idx="46" formatCode="_(&quot;$&quot;* #,##0.00_);_(&quot;$&quot;* \(#,##0.00\);_(&quot;$&quot;* &quot;-&quot;??_);_(@_)">
                  <c:v>5.9</c:v>
                </c:pt>
                <c:pt idx="47" formatCode="_(&quot;$&quot;* #,##0.00_);_(&quot;$&quot;* \(#,##0.00\);_(&quot;$&quot;* &quot;-&quot;??_);_(@_)">
                  <c:v>5.55</c:v>
                </c:pt>
                <c:pt idx="48" formatCode="_(&quot;$&quot;* #,##0.00_);_(&quot;$&quot;* \(#,##0.00\);_(&quot;$&quot;* &quot;-&quot;??_);_(@_)">
                  <c:v>5.42</c:v>
                </c:pt>
                <c:pt idx="49" formatCode="_(&quot;$&quot;* #,##0.00_);_(&quot;$&quot;* \(#,##0.00\);_(&quot;$&quot;* &quot;-&quot;??_);_(@_)">
                  <c:v>5.55</c:v>
                </c:pt>
                <c:pt idx="50" formatCode="_(&quot;$&quot;* #,##0.00_);_(&quot;$&quot;* \(#,##0.00\);_(&quot;$&quot;* &quot;-&quot;??_);_(@_)">
                  <c:v>5.39</c:v>
                </c:pt>
                <c:pt idx="51" formatCode="_(&quot;$&quot;* #,##0.00_);_(&quot;$&quot;* \(#,##0.00\);_(&quot;$&quot;* &quot;-&quot;??_);_(@_)">
                  <c:v>4.93</c:v>
                </c:pt>
                <c:pt idx="52" formatCode="_(&quot;$&quot;* #,##0.00_);_(&quot;$&quot;* \(#,##0.00\);_(&quot;$&quot;* &quot;-&quot;??_);_(@_)">
                  <c:v>5.07</c:v>
                </c:pt>
              </c:numCache>
            </c:numRef>
          </c:val>
          <c:smooth val="0"/>
        </c:ser>
        <c:ser>
          <c:idx val="1"/>
          <c:order val="1"/>
          <c:tx>
            <c:strRef>
              <c:f>'Purchases Detail 1.2'!$B$468</c:f>
              <c:strCache>
                <c:ptCount val="1"/>
                <c:pt idx="0">
                  <c:v>First of Month Price</c:v>
                </c:pt>
              </c:strCache>
            </c:strRef>
          </c:tx>
          <c:spPr>
            <a:ln w="12700">
              <a:solidFill>
                <a:srgbClr val="FF0000"/>
              </a:solidFill>
              <a:prstDash val="solid"/>
            </a:ln>
          </c:spPr>
          <c:marker>
            <c:symbol val="square"/>
            <c:size val="5"/>
            <c:spPr>
              <a:solidFill>
                <a:srgbClr val="FF0000"/>
              </a:solidFill>
              <a:ln>
                <a:solidFill>
                  <a:srgbClr val="FF0000"/>
                </a:solidFill>
                <a:prstDash val="solid"/>
              </a:ln>
            </c:spPr>
          </c:marker>
          <c:cat>
            <c:numRef>
              <c:f>'Purchases Detail 1.2'!$C$466:$BC$466</c:f>
              <c:numCache>
                <c:formatCode>m/d/yy;@</c:formatCode>
                <c:ptCount val="53"/>
                <c:pt idx="0">
                  <c:v>38168</c:v>
                </c:pt>
                <c:pt idx="1">
                  <c:v>38199</c:v>
                </c:pt>
                <c:pt idx="2">
                  <c:v>38230</c:v>
                </c:pt>
                <c:pt idx="3">
                  <c:v>38260</c:v>
                </c:pt>
                <c:pt idx="4">
                  <c:v>38291</c:v>
                </c:pt>
                <c:pt idx="5">
                  <c:v>38321</c:v>
                </c:pt>
                <c:pt idx="6">
                  <c:v>38352</c:v>
                </c:pt>
                <c:pt idx="7">
                  <c:v>38383</c:v>
                </c:pt>
                <c:pt idx="8">
                  <c:v>38411</c:v>
                </c:pt>
                <c:pt idx="9">
                  <c:v>38442</c:v>
                </c:pt>
                <c:pt idx="10">
                  <c:v>38472</c:v>
                </c:pt>
                <c:pt idx="11">
                  <c:v>38503</c:v>
                </c:pt>
                <c:pt idx="12">
                  <c:v>38533</c:v>
                </c:pt>
                <c:pt idx="13">
                  <c:v>38564</c:v>
                </c:pt>
                <c:pt idx="14">
                  <c:v>38595</c:v>
                </c:pt>
                <c:pt idx="15">
                  <c:v>38625</c:v>
                </c:pt>
                <c:pt idx="16">
                  <c:v>38656</c:v>
                </c:pt>
                <c:pt idx="17">
                  <c:v>38686</c:v>
                </c:pt>
                <c:pt idx="18">
                  <c:v>38717</c:v>
                </c:pt>
                <c:pt idx="19">
                  <c:v>38748</c:v>
                </c:pt>
                <c:pt idx="20">
                  <c:v>38776</c:v>
                </c:pt>
                <c:pt idx="21">
                  <c:v>38807</c:v>
                </c:pt>
                <c:pt idx="22">
                  <c:v>38837</c:v>
                </c:pt>
                <c:pt idx="23">
                  <c:v>38868</c:v>
                </c:pt>
                <c:pt idx="24">
                  <c:v>38898</c:v>
                </c:pt>
                <c:pt idx="25">
                  <c:v>38929</c:v>
                </c:pt>
                <c:pt idx="26">
                  <c:v>38960</c:v>
                </c:pt>
                <c:pt idx="27">
                  <c:v>38990</c:v>
                </c:pt>
                <c:pt idx="28">
                  <c:v>39021</c:v>
                </c:pt>
                <c:pt idx="29">
                  <c:v>39051</c:v>
                </c:pt>
                <c:pt idx="30">
                  <c:v>39082</c:v>
                </c:pt>
                <c:pt idx="31">
                  <c:v>39113</c:v>
                </c:pt>
                <c:pt idx="32">
                  <c:v>39141</c:v>
                </c:pt>
                <c:pt idx="33">
                  <c:v>39172</c:v>
                </c:pt>
                <c:pt idx="34">
                  <c:v>39202</c:v>
                </c:pt>
                <c:pt idx="35">
                  <c:v>39233</c:v>
                </c:pt>
                <c:pt idx="36">
                  <c:v>39263</c:v>
                </c:pt>
                <c:pt idx="37">
                  <c:v>39294</c:v>
                </c:pt>
                <c:pt idx="38">
                  <c:v>39325</c:v>
                </c:pt>
                <c:pt idx="39">
                  <c:v>39355</c:v>
                </c:pt>
                <c:pt idx="40">
                  <c:v>39386</c:v>
                </c:pt>
                <c:pt idx="41">
                  <c:v>39416</c:v>
                </c:pt>
                <c:pt idx="42">
                  <c:v>39447</c:v>
                </c:pt>
                <c:pt idx="43">
                  <c:v>39478</c:v>
                </c:pt>
                <c:pt idx="44">
                  <c:v>39507</c:v>
                </c:pt>
                <c:pt idx="45">
                  <c:v>39538</c:v>
                </c:pt>
                <c:pt idx="46">
                  <c:v>39568</c:v>
                </c:pt>
                <c:pt idx="47">
                  <c:v>39599</c:v>
                </c:pt>
                <c:pt idx="48">
                  <c:v>39629</c:v>
                </c:pt>
                <c:pt idx="49">
                  <c:v>39660</c:v>
                </c:pt>
                <c:pt idx="50">
                  <c:v>39691</c:v>
                </c:pt>
                <c:pt idx="51">
                  <c:v>39721</c:v>
                </c:pt>
                <c:pt idx="52">
                  <c:v>39752</c:v>
                </c:pt>
              </c:numCache>
            </c:numRef>
          </c:cat>
          <c:val>
            <c:numRef>
              <c:f>'Purchases Detail 1.2'!$C$468:$BC$468</c:f>
              <c:numCache>
                <c:formatCode>_("$"* #,##0.0000_);_("$"* \(#,##0.0000\);_("$"* "-"??_);_(@_)</c:formatCode>
                <c:ptCount val="53"/>
                <c:pt idx="0">
                  <c:v>5.52</c:v>
                </c:pt>
                <c:pt idx="1">
                  <c:v>5.2</c:v>
                </c:pt>
                <c:pt idx="2">
                  <c:v>5.22</c:v>
                </c:pt>
                <c:pt idx="3">
                  <c:v>4.3899999999999997</c:v>
                </c:pt>
                <c:pt idx="4">
                  <c:v>4.42</c:v>
                </c:pt>
                <c:pt idx="5">
                  <c:v>6.55</c:v>
                </c:pt>
                <c:pt idx="6">
                  <c:v>5.91</c:v>
                </c:pt>
                <c:pt idx="7">
                  <c:v>5.47</c:v>
                </c:pt>
                <c:pt idx="8">
                  <c:v>5.32</c:v>
                </c:pt>
                <c:pt idx="9">
                  <c:v>5.38</c:v>
                </c:pt>
                <c:pt idx="10">
                  <c:v>6.02</c:v>
                </c:pt>
                <c:pt idx="11">
                  <c:v>6.04</c:v>
                </c:pt>
                <c:pt idx="12">
                  <c:v>5.24</c:v>
                </c:pt>
                <c:pt idx="13">
                  <c:v>5.74</c:v>
                </c:pt>
                <c:pt idx="14">
                  <c:v>5.75</c:v>
                </c:pt>
                <c:pt idx="15">
                  <c:v>7.64</c:v>
                </c:pt>
                <c:pt idx="16">
                  <c:v>9.48</c:v>
                </c:pt>
                <c:pt idx="17">
                  <c:v>10.210000000000001</c:v>
                </c:pt>
                <c:pt idx="18">
                  <c:v>8.4600000000000009</c:v>
                </c:pt>
                <c:pt idx="19" formatCode="_(&quot;$&quot;* #,##0.00_);_(&quot;$&quot;* \(#,##0.00\);_(&quot;$&quot;* &quot;-&quot;??_);_(@_)">
                  <c:v>8.7799999999999994</c:v>
                </c:pt>
                <c:pt idx="20" formatCode="_(&quot;$&quot;* #,##0.00_);_(&quot;$&quot;* \(#,##0.00\);_(&quot;$&quot;* &quot;-&quot;??_);_(@_)">
                  <c:v>6.39</c:v>
                </c:pt>
                <c:pt idx="21" formatCode="_(&quot;$&quot;* #,##0.00_);_(&quot;$&quot;* \(#,##0.00\);_(&quot;$&quot;* &quot;-&quot;??_);_(@_)">
                  <c:v>5.81</c:v>
                </c:pt>
                <c:pt idx="22" formatCode="_(&quot;$&quot;* #,##0.00_);_(&quot;$&quot;* \(#,##0.00\);_(&quot;$&quot;* &quot;-&quot;??_);_(@_)">
                  <c:v>5.32</c:v>
                </c:pt>
                <c:pt idx="23" formatCode="_(&quot;$&quot;* #,##0.00_);_(&quot;$&quot;* \(#,##0.00\);_(&quot;$&quot;* &quot;-&quot;??_);_(@_)">
                  <c:v>5.39</c:v>
                </c:pt>
                <c:pt idx="24" formatCode="_(&quot;$&quot;* #,##0.00_);_(&quot;$&quot;* \(#,##0.00\);_(&quot;$&quot;* &quot;-&quot;??_);_(@_)">
                  <c:v>4.53</c:v>
                </c:pt>
                <c:pt idx="25" formatCode="_(&quot;$&quot;* #,##0.00_);_(&quot;$&quot;* \(#,##0.00\);_(&quot;$&quot;* &quot;-&quot;??_);_(@_)">
                  <c:v>4.75</c:v>
                </c:pt>
                <c:pt idx="26" formatCode="_(&quot;$&quot;* #,##0.00_);_(&quot;$&quot;* \(#,##0.00\);_(&quot;$&quot;* &quot;-&quot;??_);_(@_)">
                  <c:v>5.5</c:v>
                </c:pt>
                <c:pt idx="27" formatCode="_(&quot;$&quot;* #,##0.00_);_(&quot;$&quot;* \(#,##0.00\);_(&quot;$&quot;* &quot;-&quot;??_);_(@_)">
                  <c:v>4.12</c:v>
                </c:pt>
                <c:pt idx="28" formatCode="_(&quot;$&quot;* #,##0.00_);_(&quot;$&quot;* \(#,##0.00\);_(&quot;$&quot;* &quot;-&quot;??_);_(@_)">
                  <c:v>2.42</c:v>
                </c:pt>
                <c:pt idx="29" formatCode="_(&quot;$&quot;* #,##0.00_);_(&quot;$&quot;* \(#,##0.00\);_(&quot;$&quot;* &quot;-&quot;??_);_(@_)">
                  <c:v>5.8</c:v>
                </c:pt>
                <c:pt idx="30" formatCode="_(&quot;$&quot;* #,##0.00_);_(&quot;$&quot;* \(#,##0.00\);_(&quot;$&quot;* &quot;-&quot;??_);_(@_)">
                  <c:v>5.54</c:v>
                </c:pt>
                <c:pt idx="31" formatCode="_(&quot;$&quot;* #,##0.00_);_(&quot;$&quot;* \(#,##0.00\);_(&quot;$&quot;* &quot;-&quot;??_);_(@_)">
                  <c:v>3.71</c:v>
                </c:pt>
                <c:pt idx="32" formatCode="_(&quot;$&quot;* #,##0.00_);_(&quot;$&quot;* \(#,##0.00\);_(&quot;$&quot;* &quot;-&quot;??_);_(@_)">
                  <c:v>6</c:v>
                </c:pt>
                <c:pt idx="33" formatCode="_(&quot;$&quot;* #,##0.00_);_(&quot;$&quot;* \(#,##0.00\);_(&quot;$&quot;* &quot;-&quot;??_);_(@_)">
                  <c:v>5.79</c:v>
                </c:pt>
                <c:pt idx="34" formatCode="_(&quot;$&quot;* #,##0.00_);_(&quot;$&quot;* \(#,##0.00\);_(&quot;$&quot;* &quot;-&quot;??_);_(@_)">
                  <c:v>3.1</c:v>
                </c:pt>
                <c:pt idx="35" formatCode="_(&quot;$&quot;* #,##0.00_);_(&quot;$&quot;* \(#,##0.00\);_(&quot;$&quot;* &quot;-&quot;??_);_(@_)">
                  <c:v>4.34</c:v>
                </c:pt>
                <c:pt idx="36" formatCode="_(&quot;$&quot;* #,##0.00_);_(&quot;$&quot;* \(#,##0.00\);_(&quot;$&quot;* &quot;-&quot;??_);_(@_)">
                  <c:v>2.82</c:v>
                </c:pt>
                <c:pt idx="37" formatCode="_(&quot;$&quot;* #,##0.00_);_(&quot;$&quot;* \(#,##0.00\);_(&quot;$&quot;* &quot;-&quot;??_);_(@_)">
                  <c:v>3.05</c:v>
                </c:pt>
                <c:pt idx="38" formatCode="_(&quot;$&quot;* #,##0.00_);_(&quot;$&quot;* \(#,##0.00\);_(&quot;$&quot;* &quot;-&quot;??_);_(@_)">
                  <c:v>2.78</c:v>
                </c:pt>
                <c:pt idx="39" formatCode="_(&quot;$&quot;* #,##0.00_);_(&quot;$&quot;* \(#,##0.00\);_(&quot;$&quot;* &quot;-&quot;??_);_(@_)">
                  <c:v>2</c:v>
                </c:pt>
                <c:pt idx="40" formatCode="_(&quot;$&quot;* #,##0.00_);_(&quot;$&quot;* \(#,##0.00\);_(&quot;$&quot;* &quot;-&quot;??_);_(@_)">
                  <c:v>1.36</c:v>
                </c:pt>
              </c:numCache>
            </c:numRef>
          </c:val>
          <c:smooth val="0"/>
        </c:ser>
        <c:ser>
          <c:idx val="2"/>
          <c:order val="2"/>
          <c:tx>
            <c:strRef>
              <c:f>'Purchases Detail 1.2'!$B$469</c:f>
              <c:strCache>
                <c:ptCount val="1"/>
                <c:pt idx="0">
                  <c:v>GS Commodity Rate </c:v>
                </c:pt>
              </c:strCache>
            </c:strRef>
          </c:tx>
          <c:spPr>
            <a:ln w="12700">
              <a:solidFill>
                <a:srgbClr val="00FF00"/>
              </a:solidFill>
              <a:prstDash val="solid"/>
            </a:ln>
          </c:spPr>
          <c:marker>
            <c:symbol val="triangle"/>
            <c:size val="5"/>
            <c:spPr>
              <a:solidFill>
                <a:srgbClr val="00FF00"/>
              </a:solidFill>
              <a:ln>
                <a:solidFill>
                  <a:srgbClr val="00FF00"/>
                </a:solidFill>
                <a:prstDash val="solid"/>
              </a:ln>
            </c:spPr>
          </c:marker>
          <c:cat>
            <c:numRef>
              <c:f>'Purchases Detail 1.2'!$C$466:$BC$466</c:f>
              <c:numCache>
                <c:formatCode>m/d/yy;@</c:formatCode>
                <c:ptCount val="53"/>
                <c:pt idx="0">
                  <c:v>38168</c:v>
                </c:pt>
                <c:pt idx="1">
                  <c:v>38199</c:v>
                </c:pt>
                <c:pt idx="2">
                  <c:v>38230</c:v>
                </c:pt>
                <c:pt idx="3">
                  <c:v>38260</c:v>
                </c:pt>
                <c:pt idx="4">
                  <c:v>38291</c:v>
                </c:pt>
                <c:pt idx="5">
                  <c:v>38321</c:v>
                </c:pt>
                <c:pt idx="6">
                  <c:v>38352</c:v>
                </c:pt>
                <c:pt idx="7">
                  <c:v>38383</c:v>
                </c:pt>
                <c:pt idx="8">
                  <c:v>38411</c:v>
                </c:pt>
                <c:pt idx="9">
                  <c:v>38442</c:v>
                </c:pt>
                <c:pt idx="10">
                  <c:v>38472</c:v>
                </c:pt>
                <c:pt idx="11">
                  <c:v>38503</c:v>
                </c:pt>
                <c:pt idx="12">
                  <c:v>38533</c:v>
                </c:pt>
                <c:pt idx="13">
                  <c:v>38564</c:v>
                </c:pt>
                <c:pt idx="14">
                  <c:v>38595</c:v>
                </c:pt>
                <c:pt idx="15">
                  <c:v>38625</c:v>
                </c:pt>
                <c:pt idx="16">
                  <c:v>38656</c:v>
                </c:pt>
                <c:pt idx="17">
                  <c:v>38686</c:v>
                </c:pt>
                <c:pt idx="18">
                  <c:v>38717</c:v>
                </c:pt>
                <c:pt idx="19">
                  <c:v>38748</c:v>
                </c:pt>
                <c:pt idx="20">
                  <c:v>38776</c:v>
                </c:pt>
                <c:pt idx="21">
                  <c:v>38807</c:v>
                </c:pt>
                <c:pt idx="22">
                  <c:v>38837</c:v>
                </c:pt>
                <c:pt idx="23">
                  <c:v>38868</c:v>
                </c:pt>
                <c:pt idx="24">
                  <c:v>38898</c:v>
                </c:pt>
                <c:pt idx="25">
                  <c:v>38929</c:v>
                </c:pt>
                <c:pt idx="26">
                  <c:v>38960</c:v>
                </c:pt>
                <c:pt idx="27">
                  <c:v>38990</c:v>
                </c:pt>
                <c:pt idx="28">
                  <c:v>39021</c:v>
                </c:pt>
                <c:pt idx="29">
                  <c:v>39051</c:v>
                </c:pt>
                <c:pt idx="30">
                  <c:v>39082</c:v>
                </c:pt>
                <c:pt idx="31">
                  <c:v>39113</c:v>
                </c:pt>
                <c:pt idx="32">
                  <c:v>39141</c:v>
                </c:pt>
                <c:pt idx="33">
                  <c:v>39172</c:v>
                </c:pt>
                <c:pt idx="34">
                  <c:v>39202</c:v>
                </c:pt>
                <c:pt idx="35">
                  <c:v>39233</c:v>
                </c:pt>
                <c:pt idx="36">
                  <c:v>39263</c:v>
                </c:pt>
                <c:pt idx="37">
                  <c:v>39294</c:v>
                </c:pt>
                <c:pt idx="38">
                  <c:v>39325</c:v>
                </c:pt>
                <c:pt idx="39">
                  <c:v>39355</c:v>
                </c:pt>
                <c:pt idx="40">
                  <c:v>39386</c:v>
                </c:pt>
                <c:pt idx="41">
                  <c:v>39416</c:v>
                </c:pt>
                <c:pt idx="42">
                  <c:v>39447</c:v>
                </c:pt>
                <c:pt idx="43">
                  <c:v>39478</c:v>
                </c:pt>
                <c:pt idx="44">
                  <c:v>39507</c:v>
                </c:pt>
                <c:pt idx="45">
                  <c:v>39538</c:v>
                </c:pt>
                <c:pt idx="46">
                  <c:v>39568</c:v>
                </c:pt>
                <c:pt idx="47">
                  <c:v>39599</c:v>
                </c:pt>
                <c:pt idx="48">
                  <c:v>39629</c:v>
                </c:pt>
                <c:pt idx="49">
                  <c:v>39660</c:v>
                </c:pt>
                <c:pt idx="50">
                  <c:v>39691</c:v>
                </c:pt>
                <c:pt idx="51">
                  <c:v>39721</c:v>
                </c:pt>
                <c:pt idx="52">
                  <c:v>39752</c:v>
                </c:pt>
              </c:numCache>
            </c:numRef>
          </c:cat>
          <c:val>
            <c:numRef>
              <c:f>'Purchases Detail 1.2'!$C$469:$BC$469</c:f>
              <c:numCache>
                <c:formatCode>_("$"* #,##0.0000_);_("$"* \(#,##0.0000\);_("$"* "-"??_);_(@_)</c:formatCode>
                <c:ptCount val="53"/>
                <c:pt idx="0">
                  <c:v>4.0869999999999997</c:v>
                </c:pt>
                <c:pt idx="1">
                  <c:v>4.0869999999999997</c:v>
                </c:pt>
                <c:pt idx="2">
                  <c:v>4.09</c:v>
                </c:pt>
                <c:pt idx="3">
                  <c:v>4.0382882887869513</c:v>
                </c:pt>
                <c:pt idx="4">
                  <c:v>4.7459522662044797</c:v>
                </c:pt>
                <c:pt idx="5">
                  <c:v>4.7459522662044797</c:v>
                </c:pt>
                <c:pt idx="6">
                  <c:v>4.7459522662044797</c:v>
                </c:pt>
                <c:pt idx="7">
                  <c:v>4.7459522662044833</c:v>
                </c:pt>
                <c:pt idx="8">
                  <c:v>4.7459522662044833</c:v>
                </c:pt>
                <c:pt idx="9">
                  <c:v>4.7459522662044833</c:v>
                </c:pt>
                <c:pt idx="10">
                  <c:v>4.7459522662044833</c:v>
                </c:pt>
                <c:pt idx="11">
                  <c:v>4.7459522662044833</c:v>
                </c:pt>
                <c:pt idx="12">
                  <c:v>5.9187936796630272</c:v>
                </c:pt>
                <c:pt idx="13">
                  <c:v>5.9187936796630272</c:v>
                </c:pt>
                <c:pt idx="14">
                  <c:v>5.9187936796630272</c:v>
                </c:pt>
                <c:pt idx="15">
                  <c:v>5.9187936796630272</c:v>
                </c:pt>
                <c:pt idx="16">
                  <c:v>5.9187936796630272</c:v>
                </c:pt>
                <c:pt idx="17">
                  <c:v>7.8152400000000002</c:v>
                </c:pt>
                <c:pt idx="18">
                  <c:v>7.8152400000000002</c:v>
                </c:pt>
                <c:pt idx="19" formatCode="_(&quot;$&quot;* #,##0.00_);_(&quot;$&quot;* \(#,##0.00\);_(&quot;$&quot;* &quot;-&quot;??_);_(@_)">
                  <c:v>7.8152400000000002</c:v>
                </c:pt>
                <c:pt idx="20" formatCode="_(&quot;$&quot;* #,##0.00_);_(&quot;$&quot;* \(#,##0.00\);_(&quot;$&quot;* &quot;-&quot;??_);_(@_)">
                  <c:v>6.92</c:v>
                </c:pt>
                <c:pt idx="21" formatCode="_(&quot;$&quot;* #,##0.00_);_(&quot;$&quot;* \(#,##0.00\);_(&quot;$&quot;* &quot;-&quot;??_);_(@_)">
                  <c:v>6.92</c:v>
                </c:pt>
                <c:pt idx="22" formatCode="_(&quot;$&quot;* #,##0.00_);_(&quot;$&quot;* \(#,##0.00\);_(&quot;$&quot;* &quot;-&quot;??_);_(@_)">
                  <c:v>6.53</c:v>
                </c:pt>
                <c:pt idx="23" formatCode="_(&quot;$&quot;* #,##0.00_);_(&quot;$&quot;* \(#,##0.00\);_(&quot;$&quot;* &quot;-&quot;??_);_(@_)">
                  <c:v>6.53</c:v>
                </c:pt>
                <c:pt idx="24" formatCode="_(&quot;$&quot;* #,##0.00_);_(&quot;$&quot;* \(#,##0.00\);_(&quot;$&quot;* &quot;-&quot;??_);_(@_)">
                  <c:v>6.53</c:v>
                </c:pt>
                <c:pt idx="25" formatCode="_(&quot;$&quot;* #,##0.00_);_(&quot;$&quot;* \(#,##0.00\);_(&quot;$&quot;* &quot;-&quot;??_);_(@_)">
                  <c:v>6.53</c:v>
                </c:pt>
                <c:pt idx="26" formatCode="_(&quot;$&quot;* #,##0.00_);_(&quot;$&quot;* \(#,##0.00\);_(&quot;$&quot;* &quot;-&quot;??_);_(@_)">
                  <c:v>6.53</c:v>
                </c:pt>
                <c:pt idx="27" formatCode="_(&quot;$&quot;* #,##0.00_);_(&quot;$&quot;* \(#,##0.00\);_(&quot;$&quot;* &quot;-&quot;??_);_(@_)">
                  <c:v>6.53</c:v>
                </c:pt>
                <c:pt idx="28" formatCode="_(&quot;$&quot;* #,##0.00_);_(&quot;$&quot;* \(#,##0.00\);_(&quot;$&quot;* &quot;-&quot;??_);_(@_)">
                  <c:v>6.53</c:v>
                </c:pt>
                <c:pt idx="29" formatCode="_(&quot;$&quot;* #,##0.00_);_(&quot;$&quot;* \(#,##0.00\);_(&quot;$&quot;* &quot;-&quot;??_);_(@_)">
                  <c:v>5.3721153573889886</c:v>
                </c:pt>
                <c:pt idx="30" formatCode="_(&quot;$&quot;* #,##0.00_);_(&quot;$&quot;* \(#,##0.00\);_(&quot;$&quot;* &quot;-&quot;??_);_(@_)">
                  <c:v>5.3721153573889886</c:v>
                </c:pt>
                <c:pt idx="31" formatCode="_(&quot;$&quot;* #,##0.00_);_(&quot;$&quot;* \(#,##0.00\);_(&quot;$&quot;* &quot;-&quot;??_);_(@_)">
                  <c:v>5.3721153573889886</c:v>
                </c:pt>
                <c:pt idx="32" formatCode="_(&quot;$&quot;* #,##0.00_);_(&quot;$&quot;* \(#,##0.00\);_(&quot;$&quot;* &quot;-&quot;??_);_(@_)">
                  <c:v>5.3721153573889886</c:v>
                </c:pt>
                <c:pt idx="33" formatCode="_(&quot;$&quot;* #,##0.00_);_(&quot;$&quot;* \(#,##0.00\);_(&quot;$&quot;* &quot;-&quot;??_);_(@_)">
                  <c:v>5.3721153573889886</c:v>
                </c:pt>
                <c:pt idx="34" formatCode="_(&quot;$&quot;* #,##0.00_);_(&quot;$&quot;* \(#,##0.00\);_(&quot;$&quot;* &quot;-&quot;??_);_(@_)">
                  <c:v>5.3721153573889886</c:v>
                </c:pt>
                <c:pt idx="35" formatCode="_(&quot;$&quot;* #,##0.00_);_(&quot;$&quot;* \(#,##0.00\);_(&quot;$&quot;* &quot;-&quot;??_);_(@_)">
                  <c:v>5.3721153573889886</c:v>
                </c:pt>
                <c:pt idx="36" formatCode="_(&quot;$&quot;* #,##0.00_);_(&quot;$&quot;* \(#,##0.00\);_(&quot;$&quot;* &quot;-&quot;??_);_(@_)">
                  <c:v>5.3721153573889886</c:v>
                </c:pt>
                <c:pt idx="37" formatCode="_(&quot;$&quot;* #,##0.00_);_(&quot;$&quot;* \(#,##0.00\);_(&quot;$&quot;* &quot;-&quot;??_);_(@_)">
                  <c:v>5.3721153573889886</c:v>
                </c:pt>
                <c:pt idx="38" formatCode="_(&quot;$&quot;* #,##0.00_);_(&quot;$&quot;* \(#,##0.00\);_(&quot;$&quot;* &quot;-&quot;??_);_(@_)">
                  <c:v>5.3721153573889886</c:v>
                </c:pt>
                <c:pt idx="39" formatCode="_(&quot;$&quot;* #,##0.00_);_(&quot;$&quot;* \(#,##0.00\);_(&quot;$&quot;* &quot;-&quot;??_);_(@_)">
                  <c:v>5.3721153573889886</c:v>
                </c:pt>
                <c:pt idx="40" formatCode="_(&quot;$&quot;* #,##0.00_);_(&quot;$&quot;* \(#,##0.00\);_(&quot;$&quot;* &quot;-&quot;??_);_(@_)">
                  <c:v>5.3721153573889886</c:v>
                </c:pt>
                <c:pt idx="41" formatCode="_(&quot;$&quot;* #,##0.00_);_(&quot;$&quot;* \(#,##0.00\);_(&quot;$&quot;* &quot;-&quot;??_);_(@_)">
                  <c:v>4.8583455783480378</c:v>
                </c:pt>
              </c:numCache>
            </c:numRef>
          </c:val>
          <c:smooth val="0"/>
        </c:ser>
        <c:dLbls>
          <c:showLegendKey val="0"/>
          <c:showVal val="0"/>
          <c:showCatName val="0"/>
          <c:showSerName val="0"/>
          <c:showPercent val="0"/>
          <c:showBubbleSize val="0"/>
        </c:dLbls>
        <c:marker val="1"/>
        <c:smooth val="0"/>
        <c:axId val="206386784"/>
        <c:axId val="206387176"/>
      </c:lineChart>
      <c:dateAx>
        <c:axId val="206386784"/>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975" b="0" i="0" u="none" strike="noStrike" baseline="0">
                <a:solidFill>
                  <a:srgbClr val="000000"/>
                </a:solidFill>
                <a:latin typeface="Arial"/>
                <a:ea typeface="Arial"/>
                <a:cs typeface="Arial"/>
              </a:defRPr>
            </a:pPr>
            <a:endParaRPr lang="en-US"/>
          </a:p>
        </c:txPr>
        <c:crossAx val="206387176"/>
        <c:crosses val="autoZero"/>
        <c:auto val="1"/>
        <c:lblOffset val="100"/>
        <c:baseTimeUnit val="months"/>
        <c:majorUnit val="2"/>
        <c:majorTimeUnit val="months"/>
        <c:minorUnit val="1"/>
        <c:minorTimeUnit val="months"/>
      </c:dateAx>
      <c:valAx>
        <c:axId val="20638717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206386784"/>
        <c:crosses val="autoZero"/>
        <c:crossBetween val="between"/>
      </c:valAx>
      <c:spPr>
        <a:solidFill>
          <a:srgbClr val="FFFFFF"/>
        </a:solidFill>
        <a:ln w="12700">
          <a:solidFill>
            <a:srgbClr val="808080"/>
          </a:solidFill>
          <a:prstDash val="solid"/>
        </a:ln>
      </c:spPr>
    </c:plotArea>
    <c:legend>
      <c:legendPos val="r"/>
      <c:layout>
        <c:manualLayout>
          <c:xMode val="edge"/>
          <c:yMode val="edge"/>
          <c:x val="0.16666697097645403"/>
          <c:y val="0.91621735120947712"/>
          <c:w val="0.68840671003081055"/>
          <c:h val="6.4864864864864882E-2"/>
        </c:manualLayout>
      </c:layout>
      <c:overlay val="0"/>
      <c:spPr>
        <a:solidFill>
          <a:srgbClr val="FFFFFF"/>
        </a:solidFill>
        <a:ln w="3175">
          <a:solidFill>
            <a:srgbClr val="000000"/>
          </a:solidFill>
          <a:prstDash val="solid"/>
        </a:ln>
      </c:spPr>
      <c:txPr>
        <a:bodyPr/>
        <a:lstStyle/>
        <a:p>
          <a:pPr>
            <a:defRPr sz="8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Opal  Spot Price Forecast</a:t>
            </a:r>
          </a:p>
        </c:rich>
      </c:tx>
      <c:layout>
        <c:manualLayout>
          <c:xMode val="edge"/>
          <c:yMode val="edge"/>
          <c:x val="0.39125584077775138"/>
          <c:y val="3.0120481927710788E-2"/>
        </c:manualLayout>
      </c:layout>
      <c:overlay val="0"/>
      <c:spPr>
        <a:noFill/>
        <a:ln w="25400">
          <a:noFill/>
        </a:ln>
      </c:spPr>
    </c:title>
    <c:autoTitleDeleted val="0"/>
    <c:plotArea>
      <c:layout>
        <c:manualLayout>
          <c:layoutTarget val="inner"/>
          <c:xMode val="edge"/>
          <c:yMode val="edge"/>
          <c:x val="7.5112148739746504E-2"/>
          <c:y val="0.15060270496577122"/>
          <c:w val="0.90919332280499121"/>
          <c:h val="0.6064268919955057"/>
        </c:manualLayout>
      </c:layout>
      <c:lineChart>
        <c:grouping val="standard"/>
        <c:varyColors val="0"/>
        <c:ser>
          <c:idx val="3"/>
          <c:order val="0"/>
          <c:tx>
            <c:strRef>
              <c:f>'Purchases Detail 1.2'!$N$2</c:f>
              <c:strCache>
                <c:ptCount val="1"/>
                <c:pt idx="0">
                  <c:v>Original</c:v>
                </c:pt>
              </c:strCache>
            </c:strRef>
          </c:tx>
          <c:cat>
            <c:strRef>
              <c:f>'Purchases Detail 1.2'!$O$1:$Z$1</c:f>
              <c:strCache>
                <c:ptCount val="12"/>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strCache>
            </c:strRef>
          </c:cat>
          <c:val>
            <c:numRef>
              <c:f>'Purchases Detail 1.2'!$O$2:$Z$2</c:f>
            </c:numRef>
          </c:val>
          <c:smooth val="0"/>
        </c:ser>
        <c:ser>
          <c:idx val="4"/>
          <c:order val="1"/>
          <c:tx>
            <c:strRef>
              <c:f>'Purchases Detail 1.2'!$N$3</c:f>
              <c:strCache>
                <c:ptCount val="1"/>
                <c:pt idx="0">
                  <c:v> Monthly Purchase Prices</c:v>
                </c:pt>
              </c:strCache>
            </c:strRef>
          </c:tx>
          <c:cat>
            <c:strRef>
              <c:f>'Purchases Detail 1.2'!$O$1:$Z$1</c:f>
              <c:strCache>
                <c:ptCount val="12"/>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strCache>
            </c:strRef>
          </c:cat>
          <c:val>
            <c:numRef>
              <c:f>'Purchases Detail 1.2'!$O$3:$Z$3</c:f>
            </c:numRef>
          </c:val>
          <c:smooth val="0"/>
        </c:ser>
        <c:ser>
          <c:idx val="0"/>
          <c:order val="2"/>
          <c:tx>
            <c:strRef>
              <c:f>'Purchases Detail 1.2'!$N$4</c:f>
              <c:strCache>
                <c:ptCount val="1"/>
                <c:pt idx="0">
                  <c:v>GI</c:v>
                </c:pt>
              </c:strCache>
            </c:strRef>
          </c:tx>
          <c:spPr>
            <a:ln w="38100">
              <a:solidFill>
                <a:srgbClr val="000080"/>
              </a:solidFill>
              <a:prstDash val="solid"/>
            </a:ln>
          </c:spPr>
          <c:marker>
            <c:symbol val="none"/>
          </c:marker>
          <c:cat>
            <c:strRef>
              <c:f>'Purchases Detail 1.2'!$O$1:$Z$1</c:f>
              <c:strCache>
                <c:ptCount val="12"/>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strCache>
            </c:strRef>
          </c:cat>
          <c:val>
            <c:numRef>
              <c:f>'Purchases Detail 1.2'!$O$4:$Z$4</c:f>
              <c:numCache>
                <c:formatCode>_("$"* #,##0.00_);_("$"* \(#,##0.00\);_("$"* "-"??_);_(@_)</c:formatCode>
                <c:ptCount val="12"/>
              </c:numCache>
            </c:numRef>
          </c:val>
          <c:smooth val="0"/>
        </c:ser>
        <c:ser>
          <c:idx val="1"/>
          <c:order val="3"/>
          <c:tx>
            <c:strRef>
              <c:f>'Purchases Detail 1.2'!$N$5</c:f>
              <c:strCache>
                <c:ptCount val="1"/>
                <c:pt idx="0">
                  <c:v>CERA</c:v>
                </c:pt>
              </c:strCache>
            </c:strRef>
          </c:tx>
          <c:spPr>
            <a:ln w="38100">
              <a:solidFill>
                <a:srgbClr val="FF0000"/>
              </a:solidFill>
              <a:prstDash val="sysDash"/>
            </a:ln>
          </c:spPr>
          <c:marker>
            <c:symbol val="none"/>
          </c:marker>
          <c:cat>
            <c:strRef>
              <c:f>'Purchases Detail 1.2'!$O$1:$Z$1</c:f>
              <c:strCache>
                <c:ptCount val="12"/>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strCache>
            </c:strRef>
          </c:cat>
          <c:val>
            <c:numRef>
              <c:f>'Purchases Detail 1.2'!$O$5:$Z$5</c:f>
              <c:numCache>
                <c:formatCode>_("$"* #,##0.00_);_("$"* \(#,##0.00\);_("$"* "-"??_);_(@_)</c:formatCode>
                <c:ptCount val="12"/>
                <c:pt idx="0">
                  <c:v>2.39</c:v>
                </c:pt>
                <c:pt idx="1">
                  <c:v>2.2599999999999998</c:v>
                </c:pt>
                <c:pt idx="2">
                  <c:v>2.72</c:v>
                </c:pt>
                <c:pt idx="3">
                  <c:v>2.76</c:v>
                </c:pt>
                <c:pt idx="4">
                  <c:v>2.87</c:v>
                </c:pt>
                <c:pt idx="5">
                  <c:v>3.04</c:v>
                </c:pt>
                <c:pt idx="6">
                  <c:v>3.19</c:v>
                </c:pt>
                <c:pt idx="7">
                  <c:v>3.28</c:v>
                </c:pt>
                <c:pt idx="8">
                  <c:v>3.39</c:v>
                </c:pt>
                <c:pt idx="9">
                  <c:v>3.66</c:v>
                </c:pt>
                <c:pt idx="10">
                  <c:v>3.83</c:v>
                </c:pt>
                <c:pt idx="11">
                  <c:v>4.0199999999999996</c:v>
                </c:pt>
              </c:numCache>
            </c:numRef>
          </c:val>
          <c:smooth val="0"/>
        </c:ser>
        <c:ser>
          <c:idx val="2"/>
          <c:order val="4"/>
          <c:tx>
            <c:strRef>
              <c:f>'Purchases Detail 1.2'!$N$6</c:f>
              <c:strCache>
                <c:ptCount val="1"/>
                <c:pt idx="0">
                  <c:v>PIRA</c:v>
                </c:pt>
              </c:strCache>
            </c:strRef>
          </c:tx>
          <c:spPr>
            <a:ln w="38100">
              <a:solidFill>
                <a:srgbClr val="00FF00"/>
              </a:solidFill>
              <a:prstDash val="lgDash"/>
            </a:ln>
          </c:spPr>
          <c:marker>
            <c:symbol val="none"/>
          </c:marker>
          <c:cat>
            <c:strRef>
              <c:f>'Purchases Detail 1.2'!$O$1:$Z$1</c:f>
              <c:strCache>
                <c:ptCount val="12"/>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strCache>
            </c:strRef>
          </c:cat>
          <c:val>
            <c:numRef>
              <c:f>'Purchases Detail 1.2'!$O$6:$Z$6</c:f>
              <c:numCache>
                <c:formatCode>_("$"* #,##0.00_);_("$"* \(#,##0.00\);_("$"* "-"??_);_(@_)</c:formatCode>
                <c:ptCount val="12"/>
                <c:pt idx="0">
                  <c:v>2.58</c:v>
                </c:pt>
                <c:pt idx="1">
                  <c:v>2.9</c:v>
                </c:pt>
                <c:pt idx="2">
                  <c:v>3.25</c:v>
                </c:pt>
                <c:pt idx="3">
                  <c:v>3.52</c:v>
                </c:pt>
                <c:pt idx="4">
                  <c:v>3.74</c:v>
                </c:pt>
                <c:pt idx="5">
                  <c:v>3.72</c:v>
                </c:pt>
                <c:pt idx="6">
                  <c:v>3.73</c:v>
                </c:pt>
                <c:pt idx="7">
                  <c:v>3.91</c:v>
                </c:pt>
                <c:pt idx="8">
                  <c:v>4.0999999999999996</c:v>
                </c:pt>
                <c:pt idx="9">
                  <c:v>4.25</c:v>
                </c:pt>
                <c:pt idx="10">
                  <c:v>4.47</c:v>
                </c:pt>
                <c:pt idx="11">
                  <c:v>4.29</c:v>
                </c:pt>
              </c:numCache>
            </c:numRef>
          </c:val>
          <c:smooth val="0"/>
        </c:ser>
        <c:dLbls>
          <c:showLegendKey val="0"/>
          <c:showVal val="0"/>
          <c:showCatName val="0"/>
          <c:showSerName val="0"/>
          <c:showPercent val="0"/>
          <c:showBubbleSize val="0"/>
        </c:dLbls>
        <c:smooth val="0"/>
        <c:axId val="209586520"/>
        <c:axId val="209586912"/>
      </c:lineChart>
      <c:catAx>
        <c:axId val="209586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209586912"/>
        <c:crosses val="autoZero"/>
        <c:auto val="1"/>
        <c:lblAlgn val="ctr"/>
        <c:lblOffset val="100"/>
        <c:tickLblSkip val="1"/>
        <c:tickMarkSkip val="1"/>
        <c:noMultiLvlLbl val="0"/>
      </c:catAx>
      <c:valAx>
        <c:axId val="209586912"/>
        <c:scaling>
          <c:orientation val="minMax"/>
        </c:scaling>
        <c:delete val="0"/>
        <c:axPos val="l"/>
        <c:majorGridlines>
          <c:spPr>
            <a:ln w="3175">
              <a:solidFill>
                <a:srgbClr val="000000"/>
              </a:solidFill>
              <a:prstDash val="solid"/>
            </a:ln>
          </c:spPr>
        </c:majorGridlines>
        <c:numFmt formatCode="_(&quot;$&quot;* #,##0.00_);_(&quot;$&quot;* \(#,##0.00\);_(&quot;$&quot;*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209586520"/>
        <c:crosses val="autoZero"/>
        <c:crossBetween val="between"/>
      </c:valAx>
      <c:spPr>
        <a:noFill/>
        <a:ln w="12700">
          <a:solidFill>
            <a:srgbClr val="FFFFFF"/>
          </a:solidFill>
          <a:prstDash val="solid"/>
        </a:ln>
      </c:spPr>
    </c:plotArea>
    <c:legend>
      <c:legendPos val="r"/>
      <c:layout>
        <c:manualLayout>
          <c:xMode val="edge"/>
          <c:yMode val="edge"/>
          <c:x val="0.40807198427551122"/>
          <c:y val="0.93574486924074263"/>
          <c:w val="0.250000117698292"/>
          <c:h val="4.8192771084337886E-2"/>
        </c:manualLayout>
      </c:layout>
      <c:overlay val="0"/>
      <c:spPr>
        <a:solidFill>
          <a:srgbClr val="FFFFFF"/>
        </a:solidFill>
        <a:ln w="3175">
          <a:solidFill>
            <a:srgbClr val="000000"/>
          </a:solidFill>
          <a:prstDash val="solid"/>
        </a:ln>
      </c:spPr>
      <c:txPr>
        <a:bodyPr/>
        <a:lstStyle/>
        <a:p>
          <a:pPr>
            <a:defRPr sz="8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1" i="0" u="none" strike="noStrike" baseline="0">
                <a:solidFill>
                  <a:srgbClr val="000000"/>
                </a:solidFill>
                <a:latin typeface="Arial"/>
                <a:ea typeface="Arial"/>
                <a:cs typeface="Arial"/>
              </a:defRPr>
            </a:pPr>
            <a:r>
              <a:rPr lang="en-US"/>
              <a:t>Opal Spot Market Price</a:t>
            </a:r>
          </a:p>
        </c:rich>
      </c:tx>
      <c:layout>
        <c:manualLayout>
          <c:xMode val="edge"/>
          <c:yMode val="edge"/>
          <c:x val="0.3765690376569038"/>
          <c:y val="3.0181086519114816E-2"/>
        </c:manualLayout>
      </c:layout>
      <c:overlay val="0"/>
      <c:spPr>
        <a:noFill/>
        <a:ln w="25400">
          <a:noFill/>
        </a:ln>
      </c:spPr>
    </c:title>
    <c:autoTitleDeleted val="0"/>
    <c:plotArea>
      <c:layout>
        <c:manualLayout>
          <c:layoutTarget val="inner"/>
          <c:xMode val="edge"/>
          <c:yMode val="edge"/>
          <c:x val="7.5313807531380894E-2"/>
          <c:y val="0.17102615694164988"/>
          <c:w val="0.75941422594142249"/>
          <c:h val="0.6056338028169016"/>
        </c:manualLayout>
      </c:layout>
      <c:lineChart>
        <c:grouping val="standard"/>
        <c:varyColors val="0"/>
        <c:ser>
          <c:idx val="0"/>
          <c:order val="0"/>
          <c:tx>
            <c:strRef>
              <c:f>'Purchases Detail 1.2'!$AC$5</c:f>
              <c:strCache>
                <c:ptCount val="1"/>
                <c:pt idx="0">
                  <c:v>Opal Actual</c:v>
                </c:pt>
              </c:strCache>
            </c:strRef>
          </c:tx>
          <c:spPr>
            <a:ln w="12700">
              <a:solidFill>
                <a:srgbClr val="000080"/>
              </a:solidFill>
              <a:prstDash val="solid"/>
            </a:ln>
          </c:spPr>
          <c:marker>
            <c:symbol val="none"/>
          </c:marker>
          <c:cat>
            <c:numRef>
              <c:f>'Purchases Detail 1.2'!$AD$4:$BA$4</c:f>
              <c:numCache>
                <c:formatCode>mmm\-yy</c:formatCode>
                <c:ptCount val="24"/>
                <c:pt idx="0">
                  <c:v>39508</c:v>
                </c:pt>
                <c:pt idx="1">
                  <c:v>39539</c:v>
                </c:pt>
                <c:pt idx="2">
                  <c:v>39569</c:v>
                </c:pt>
                <c:pt idx="3">
                  <c:v>39600</c:v>
                </c:pt>
                <c:pt idx="4">
                  <c:v>39630</c:v>
                </c:pt>
                <c:pt idx="5">
                  <c:v>39661</c:v>
                </c:pt>
                <c:pt idx="6">
                  <c:v>39692</c:v>
                </c:pt>
                <c:pt idx="7">
                  <c:v>39722</c:v>
                </c:pt>
                <c:pt idx="8">
                  <c:v>39753</c:v>
                </c:pt>
                <c:pt idx="9">
                  <c:v>39783</c:v>
                </c:pt>
                <c:pt idx="10">
                  <c:v>39814</c:v>
                </c:pt>
                <c:pt idx="11">
                  <c:v>39845</c:v>
                </c:pt>
                <c:pt idx="12">
                  <c:v>39873</c:v>
                </c:pt>
                <c:pt idx="13">
                  <c:v>39904</c:v>
                </c:pt>
                <c:pt idx="14">
                  <c:v>39934</c:v>
                </c:pt>
                <c:pt idx="15">
                  <c:v>39965</c:v>
                </c:pt>
                <c:pt idx="16">
                  <c:v>39995</c:v>
                </c:pt>
                <c:pt idx="17">
                  <c:v>40026</c:v>
                </c:pt>
                <c:pt idx="18">
                  <c:v>40057</c:v>
                </c:pt>
                <c:pt idx="19">
                  <c:v>40087</c:v>
                </c:pt>
                <c:pt idx="20">
                  <c:v>40118</c:v>
                </c:pt>
                <c:pt idx="21">
                  <c:v>40148</c:v>
                </c:pt>
                <c:pt idx="22">
                  <c:v>40179</c:v>
                </c:pt>
                <c:pt idx="23">
                  <c:v>40210</c:v>
                </c:pt>
              </c:numCache>
            </c:numRef>
          </c:cat>
          <c:val>
            <c:numRef>
              <c:f>'Purchases Detail 1.2'!$AD$5:$BA$5</c:f>
              <c:numCache>
                <c:formatCode>[$-409]mmmm\-yy;@</c:formatCode>
                <c:ptCount val="24"/>
                <c:pt idx="0">
                  <c:v>7.72</c:v>
                </c:pt>
                <c:pt idx="1">
                  <c:v>7.75</c:v>
                </c:pt>
                <c:pt idx="2">
                  <c:v>8.8699999999999992</c:v>
                </c:pt>
                <c:pt idx="3">
                  <c:v>8.91</c:v>
                </c:pt>
                <c:pt idx="4">
                  <c:v>8.4499999999999993</c:v>
                </c:pt>
                <c:pt idx="5">
                  <c:v>6.51</c:v>
                </c:pt>
                <c:pt idx="6">
                  <c:v>1.77</c:v>
                </c:pt>
                <c:pt idx="7">
                  <c:v>3.36</c:v>
                </c:pt>
                <c:pt idx="8">
                  <c:v>2.61</c:v>
                </c:pt>
                <c:pt idx="9">
                  <c:v>4.83</c:v>
                </c:pt>
                <c:pt idx="10">
                  <c:v>4.21</c:v>
                </c:pt>
                <c:pt idx="11">
                  <c:v>2.87</c:v>
                </c:pt>
              </c:numCache>
            </c:numRef>
          </c:val>
          <c:smooth val="0"/>
        </c:ser>
        <c:ser>
          <c:idx val="1"/>
          <c:order val="1"/>
          <c:tx>
            <c:strRef>
              <c:f>'Purchases Detail 1.2'!$AC$6</c:f>
              <c:strCache>
                <c:ptCount val="1"/>
                <c:pt idx="0">
                  <c:v>Opal Forecast</c:v>
                </c:pt>
              </c:strCache>
            </c:strRef>
          </c:tx>
          <c:spPr>
            <a:ln w="12700">
              <a:solidFill>
                <a:srgbClr val="FF0000"/>
              </a:solidFill>
              <a:prstDash val="solid"/>
            </a:ln>
          </c:spPr>
          <c:marker>
            <c:symbol val="none"/>
          </c:marker>
          <c:cat>
            <c:numRef>
              <c:f>'Purchases Detail 1.2'!$AD$4:$BA$4</c:f>
              <c:numCache>
                <c:formatCode>mmm\-yy</c:formatCode>
                <c:ptCount val="24"/>
                <c:pt idx="0">
                  <c:v>39508</c:v>
                </c:pt>
                <c:pt idx="1">
                  <c:v>39539</c:v>
                </c:pt>
                <c:pt idx="2">
                  <c:v>39569</c:v>
                </c:pt>
                <c:pt idx="3">
                  <c:v>39600</c:v>
                </c:pt>
                <c:pt idx="4">
                  <c:v>39630</c:v>
                </c:pt>
                <c:pt idx="5">
                  <c:v>39661</c:v>
                </c:pt>
                <c:pt idx="6">
                  <c:v>39692</c:v>
                </c:pt>
                <c:pt idx="7">
                  <c:v>39722</c:v>
                </c:pt>
                <c:pt idx="8">
                  <c:v>39753</c:v>
                </c:pt>
                <c:pt idx="9">
                  <c:v>39783</c:v>
                </c:pt>
                <c:pt idx="10">
                  <c:v>39814</c:v>
                </c:pt>
                <c:pt idx="11">
                  <c:v>39845</c:v>
                </c:pt>
                <c:pt idx="12">
                  <c:v>39873</c:v>
                </c:pt>
                <c:pt idx="13">
                  <c:v>39904</c:v>
                </c:pt>
                <c:pt idx="14">
                  <c:v>39934</c:v>
                </c:pt>
                <c:pt idx="15">
                  <c:v>39965</c:v>
                </c:pt>
                <c:pt idx="16">
                  <c:v>39995</c:v>
                </c:pt>
                <c:pt idx="17">
                  <c:v>40026</c:v>
                </c:pt>
                <c:pt idx="18">
                  <c:v>40057</c:v>
                </c:pt>
                <c:pt idx="19">
                  <c:v>40087</c:v>
                </c:pt>
                <c:pt idx="20">
                  <c:v>40118</c:v>
                </c:pt>
                <c:pt idx="21">
                  <c:v>40148</c:v>
                </c:pt>
                <c:pt idx="22">
                  <c:v>40179</c:v>
                </c:pt>
                <c:pt idx="23">
                  <c:v>40210</c:v>
                </c:pt>
              </c:numCache>
            </c:numRef>
          </c:cat>
          <c:val>
            <c:numRef>
              <c:f>'Purchases Detail 1.2'!$AD$6:$BA$6</c:f>
              <c:numCache>
                <c:formatCode>[$-409]mmmm\-yy;@</c:formatCode>
                <c:ptCount val="24"/>
                <c:pt idx="12" formatCode="_(&quot;$&quot;* #,##0.0000_);_(&quot;$&quot;* \(#,##0.0000\);_(&quot;$&quot;* &quot;-&quot;??_);_(@_)">
                  <c:v>2.4850000000000003</c:v>
                </c:pt>
                <c:pt idx="13" formatCode="_(&quot;$&quot;* #,##0.0000_);_(&quot;$&quot;* \(#,##0.0000\);_(&quot;$&quot;* &quot;-&quot;??_);_(@_)">
                  <c:v>2.58</c:v>
                </c:pt>
                <c:pt idx="14" formatCode="_(&quot;$&quot;* #,##0.0000_);_(&quot;$&quot;* \(#,##0.0000\);_(&quot;$&quot;* &quot;-&quot;??_);_(@_)">
                  <c:v>2.9850000000000003</c:v>
                </c:pt>
                <c:pt idx="15" formatCode="_(&quot;$&quot;* #,##0.0000_);_(&quot;$&quot;* \(#,##0.0000\);_(&quot;$&quot;* &quot;-&quot;??_);_(@_)">
                  <c:v>3.1399999999999997</c:v>
                </c:pt>
                <c:pt idx="16" formatCode="_(&quot;$&quot;* #,##0.0000_);_(&quot;$&quot;* \(#,##0.0000\);_(&quot;$&quot;* &quot;-&quot;??_);_(@_)">
                  <c:v>3.3050000000000002</c:v>
                </c:pt>
                <c:pt idx="17" formatCode="_(&quot;$&quot;* #,##0.0000_);_(&quot;$&quot;* \(#,##0.0000\);_(&quot;$&quot;* &quot;-&quot;??_);_(@_)">
                  <c:v>3.38</c:v>
                </c:pt>
                <c:pt idx="18" formatCode="_(&quot;$&quot;* #,##0.0000_);_(&quot;$&quot;* \(#,##0.0000\);_(&quot;$&quot;* &quot;-&quot;??_);_(@_)">
                  <c:v>3.46</c:v>
                </c:pt>
                <c:pt idx="19" formatCode="_(&quot;$&quot;* #,##0.0000_);_(&quot;$&quot;* \(#,##0.0000\);_(&quot;$&quot;* &quot;-&quot;??_);_(@_)">
                  <c:v>3.5949999999999998</c:v>
                </c:pt>
                <c:pt idx="20" formatCode="_(&quot;$&quot;* #,##0.0000_);_(&quot;$&quot;* \(#,##0.0000\);_(&quot;$&quot;* &quot;-&quot;??_);_(@_)">
                  <c:v>3.7450000000000001</c:v>
                </c:pt>
                <c:pt idx="21" formatCode="_(&quot;$&quot;* #,##0.0000_);_(&quot;$&quot;* \(#,##0.0000\);_(&quot;$&quot;* &quot;-&quot;??_);_(@_)">
                  <c:v>3.9550000000000001</c:v>
                </c:pt>
                <c:pt idx="22" formatCode="_(&quot;$&quot;* #,##0.0000_);_(&quot;$&quot;* \(#,##0.0000\);_(&quot;$&quot;* &quot;-&quot;??_);_(@_)">
                  <c:v>4.1500000000000004</c:v>
                </c:pt>
                <c:pt idx="23" formatCode="_(&quot;$&quot;* #,##0.0000_);_(&quot;$&quot;* \(#,##0.0000\);_(&quot;$&quot;* &quot;-&quot;??_);_(@_)">
                  <c:v>4.1549999999999994</c:v>
                </c:pt>
              </c:numCache>
            </c:numRef>
          </c:val>
          <c:smooth val="0"/>
        </c:ser>
        <c:dLbls>
          <c:showLegendKey val="0"/>
          <c:showVal val="0"/>
          <c:showCatName val="0"/>
          <c:showSerName val="0"/>
          <c:showPercent val="0"/>
          <c:showBubbleSize val="0"/>
        </c:dLbls>
        <c:smooth val="0"/>
        <c:axId val="209587696"/>
        <c:axId val="209588088"/>
      </c:lineChart>
      <c:dateAx>
        <c:axId val="20958769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$/Dth</a:t>
                </a:r>
              </a:p>
            </c:rich>
          </c:tx>
          <c:layout>
            <c:manualLayout>
              <c:xMode val="edge"/>
              <c:yMode val="edge"/>
              <c:x val="0.43096234309623432"/>
              <c:y val="0.91146881287726356"/>
            </c:manualLayout>
          </c:layout>
          <c:overlay val="0"/>
          <c:spPr>
            <a:noFill/>
            <a:ln w="25400">
              <a:noFill/>
            </a:ln>
          </c:spPr>
        </c:title>
        <c:numFmt formatCode="mmm\-yy" sourceLinked="0"/>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209588088"/>
        <c:crosses val="autoZero"/>
        <c:auto val="1"/>
        <c:lblOffset val="100"/>
        <c:baseTimeUnit val="months"/>
        <c:majorUnit val="1"/>
        <c:majorTimeUnit val="months"/>
        <c:minorUnit val="1"/>
        <c:minorTimeUnit val="months"/>
      </c:dateAx>
      <c:valAx>
        <c:axId val="209588088"/>
        <c:scaling>
          <c:orientation val="minMax"/>
        </c:scaling>
        <c:delete val="0"/>
        <c:axPos val="l"/>
        <c:majorGridlines>
          <c:spPr>
            <a:ln w="3175">
              <a:solidFill>
                <a:srgbClr val="000000"/>
              </a:solidFill>
              <a:prstDash val="solid"/>
            </a:ln>
          </c:spPr>
        </c:majorGridlines>
        <c:numFmt formatCode="[$-409]mmmm\-yy;@"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9587696"/>
        <c:crosses val="autoZero"/>
        <c:crossBetween val="between"/>
      </c:valAx>
      <c:spPr>
        <a:solidFill>
          <a:srgbClr val="FFFFFF"/>
        </a:solidFill>
        <a:ln w="12700">
          <a:solidFill>
            <a:srgbClr val="FFFFFF"/>
          </a:solidFill>
          <a:prstDash val="solid"/>
        </a:ln>
      </c:spPr>
    </c:plotArea>
    <c:legend>
      <c:legendPos val="r"/>
      <c:layout>
        <c:manualLayout>
          <c:xMode val="edge"/>
          <c:yMode val="edge"/>
          <c:x val="0.84623430962343094"/>
          <c:y val="0.42454728370221656"/>
          <c:w val="0.14539748953975096"/>
          <c:h val="9.8591549295775766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21</xdr:col>
      <xdr:colOff>828675</xdr:colOff>
      <xdr:row>470</xdr:row>
      <xdr:rowOff>38100</xdr:rowOff>
    </xdr:from>
    <xdr:to>
      <xdr:col>30</xdr:col>
      <xdr:colOff>66675</xdr:colOff>
      <xdr:row>492</xdr:row>
      <xdr:rowOff>0</xdr:rowOff>
    </xdr:to>
    <xdr:graphicFrame macro="">
      <xdr:nvGraphicFramePr>
        <xdr:cNvPr id="2"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38</xdr:col>
      <xdr:colOff>152400</xdr:colOff>
      <xdr:row>470</xdr:row>
      <xdr:rowOff>9525</xdr:rowOff>
    </xdr:from>
    <xdr:to>
      <xdr:col>48</xdr:col>
      <xdr:colOff>533400</xdr:colOff>
      <xdr:row>491</xdr:row>
      <xdr:rowOff>133350</xdr:rowOff>
    </xdr:to>
    <xdr:graphicFrame macro="">
      <xdr:nvGraphicFramePr>
        <xdr:cNvPr id="3"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409575</xdr:colOff>
      <xdr:row>9</xdr:row>
      <xdr:rowOff>47625</xdr:rowOff>
    </xdr:from>
    <xdr:to>
      <xdr:col>12</xdr:col>
      <xdr:colOff>409575</xdr:colOff>
      <xdr:row>14</xdr:row>
      <xdr:rowOff>142875</xdr:rowOff>
    </xdr:to>
    <xdr:sp macro="" textlink="">
      <xdr:nvSpPr>
        <xdr:cNvPr id="4" name="Line 26"/>
        <xdr:cNvSpPr>
          <a:spLocks noChangeShapeType="1"/>
        </xdr:cNvSpPr>
      </xdr:nvSpPr>
      <xdr:spPr bwMode="auto">
        <a:xfrm>
          <a:off x="11344275" y="1019175"/>
          <a:ext cx="0" cy="904875"/>
        </a:xfrm>
        <a:prstGeom prst="line">
          <a:avLst/>
        </a:prstGeom>
        <a:noFill/>
        <a:ln w="9525">
          <a:solidFill>
            <a:srgbClr val="000000"/>
          </a:solidFill>
          <a:round/>
          <a:headEnd/>
          <a:tailEnd type="triangle" w="med" len="med"/>
        </a:ln>
      </xdr:spPr>
    </xdr:sp>
    <xdr:clientData/>
  </xdr:twoCellAnchor>
  <xdr:twoCellAnchor>
    <xdr:from>
      <xdr:col>46</xdr:col>
      <xdr:colOff>428625</xdr:colOff>
      <xdr:row>30</xdr:row>
      <xdr:rowOff>0</xdr:rowOff>
    </xdr:from>
    <xdr:to>
      <xdr:col>54</xdr:col>
      <xdr:colOff>123825</xdr:colOff>
      <xdr:row>46</xdr:row>
      <xdr:rowOff>104775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76</xdr:col>
      <xdr:colOff>247650</xdr:colOff>
      <xdr:row>26</xdr:row>
      <xdr:rowOff>79375</xdr:rowOff>
    </xdr:from>
    <xdr:to>
      <xdr:col>89</xdr:col>
      <xdr:colOff>57150</xdr:colOff>
      <xdr:row>46</xdr:row>
      <xdr:rowOff>60325</xdr:rowOff>
    </xdr:to>
    <xdr:graphicFrame macro="">
      <xdr:nvGraphicFramePr>
        <xdr:cNvPr id="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76</xdr:col>
      <xdr:colOff>238125</xdr:colOff>
      <xdr:row>48</xdr:row>
      <xdr:rowOff>9525</xdr:rowOff>
    </xdr:from>
    <xdr:to>
      <xdr:col>89</xdr:col>
      <xdr:colOff>66675</xdr:colOff>
      <xdr:row>67</xdr:row>
      <xdr:rowOff>152400</xdr:rowOff>
    </xdr:to>
    <xdr:graphicFrame macro="">
      <xdr:nvGraphicFramePr>
        <xdr:cNvPr id="7"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21</xdr:col>
      <xdr:colOff>828675</xdr:colOff>
      <xdr:row>470</xdr:row>
      <xdr:rowOff>38100</xdr:rowOff>
    </xdr:from>
    <xdr:to>
      <xdr:col>30</xdr:col>
      <xdr:colOff>66675</xdr:colOff>
      <xdr:row>492</xdr:row>
      <xdr:rowOff>0</xdr:rowOff>
    </xdr:to>
    <xdr:graphicFrame macro="">
      <xdr:nvGraphicFramePr>
        <xdr:cNvPr id="2"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38</xdr:col>
      <xdr:colOff>152400</xdr:colOff>
      <xdr:row>470</xdr:row>
      <xdr:rowOff>9525</xdr:rowOff>
    </xdr:from>
    <xdr:to>
      <xdr:col>48</xdr:col>
      <xdr:colOff>533400</xdr:colOff>
      <xdr:row>491</xdr:row>
      <xdr:rowOff>133350</xdr:rowOff>
    </xdr:to>
    <xdr:graphicFrame macro="">
      <xdr:nvGraphicFramePr>
        <xdr:cNvPr id="3"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409575</xdr:colOff>
      <xdr:row>8</xdr:row>
      <xdr:rowOff>47625</xdr:rowOff>
    </xdr:from>
    <xdr:to>
      <xdr:col>12</xdr:col>
      <xdr:colOff>409575</xdr:colOff>
      <xdr:row>13</xdr:row>
      <xdr:rowOff>142875</xdr:rowOff>
    </xdr:to>
    <xdr:sp macro="" textlink="">
      <xdr:nvSpPr>
        <xdr:cNvPr id="4" name="Line 26"/>
        <xdr:cNvSpPr>
          <a:spLocks noChangeShapeType="1"/>
        </xdr:cNvSpPr>
      </xdr:nvSpPr>
      <xdr:spPr bwMode="auto">
        <a:xfrm>
          <a:off x="11610975" y="1019175"/>
          <a:ext cx="0" cy="904875"/>
        </a:xfrm>
        <a:prstGeom prst="line">
          <a:avLst/>
        </a:prstGeom>
        <a:noFill/>
        <a:ln w="9525">
          <a:solidFill>
            <a:srgbClr val="000000"/>
          </a:solidFill>
          <a:round/>
          <a:headEnd/>
          <a:tailEnd type="triangle" w="med" len="med"/>
        </a:ln>
      </xdr:spPr>
    </xdr:sp>
    <xdr:clientData/>
  </xdr:twoCellAnchor>
  <xdr:twoCellAnchor>
    <xdr:from>
      <xdr:col>46</xdr:col>
      <xdr:colOff>190500</xdr:colOff>
      <xdr:row>27</xdr:row>
      <xdr:rowOff>28575</xdr:rowOff>
    </xdr:from>
    <xdr:to>
      <xdr:col>60</xdr:col>
      <xdr:colOff>152400</xdr:colOff>
      <xdr:row>56</xdr:row>
      <xdr:rowOff>85725</xdr:rowOff>
    </xdr:to>
    <xdr:graphicFrame macro="">
      <xdr:nvGraphicFramePr>
        <xdr:cNvPr id="5"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180975</xdr:colOff>
      <xdr:row>26</xdr:row>
      <xdr:rowOff>142875</xdr:rowOff>
    </xdr:from>
    <xdr:to>
      <xdr:col>44</xdr:col>
      <xdr:colOff>523875</xdr:colOff>
      <xdr:row>56</xdr:row>
      <xdr:rowOff>28575</xdr:rowOff>
    </xdr:to>
    <xdr:graphicFrame macro="">
      <xdr:nvGraphicFramePr>
        <xdr:cNvPr id="6"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yFiles\QGC%20191%20issues\09-057-03\Questar%20191.09-057-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mbarrow\LOCALS~1\Temp\XPgrpwise\Exhibits%201.1%20-%201.7%20(Model-Nov%20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yFiles\QGC%20191%20issues\09-057-12\Questar%20Docket%2009-057-12%20Mod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aurieharris\Downloads\Pass%20through%20Model%20-%20Jul%2014%20thru%20Jun%2015.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yFiles\QGC%20191%20issues\11-057-02\Questar%20191.11-057-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yFiles\QGC%20191%20issues\09-057-03\MHB%20for%20191.09-057-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ah Summary-by class"/>
      <sheetName val="Proof of top sheet "/>
      <sheetName val="Gas Balance"/>
      <sheetName val="WEXPRO 1.1"/>
      <sheetName val="Purchases Detail 1.2"/>
      <sheetName val="Transportation &amp; Gathering 1.3"/>
      <sheetName val="Gas Cost &amp; Alloc 1.4 &amp; 1.5"/>
      <sheetName val="Test yr gas cost change 1.6"/>
      <sheetName val="Tariff Sheets"/>
      <sheetName val="Detail Reconcilation"/>
      <sheetName val="Sheet2"/>
    </sheetNames>
    <sheetDataSet>
      <sheetData sheetId="0">
        <row r="5">
          <cell r="C5" t="str">
            <v>Current</v>
          </cell>
          <cell r="D5" t="str">
            <v>Proposed</v>
          </cell>
          <cell r="E5" t="str">
            <v>Current</v>
          </cell>
          <cell r="F5" t="str">
            <v>Proposed</v>
          </cell>
          <cell r="G5" t="str">
            <v>Revenue</v>
          </cell>
          <cell r="H5" t="str">
            <v>%</v>
          </cell>
        </row>
        <row r="6">
          <cell r="A6" t="str">
            <v>RATE</v>
          </cell>
          <cell r="B6" t="str">
            <v>Dth Sales</v>
          </cell>
          <cell r="C6" t="str">
            <v>Rates</v>
          </cell>
          <cell r="D6" t="str">
            <v>Rates</v>
          </cell>
          <cell r="E6" t="str">
            <v>Revenue</v>
          </cell>
          <cell r="F6" t="str">
            <v>Revenue</v>
          </cell>
          <cell r="G6" t="str">
            <v>Difference</v>
          </cell>
          <cell r="H6" t="str">
            <v>Change</v>
          </cell>
        </row>
        <row r="8">
          <cell r="A8" t="str">
            <v>GS-1 (W)</v>
          </cell>
          <cell r="B8">
            <v>64467801</v>
          </cell>
          <cell r="C8">
            <v>5.6968100000000002</v>
          </cell>
          <cell r="D8">
            <v>4.1926964044563446</v>
          </cell>
          <cell r="E8">
            <v>367260813</v>
          </cell>
          <cell r="F8">
            <v>270293917</v>
          </cell>
          <cell r="G8">
            <v>-96966896</v>
          </cell>
        </row>
        <row r="9">
          <cell r="A9" t="str">
            <v>GS-1 (S)</v>
          </cell>
          <cell r="B9">
            <v>25083540</v>
          </cell>
          <cell r="C9">
            <v>5.6968100000000002</v>
          </cell>
          <cell r="D9">
            <v>4.1926964044563446</v>
          </cell>
          <cell r="E9">
            <v>142896162</v>
          </cell>
          <cell r="F9">
            <v>105167668</v>
          </cell>
          <cell r="G9">
            <v>-37728494</v>
          </cell>
        </row>
        <row r="10">
          <cell r="A10" t="str">
            <v>Total</v>
          </cell>
          <cell r="B10">
            <v>89551341</v>
          </cell>
          <cell r="E10">
            <v>510156975</v>
          </cell>
          <cell r="F10">
            <v>375461585</v>
          </cell>
          <cell r="G10">
            <v>-134695390</v>
          </cell>
          <cell r="H10">
            <v>-0.26402734178043924</v>
          </cell>
        </row>
        <row r="12">
          <cell r="A12" t="str">
            <v>GS-S (W)</v>
          </cell>
          <cell r="B12">
            <v>451506</v>
          </cell>
          <cell r="C12">
            <v>5.6968100000000002</v>
          </cell>
          <cell r="D12">
            <v>4.1926964044563446</v>
          </cell>
          <cell r="E12">
            <v>2572144</v>
          </cell>
          <cell r="F12">
            <v>1893028</v>
          </cell>
          <cell r="G12">
            <v>-679116</v>
          </cell>
        </row>
        <row r="13">
          <cell r="A13" t="str">
            <v>GS-S (S)</v>
          </cell>
          <cell r="B13">
            <v>168378</v>
          </cell>
          <cell r="C13">
            <v>5.6968100000000002</v>
          </cell>
          <cell r="D13">
            <v>4.1926964044563446</v>
          </cell>
          <cell r="E13">
            <v>959217</v>
          </cell>
          <cell r="F13">
            <v>705958</v>
          </cell>
          <cell r="G13">
            <v>-253259</v>
          </cell>
        </row>
        <row r="14">
          <cell r="A14" t="str">
            <v>Total</v>
          </cell>
          <cell r="B14">
            <v>619884</v>
          </cell>
          <cell r="E14">
            <v>3531361</v>
          </cell>
          <cell r="F14">
            <v>2598986</v>
          </cell>
          <cell r="G14">
            <v>-932375</v>
          </cell>
          <cell r="H14">
            <v>-0.26402709890039561</v>
          </cell>
        </row>
        <row r="16">
          <cell r="A16" t="str">
            <v>F-1</v>
          </cell>
          <cell r="B16">
            <v>3925848</v>
          </cell>
          <cell r="C16">
            <v>5.6968100000000002</v>
          </cell>
          <cell r="D16">
            <v>4.1926964044563446</v>
          </cell>
          <cell r="E16">
            <v>22364810</v>
          </cell>
          <cell r="F16">
            <v>16459889</v>
          </cell>
          <cell r="G16">
            <v>-5904921</v>
          </cell>
        </row>
        <row r="17">
          <cell r="B17">
            <v>3833123</v>
          </cell>
          <cell r="C17">
            <v>5.6968100000000002</v>
          </cell>
          <cell r="D17">
            <v>4.1926964044563446</v>
          </cell>
          <cell r="E17">
            <v>21836573</v>
          </cell>
          <cell r="F17">
            <v>16071121</v>
          </cell>
          <cell r="G17">
            <v>-5765452</v>
          </cell>
        </row>
        <row r="18">
          <cell r="A18" t="str">
            <v>Total</v>
          </cell>
          <cell r="B18">
            <v>7758971</v>
          </cell>
          <cell r="E18">
            <v>44201383</v>
          </cell>
          <cell r="F18">
            <v>32531010</v>
          </cell>
          <cell r="G18">
            <v>-11670373</v>
          </cell>
          <cell r="H18">
            <v>-0.26402732692775699</v>
          </cell>
        </row>
        <row r="20">
          <cell r="A20" t="str">
            <v>F-3</v>
          </cell>
          <cell r="B20">
            <v>0</v>
          </cell>
          <cell r="C20">
            <v>8.5452150000000007</v>
          </cell>
          <cell r="D20">
            <v>6.2890446066845165</v>
          </cell>
          <cell r="E20">
            <v>0</v>
          </cell>
          <cell r="F20">
            <v>0</v>
          </cell>
          <cell r="G20">
            <v>0</v>
          </cell>
          <cell r="H20">
            <v>0</v>
          </cell>
        </row>
        <row r="22">
          <cell r="A22" t="str">
            <v>F-4</v>
          </cell>
          <cell r="B22">
            <v>365533</v>
          </cell>
          <cell r="C22">
            <v>5.6968100000000002</v>
          </cell>
          <cell r="D22">
            <v>4.1926964044563446</v>
          </cell>
          <cell r="E22">
            <v>2082372</v>
          </cell>
          <cell r="F22">
            <v>1532569</v>
          </cell>
          <cell r="G22">
            <v>-549803</v>
          </cell>
          <cell r="H22">
            <v>-0.26402727274473531</v>
          </cell>
        </row>
        <row r="24">
          <cell r="A24" t="str">
            <v>NGV</v>
          </cell>
          <cell r="B24">
            <v>182113</v>
          </cell>
          <cell r="C24">
            <v>5.6968100000000002</v>
          </cell>
          <cell r="D24">
            <v>4.1926964044563446</v>
          </cell>
          <cell r="E24">
            <v>1037463</v>
          </cell>
          <cell r="F24">
            <v>763545</v>
          </cell>
          <cell r="G24">
            <v>-273918</v>
          </cell>
          <cell r="H24">
            <v>-0.26402676529187064</v>
          </cell>
        </row>
        <row r="26">
          <cell r="A26" t="str">
            <v>I-2</v>
          </cell>
          <cell r="B26">
            <v>0</v>
          </cell>
        </row>
        <row r="28">
          <cell r="A28" t="str">
            <v>I-S2</v>
          </cell>
          <cell r="B28">
            <v>0</v>
          </cell>
        </row>
        <row r="30">
          <cell r="A30" t="str">
            <v>I-4</v>
          </cell>
          <cell r="B30">
            <v>2027219</v>
          </cell>
          <cell r="C30">
            <v>0</v>
          </cell>
          <cell r="D30">
            <v>0</v>
          </cell>
          <cell r="E30">
            <v>0</v>
          </cell>
          <cell r="F30">
            <v>0</v>
          </cell>
          <cell r="G30">
            <v>0</v>
          </cell>
          <cell r="H30">
            <v>0</v>
          </cell>
        </row>
        <row r="32">
          <cell r="A32" t="str">
            <v>I-S4</v>
          </cell>
          <cell r="B32">
            <v>341800</v>
          </cell>
          <cell r="C32">
            <v>0</v>
          </cell>
          <cell r="D32">
            <v>0</v>
          </cell>
          <cell r="E32">
            <v>0</v>
          </cell>
          <cell r="F32">
            <v>0</v>
          </cell>
          <cell r="G32">
            <v>0</v>
          </cell>
          <cell r="H32">
            <v>0</v>
          </cell>
        </row>
        <row r="34">
          <cell r="A34" t="str">
            <v>T-1</v>
          </cell>
          <cell r="B34">
            <v>0</v>
          </cell>
          <cell r="C34">
            <v>0</v>
          </cell>
          <cell r="D34">
            <v>0</v>
          </cell>
          <cell r="E34">
            <v>0</v>
          </cell>
          <cell r="F34">
            <v>0</v>
          </cell>
          <cell r="G34">
            <v>0</v>
          </cell>
          <cell r="H34">
            <v>0</v>
          </cell>
        </row>
        <row r="36">
          <cell r="A36" t="str">
            <v>E-1</v>
          </cell>
          <cell r="B36">
            <v>0</v>
          </cell>
          <cell r="E36">
            <v>0</v>
          </cell>
          <cell r="F36">
            <v>0</v>
          </cell>
          <cell r="G36">
            <v>0</v>
          </cell>
          <cell r="H36">
            <v>0</v>
          </cell>
        </row>
        <row r="37">
          <cell r="B37" t="str">
            <v>-</v>
          </cell>
          <cell r="E37" t="str">
            <v>-</v>
          </cell>
          <cell r="F37" t="str">
            <v>-</v>
          </cell>
          <cell r="G37" t="str">
            <v>-</v>
          </cell>
        </row>
        <row r="38">
          <cell r="B38">
            <v>100846861</v>
          </cell>
          <cell r="E38">
            <v>561009554</v>
          </cell>
          <cell r="F38">
            <v>412887695</v>
          </cell>
          <cell r="G38">
            <v>-148121859</v>
          </cell>
          <cell r="H38">
            <v>-0.26402733775902859</v>
          </cell>
        </row>
        <row r="39">
          <cell r="G39" t="str">
            <v>Commodity Decrease</v>
          </cell>
        </row>
      </sheetData>
      <sheetData sheetId="1" refreshError="1"/>
      <sheetData sheetId="2">
        <row r="28">
          <cell r="B28" t="str">
            <v xml:space="preserve">PREVIOUS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Monthly Inputs"/>
      <sheetName val="Other Inputs"/>
      <sheetName val="Calculations"/>
      <sheetName val="Utah Summary-by class"/>
      <sheetName val="UT Summary - by cost"/>
      <sheetName val="WY Summary - by cost"/>
      <sheetName val="SDR#1"/>
      <sheetName val="SDR#2"/>
      <sheetName val="SDR#3"/>
      <sheetName val="SDR#4"/>
      <sheetName val="Wy SDR#1"/>
      <sheetName val="CET &amp; DSM"/>
      <sheetName val="Ut 1.1"/>
      <sheetName val="Ut 1.2"/>
      <sheetName val="Ut 1.3 p1"/>
      <sheetName val="Ut 1.3 p2"/>
      <sheetName val="Ut 1.4 p1"/>
      <sheetName val="Ut 1.4 p2"/>
      <sheetName val="Ut 1.4 p3"/>
      <sheetName val="Ut 1.5"/>
      <sheetName val="Ut 1.6 p1"/>
      <sheetName val="Ut 1.6 p2"/>
      <sheetName val="Ut 1.6 p3"/>
      <sheetName val="Ut 1.6 p4"/>
      <sheetName val="Ut 1.7"/>
      <sheetName val="Ut 1.8"/>
      <sheetName val="Ut 1.9"/>
      <sheetName val="Ut Storage"/>
      <sheetName val="Wy Storage"/>
      <sheetName val="Ex 1.1 Data"/>
      <sheetName val="Clay Basin Capacity"/>
      <sheetName val="Clay Basin Demand"/>
      <sheetName val="Expenses"/>
      <sheetName val="Rate Base"/>
      <sheetName val="RevRun Fcst"/>
      <sheetName val="Contract Purchases"/>
      <sheetName val="Exhibits 1.1 -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I1" t="str">
            <v>Questar Gas Company</v>
          </cell>
        </row>
        <row r="2">
          <cell r="I2" t="str">
            <v>Docket No. 07-057-09</v>
          </cell>
        </row>
        <row r="3">
          <cell r="I3" t="str">
            <v>Exhibit 1.2</v>
          </cell>
        </row>
        <row r="8">
          <cell r="B8" t="str">
            <v xml:space="preserve">     TEST YEAR PURCHASED GAS COSTS</v>
          </cell>
        </row>
        <row r="11">
          <cell r="D11" t="str">
            <v xml:space="preserve">     (A)</v>
          </cell>
          <cell r="E11" t="str">
            <v>(B)</v>
          </cell>
          <cell r="F11" t="str">
            <v>(C)</v>
          </cell>
          <cell r="G11" t="str">
            <v>(D)</v>
          </cell>
        </row>
        <row r="12">
          <cell r="F12" t="str">
            <v>Cost</v>
          </cell>
        </row>
        <row r="13">
          <cell r="B13" t="str">
            <v xml:space="preserve"> </v>
          </cell>
          <cell r="C13" t="str">
            <v xml:space="preserve">    Component</v>
          </cell>
          <cell r="E13" t="str">
            <v>Dth</v>
          </cell>
          <cell r="F13" t="str">
            <v>per Dth</v>
          </cell>
          <cell r="G13" t="str">
            <v>Total Cost</v>
          </cell>
        </row>
        <row r="14">
          <cell r="B14" t="str">
            <v xml:space="preserve"> </v>
          </cell>
        </row>
        <row r="15">
          <cell r="B15">
            <v>1</v>
          </cell>
          <cell r="C15" t="str">
            <v>Current Contracts</v>
          </cell>
          <cell r="G15">
            <v>217144592</v>
          </cell>
        </row>
        <row r="16">
          <cell r="B16">
            <v>2</v>
          </cell>
          <cell r="C16" t="str">
            <v>Stabilization Costs</v>
          </cell>
          <cell r="G16">
            <v>1999999.9800000002</v>
          </cell>
        </row>
        <row r="17">
          <cell r="B17">
            <v>3</v>
          </cell>
          <cell r="D17" t="str">
            <v>Total Current Contracts</v>
          </cell>
          <cell r="E17">
            <v>45226300</v>
          </cell>
          <cell r="F17">
            <v>4.8455122789173553</v>
          </cell>
          <cell r="G17">
            <v>219144591.97999999</v>
          </cell>
        </row>
        <row r="19">
          <cell r="B19">
            <v>4</v>
          </cell>
          <cell r="C19" t="str">
            <v>Forecast Spot</v>
          </cell>
          <cell r="E19">
            <v>4177354</v>
          </cell>
          <cell r="F19">
            <v>4.8765407480428999</v>
          </cell>
          <cell r="G19">
            <v>20371037</v>
          </cell>
        </row>
        <row r="21">
          <cell r="B21">
            <v>5</v>
          </cell>
          <cell r="C21" t="str">
            <v>Future Contracts</v>
          </cell>
          <cell r="E21">
            <v>17779742</v>
          </cell>
          <cell r="F21">
            <v>4.7905004470818531</v>
          </cell>
          <cell r="G21">
            <v>85173862</v>
          </cell>
        </row>
        <row r="24">
          <cell r="B24">
            <v>6</v>
          </cell>
          <cell r="C24" t="str">
            <v>Total Gas Purchased</v>
          </cell>
          <cell r="E24">
            <v>67183396</v>
          </cell>
          <cell r="F24">
            <v>4.8328829787050367</v>
          </cell>
          <cell r="G24">
            <v>324689490.98000002</v>
          </cell>
        </row>
      </sheetData>
      <sheetData sheetId="15">
        <row r="1">
          <cell r="L1" t="str">
            <v>Questar Gas Company</v>
          </cell>
        </row>
        <row r="2">
          <cell r="L2" t="str">
            <v>Docket No. 07-057-09</v>
          </cell>
        </row>
        <row r="3">
          <cell r="L3" t="str">
            <v>Exhibit 1.3</v>
          </cell>
        </row>
        <row r="4">
          <cell r="L4" t="str">
            <v>Page 1 of 2</v>
          </cell>
        </row>
        <row r="8">
          <cell r="B8" t="str">
            <v xml:space="preserve"> TEST YEAR TRANSPORTATION, GATHERING AND PROCESSING CHARGES</v>
          </cell>
        </row>
        <row r="11">
          <cell r="B11" t="str">
            <v>(A)</v>
          </cell>
          <cell r="D11" t="str">
            <v>(B)</v>
          </cell>
          <cell r="F11" t="str">
            <v>(C)</v>
          </cell>
          <cell r="H11" t="str">
            <v>(D)</v>
          </cell>
          <cell r="J11" t="str">
            <v>(E)</v>
          </cell>
          <cell r="K11" t="str">
            <v>(F)</v>
          </cell>
        </row>
        <row r="12">
          <cell r="D12" t="str">
            <v>Dth</v>
          </cell>
          <cell r="F12" t="str">
            <v>Months/Days</v>
          </cell>
          <cell r="H12" t="str">
            <v>Rate</v>
          </cell>
          <cell r="K12" t="str">
            <v>Total Costs</v>
          </cell>
        </row>
        <row r="14">
          <cell r="B14" t="str">
            <v>TRANSPORTATION DEMAND</v>
          </cell>
        </row>
        <row r="16">
          <cell r="B16" t="str">
            <v>QPC Demand</v>
          </cell>
        </row>
        <row r="17">
          <cell r="A17">
            <v>1</v>
          </cell>
          <cell r="B17" t="str">
            <v>T-1 Transportation - Yearly</v>
          </cell>
          <cell r="D17">
            <v>900902</v>
          </cell>
          <cell r="E17" t="str">
            <v xml:space="preserve"> x</v>
          </cell>
          <cell r="F17">
            <v>12</v>
          </cell>
          <cell r="G17" t="str">
            <v>x</v>
          </cell>
          <cell r="H17">
            <v>5.2880399999999996</v>
          </cell>
          <cell r="I17" t="str">
            <v>=</v>
          </cell>
          <cell r="J17">
            <v>57168070</v>
          </cell>
        </row>
        <row r="18">
          <cell r="A18">
            <v>2</v>
          </cell>
          <cell r="B18" t="str">
            <v>No-Notice Transportation</v>
          </cell>
          <cell r="D18">
            <v>203542</v>
          </cell>
          <cell r="E18" t="str">
            <v xml:space="preserve"> x</v>
          </cell>
          <cell r="F18">
            <v>12</v>
          </cell>
          <cell r="G18" t="str">
            <v>x</v>
          </cell>
          <cell r="H18">
            <v>0.86753000000000002</v>
          </cell>
          <cell r="I18" t="str">
            <v>=</v>
          </cell>
          <cell r="J18">
            <v>2118945</v>
          </cell>
        </row>
        <row r="19">
          <cell r="A19">
            <v>3</v>
          </cell>
          <cell r="B19" t="str">
            <v>Capacity Release Credits</v>
          </cell>
          <cell r="J19">
            <v>-3353658</v>
          </cell>
        </row>
        <row r="20">
          <cell r="A20">
            <v>4</v>
          </cell>
          <cell r="C20" t="str">
            <v>Total</v>
          </cell>
          <cell r="J20">
            <v>55933357</v>
          </cell>
        </row>
        <row r="22">
          <cell r="B22" t="str">
            <v>Kern River Demand</v>
          </cell>
        </row>
        <row r="23">
          <cell r="A23">
            <v>5</v>
          </cell>
          <cell r="B23" t="str">
            <v>January - December</v>
          </cell>
          <cell r="D23">
            <v>3000</v>
          </cell>
          <cell r="E23" t="str">
            <v xml:space="preserve"> x</v>
          </cell>
          <cell r="F23">
            <v>12</v>
          </cell>
          <cell r="G23" t="str">
            <v>x</v>
          </cell>
          <cell r="H23">
            <v>15.987</v>
          </cell>
          <cell r="I23" t="str">
            <v>=</v>
          </cell>
          <cell r="J23">
            <v>575532</v>
          </cell>
        </row>
        <row r="24">
          <cell r="A24">
            <v>6</v>
          </cell>
          <cell r="B24" t="str">
            <v>November - March</v>
          </cell>
          <cell r="D24">
            <v>50000</v>
          </cell>
          <cell r="E24" t="str">
            <v xml:space="preserve"> x</v>
          </cell>
          <cell r="F24">
            <v>5</v>
          </cell>
          <cell r="G24" t="str">
            <v>x</v>
          </cell>
          <cell r="H24">
            <v>15.987</v>
          </cell>
          <cell r="I24" t="str">
            <v>=</v>
          </cell>
          <cell r="J24">
            <v>3996750</v>
          </cell>
        </row>
        <row r="25">
          <cell r="A25">
            <v>7</v>
          </cell>
          <cell r="C25" t="str">
            <v>Total</v>
          </cell>
          <cell r="J25">
            <v>4572282</v>
          </cell>
        </row>
        <row r="27">
          <cell r="A27">
            <v>8</v>
          </cell>
          <cell r="B27" t="str">
            <v>Total Transportation Demand (SNG)</v>
          </cell>
          <cell r="K27">
            <v>60505639</v>
          </cell>
        </row>
        <row r="30">
          <cell r="B30" t="str">
            <v>TRANSPORTATION COMMODITY</v>
          </cell>
        </row>
        <row r="32">
          <cell r="B32" t="str">
            <v>QPC Commodity</v>
          </cell>
        </row>
        <row r="33">
          <cell r="A33">
            <v>9</v>
          </cell>
          <cell r="B33" t="str">
            <v>QPC Commodity (SNG)</v>
          </cell>
          <cell r="D33">
            <v>115079302.38000001</v>
          </cell>
          <cell r="G33" t="str">
            <v>x</v>
          </cell>
          <cell r="H33">
            <v>2.6700000000000001E-3</v>
          </cell>
          <cell r="I33" t="str">
            <v>=</v>
          </cell>
          <cell r="J33">
            <v>307262</v>
          </cell>
        </row>
        <row r="34">
          <cell r="A34">
            <v>10</v>
          </cell>
          <cell r="B34" t="str">
            <v>ACA</v>
          </cell>
          <cell r="D34">
            <v>123724302.38000001</v>
          </cell>
          <cell r="G34" t="str">
            <v>x</v>
          </cell>
          <cell r="H34">
            <v>1.9E-3</v>
          </cell>
          <cell r="I34" t="str">
            <v>=</v>
          </cell>
          <cell r="J34">
            <v>235076</v>
          </cell>
        </row>
        <row r="35">
          <cell r="A35">
            <v>11</v>
          </cell>
          <cell r="C35" t="str">
            <v>Total</v>
          </cell>
          <cell r="J35">
            <v>542338</v>
          </cell>
        </row>
        <row r="37">
          <cell r="B37" t="str">
            <v>Kern River Commodity</v>
          </cell>
          <cell r="M37" t="str">
            <v>Kern River Dth</v>
          </cell>
        </row>
        <row r="38">
          <cell r="A38">
            <v>12</v>
          </cell>
          <cell r="B38" t="str">
            <v>January - December</v>
          </cell>
          <cell r="D38">
            <v>3000</v>
          </cell>
          <cell r="E38" t="str">
            <v xml:space="preserve"> x</v>
          </cell>
          <cell r="F38">
            <v>365</v>
          </cell>
          <cell r="G38" t="str">
            <v>x</v>
          </cell>
          <cell r="H38">
            <v>0.06</v>
          </cell>
          <cell r="I38" t="str">
            <v>=</v>
          </cell>
          <cell r="J38">
            <v>65700</v>
          </cell>
          <cell r="M38">
            <v>1095000</v>
          </cell>
          <cell r="N38" t="str">
            <v>Dth</v>
          </cell>
        </row>
        <row r="39">
          <cell r="A39">
            <v>13</v>
          </cell>
          <cell r="B39" t="str">
            <v>November - March</v>
          </cell>
          <cell r="D39">
            <v>50000</v>
          </cell>
          <cell r="E39" t="str">
            <v xml:space="preserve"> x</v>
          </cell>
          <cell r="F39">
            <v>151</v>
          </cell>
          <cell r="G39" t="str">
            <v>x</v>
          </cell>
          <cell r="H39">
            <v>0.06</v>
          </cell>
          <cell r="I39" t="str">
            <v>=</v>
          </cell>
          <cell r="J39">
            <v>453000</v>
          </cell>
          <cell r="M39">
            <v>7550000</v>
          </cell>
          <cell r="N39" t="str">
            <v>Dth</v>
          </cell>
        </row>
        <row r="40">
          <cell r="A40">
            <v>14</v>
          </cell>
          <cell r="C40" t="str">
            <v>Total (SNG)</v>
          </cell>
          <cell r="J40">
            <v>518700</v>
          </cell>
          <cell r="M40">
            <v>8645000</v>
          </cell>
          <cell r="N40" t="str">
            <v>Dth</v>
          </cell>
        </row>
        <row r="42">
          <cell r="A42">
            <v>15</v>
          </cell>
          <cell r="B42" t="str">
            <v>Total Transportation Commodity</v>
          </cell>
          <cell r="K42">
            <v>1061038</v>
          </cell>
        </row>
        <row r="45">
          <cell r="B45" t="str">
            <v>OTHER CHARGES</v>
          </cell>
        </row>
        <row r="47">
          <cell r="A47">
            <v>16</v>
          </cell>
          <cell r="B47" t="str">
            <v>QGM Gathering Demand</v>
          </cell>
          <cell r="F47">
            <v>12</v>
          </cell>
          <cell r="G47" t="str">
            <v>x</v>
          </cell>
          <cell r="H47">
            <v>888053</v>
          </cell>
          <cell r="I47" t="str">
            <v xml:space="preserve"> = </v>
          </cell>
          <cell r="J47">
            <v>10656636</v>
          </cell>
        </row>
        <row r="48">
          <cell r="A48">
            <v>17</v>
          </cell>
          <cell r="B48" t="str">
            <v>QGM Gathering Commodity</v>
          </cell>
          <cell r="D48">
            <v>35238293.298407443</v>
          </cell>
          <cell r="G48" t="str">
            <v>x</v>
          </cell>
          <cell r="H48">
            <v>0.19148000000000001</v>
          </cell>
          <cell r="I48" t="str">
            <v xml:space="preserve"> = </v>
          </cell>
          <cell r="J48">
            <v>6747428</v>
          </cell>
        </row>
        <row r="49">
          <cell r="A49">
            <v>18</v>
          </cell>
          <cell r="C49" t="str">
            <v>Total QGM Gathering (SNG)</v>
          </cell>
          <cell r="K49">
            <v>17404064</v>
          </cell>
        </row>
        <row r="51">
          <cell r="A51">
            <v>19</v>
          </cell>
          <cell r="B51" t="str">
            <v>Other Gathering &amp; Processing Charges</v>
          </cell>
          <cell r="J51">
            <v>2262956</v>
          </cell>
        </row>
        <row r="52">
          <cell r="A52">
            <v>20</v>
          </cell>
          <cell r="B52" t="str">
            <v>Other Transportation Charges</v>
          </cell>
          <cell r="J52">
            <v>1879659</v>
          </cell>
        </row>
        <row r="53">
          <cell r="A53">
            <v>21</v>
          </cell>
          <cell r="C53" t="str">
            <v>Total Other Gathering, Processing and Transportation (SNG)</v>
          </cell>
          <cell r="K53">
            <v>4142615</v>
          </cell>
        </row>
        <row r="55">
          <cell r="A55">
            <v>22</v>
          </cell>
          <cell r="B55" t="str">
            <v>Gas Management Costs</v>
          </cell>
          <cell r="K55">
            <v>5731235.2712897882</v>
          </cell>
        </row>
        <row r="58">
          <cell r="A58">
            <v>23</v>
          </cell>
          <cell r="B58" t="str">
            <v>TOTAL TRANSPORTATION AND OTHER CHARGES</v>
          </cell>
          <cell r="K58">
            <v>88844591.271289796</v>
          </cell>
        </row>
      </sheetData>
      <sheetData sheetId="16">
        <row r="1">
          <cell r="L1" t="str">
            <v>Questar Gas Company</v>
          </cell>
        </row>
        <row r="2">
          <cell r="L2" t="str">
            <v>Docket No. 07-057-09</v>
          </cell>
        </row>
        <row r="3">
          <cell r="L3" t="str">
            <v>Exhibit 1.3</v>
          </cell>
        </row>
        <row r="4">
          <cell r="L4" t="str">
            <v>Page 2 of 2</v>
          </cell>
        </row>
        <row r="8">
          <cell r="B8" t="str">
            <v>TEST YEAR STORAGE AND WORKING GAS CHARGES</v>
          </cell>
        </row>
        <row r="11">
          <cell r="B11" t="str">
            <v>(A)</v>
          </cell>
          <cell r="D11" t="str">
            <v>(B)</v>
          </cell>
          <cell r="F11" t="str">
            <v>(C)</v>
          </cell>
          <cell r="H11" t="str">
            <v>(D)</v>
          </cell>
          <cell r="J11" t="str">
            <v>(E)</v>
          </cell>
          <cell r="K11" t="str">
            <v>(F)</v>
          </cell>
        </row>
        <row r="13">
          <cell r="B13" t="str">
            <v>STORAGE CHARGES   1/</v>
          </cell>
        </row>
        <row r="15">
          <cell r="B15" t="str">
            <v>Component</v>
          </cell>
          <cell r="D15" t="str">
            <v>Dth</v>
          </cell>
          <cell r="F15" t="str">
            <v>Months</v>
          </cell>
          <cell r="H15" t="str">
            <v>Rate</v>
          </cell>
          <cell r="K15" t="str">
            <v>Total Costs</v>
          </cell>
        </row>
        <row r="16">
          <cell r="B16" t="str">
            <v>Storage Demand</v>
          </cell>
        </row>
        <row r="17">
          <cell r="A17">
            <v>1</v>
          </cell>
          <cell r="B17" t="str">
            <v>Peaking Demand</v>
          </cell>
          <cell r="D17">
            <v>184625</v>
          </cell>
          <cell r="E17" t="str">
            <v>x</v>
          </cell>
          <cell r="F17">
            <v>12</v>
          </cell>
          <cell r="G17" t="str">
            <v xml:space="preserve">x </v>
          </cell>
          <cell r="H17">
            <v>2.8737500338524042</v>
          </cell>
          <cell r="I17" t="str">
            <v>=</v>
          </cell>
          <cell r="J17">
            <v>6366793</v>
          </cell>
        </row>
        <row r="18">
          <cell r="A18">
            <v>2</v>
          </cell>
          <cell r="B18" t="str">
            <v>Clay Basin Demand</v>
          </cell>
          <cell r="D18">
            <v>111827</v>
          </cell>
          <cell r="E18" t="str">
            <v>x</v>
          </cell>
          <cell r="F18">
            <v>12</v>
          </cell>
          <cell r="G18" t="str">
            <v xml:space="preserve">x </v>
          </cell>
          <cell r="H18">
            <v>2.8533799529630586</v>
          </cell>
          <cell r="I18" t="str">
            <v>=</v>
          </cell>
          <cell r="J18">
            <v>3829019</v>
          </cell>
        </row>
        <row r="19">
          <cell r="A19">
            <v>3</v>
          </cell>
          <cell r="B19" t="str">
            <v>Clay Basin Capacity</v>
          </cell>
          <cell r="D19">
            <v>13419000</v>
          </cell>
          <cell r="E19" t="str">
            <v>x</v>
          </cell>
          <cell r="F19">
            <v>12</v>
          </cell>
          <cell r="G19" t="str">
            <v xml:space="preserve">x </v>
          </cell>
          <cell r="H19">
            <v>2.3779999999999996E-2</v>
          </cell>
          <cell r="I19" t="str">
            <v>=</v>
          </cell>
          <cell r="J19">
            <v>3829246</v>
          </cell>
        </row>
        <row r="20">
          <cell r="A20">
            <v>4</v>
          </cell>
          <cell r="C20" t="str">
            <v>Total Demand Charges</v>
          </cell>
          <cell r="J20">
            <v>14025058</v>
          </cell>
        </row>
        <row r="22">
          <cell r="B22" t="str">
            <v>Storage Commodity  2/</v>
          </cell>
        </row>
        <row r="23">
          <cell r="A23">
            <v>5</v>
          </cell>
          <cell r="B23" t="str">
            <v>Peaking Injections</v>
          </cell>
          <cell r="D23">
            <v>1213202</v>
          </cell>
          <cell r="F23" t="str">
            <v xml:space="preserve">x </v>
          </cell>
          <cell r="H23">
            <v>3.8719999999999997E-2</v>
          </cell>
          <cell r="I23" t="str">
            <v>=</v>
          </cell>
          <cell r="J23">
            <v>46975</v>
          </cell>
        </row>
        <row r="24">
          <cell r="A24">
            <v>6</v>
          </cell>
          <cell r="B24" t="str">
            <v>Peaking Withdrawals</v>
          </cell>
          <cell r="D24">
            <v>983000</v>
          </cell>
          <cell r="F24" t="str">
            <v xml:space="preserve">x </v>
          </cell>
          <cell r="H24">
            <v>3.8719999999999997E-2</v>
          </cell>
          <cell r="I24" t="str">
            <v>=</v>
          </cell>
          <cell r="J24">
            <v>38062</v>
          </cell>
        </row>
        <row r="25">
          <cell r="A25">
            <v>7</v>
          </cell>
          <cell r="B25" t="str">
            <v>Clay Basin Injections</v>
          </cell>
          <cell r="D25">
            <v>14262698</v>
          </cell>
          <cell r="F25" t="str">
            <v xml:space="preserve">x </v>
          </cell>
          <cell r="H25">
            <v>1.0489999999999999E-2</v>
          </cell>
          <cell r="I25" t="str">
            <v>=</v>
          </cell>
          <cell r="J25">
            <v>149616</v>
          </cell>
        </row>
        <row r="26">
          <cell r="A26">
            <v>8</v>
          </cell>
          <cell r="B26" t="str">
            <v>Clay Basin Withdrawals</v>
          </cell>
          <cell r="D26">
            <v>12953126</v>
          </cell>
          <cell r="F26" t="str">
            <v xml:space="preserve">x </v>
          </cell>
          <cell r="H26">
            <v>1.7809999999999999E-2</v>
          </cell>
          <cell r="I26" t="str">
            <v>=</v>
          </cell>
          <cell r="J26">
            <v>230695</v>
          </cell>
        </row>
        <row r="27">
          <cell r="A27">
            <v>9</v>
          </cell>
          <cell r="C27" t="str">
            <v>Total Commodity Charges</v>
          </cell>
          <cell r="J27">
            <v>465348</v>
          </cell>
        </row>
        <row r="29">
          <cell r="A29">
            <v>10</v>
          </cell>
          <cell r="B29" t="str">
            <v>Total Storage Charges</v>
          </cell>
          <cell r="K29">
            <v>14490406</v>
          </cell>
        </row>
        <row r="32">
          <cell r="B32" t="str">
            <v>WORKING GAS CHARGES  -  QGC Account 164</v>
          </cell>
        </row>
        <row r="34">
          <cell r="C34" t="str">
            <v>Month</v>
          </cell>
          <cell r="D34" t="str">
            <v>Amount</v>
          </cell>
          <cell r="H34" t="str">
            <v>Pre-Tax Return %</v>
          </cell>
        </row>
        <row r="36">
          <cell r="A36">
            <v>11</v>
          </cell>
          <cell r="C36">
            <v>38935</v>
          </cell>
          <cell r="D36">
            <v>56788370.299999997</v>
          </cell>
        </row>
        <row r="37">
          <cell r="A37">
            <v>12</v>
          </cell>
          <cell r="C37">
            <v>38965</v>
          </cell>
          <cell r="D37">
            <v>60937275.039999999</v>
          </cell>
        </row>
        <row r="38">
          <cell r="A38">
            <v>13</v>
          </cell>
          <cell r="C38">
            <v>38995</v>
          </cell>
          <cell r="D38">
            <v>61752180.020000003</v>
          </cell>
        </row>
        <row r="39">
          <cell r="A39">
            <v>14</v>
          </cell>
          <cell r="C39">
            <v>39025</v>
          </cell>
          <cell r="D39">
            <v>61982417.640000001</v>
          </cell>
        </row>
        <row r="40">
          <cell r="A40">
            <v>15</v>
          </cell>
          <cell r="C40">
            <v>39055</v>
          </cell>
          <cell r="D40">
            <v>50148151.939999998</v>
          </cell>
        </row>
        <row r="41">
          <cell r="A41">
            <v>16</v>
          </cell>
          <cell r="C41">
            <v>39085</v>
          </cell>
          <cell r="D41">
            <v>33532564.469999999</v>
          </cell>
        </row>
        <row r="42">
          <cell r="A42">
            <v>17</v>
          </cell>
          <cell r="C42">
            <v>39115</v>
          </cell>
          <cell r="D42">
            <v>25581359.370000001</v>
          </cell>
        </row>
        <row r="43">
          <cell r="A43">
            <v>18</v>
          </cell>
          <cell r="C43">
            <v>39145</v>
          </cell>
          <cell r="D43">
            <v>26049635.359999999</v>
          </cell>
        </row>
        <row r="44">
          <cell r="A44">
            <v>19</v>
          </cell>
          <cell r="C44">
            <v>39175</v>
          </cell>
          <cell r="D44">
            <v>25369221.140000001</v>
          </cell>
        </row>
        <row r="45">
          <cell r="A45">
            <v>20</v>
          </cell>
          <cell r="C45">
            <v>39205</v>
          </cell>
          <cell r="D45">
            <v>29012063.059999999</v>
          </cell>
        </row>
        <row r="46">
          <cell r="A46">
            <v>21</v>
          </cell>
          <cell r="C46">
            <v>39235</v>
          </cell>
          <cell r="D46">
            <v>33509601.91</v>
          </cell>
        </row>
        <row r="47">
          <cell r="A47">
            <v>22</v>
          </cell>
          <cell r="C47">
            <v>39265</v>
          </cell>
          <cell r="D47">
            <v>39389366.700000003</v>
          </cell>
        </row>
        <row r="48">
          <cell r="A48">
            <v>23</v>
          </cell>
          <cell r="C48">
            <v>39295</v>
          </cell>
          <cell r="D48">
            <v>46624423.719999999</v>
          </cell>
        </row>
        <row r="51">
          <cell r="A51">
            <v>24</v>
          </cell>
          <cell r="B51" t="str">
            <v>13-Month Average   3/</v>
          </cell>
          <cell r="D51">
            <v>41580852.805</v>
          </cell>
          <cell r="F51" t="str">
            <v xml:space="preserve">x </v>
          </cell>
          <cell r="H51">
            <v>0.1326</v>
          </cell>
          <cell r="J51" t="str">
            <v xml:space="preserve">  =</v>
          </cell>
          <cell r="K51">
            <v>5513621.0819429997</v>
          </cell>
        </row>
        <row r="54">
          <cell r="A54">
            <v>25</v>
          </cell>
          <cell r="B54" t="str">
            <v>TOTAL FIRM STORAGE AND WORKING GAS CHARGES</v>
          </cell>
          <cell r="K54">
            <v>20004027.081942998</v>
          </cell>
        </row>
        <row r="58">
          <cell r="A58" t="str">
            <v>1/</v>
          </cell>
          <cell r="B58" t="str">
            <v>Exhibit 1.9 - QPC Rates Effective October 1, 2007.</v>
          </cell>
        </row>
        <row r="59">
          <cell r="A59" t="str">
            <v>2/</v>
          </cell>
          <cell r="B59" t="str">
            <v>Questar Gas planned volumes.</v>
          </cell>
        </row>
        <row r="60">
          <cell r="A60" t="str">
            <v>3/</v>
          </cell>
          <cell r="B60" t="str">
            <v>(½ of Line 11 + sum of Lines 12 through 22 + ½ of Line 23) / 12</v>
          </cell>
        </row>
      </sheetData>
      <sheetData sheetId="17">
        <row r="1">
          <cell r="H1" t="str">
            <v>Questar Gas Company</v>
          </cell>
        </row>
        <row r="2">
          <cell r="H2" t="str">
            <v>Docket No. 07-057-09</v>
          </cell>
        </row>
        <row r="3">
          <cell r="H3" t="str">
            <v>Exhibit 1.4</v>
          </cell>
        </row>
        <row r="4">
          <cell r="H4" t="str">
            <v>Page 1 of 3</v>
          </cell>
        </row>
        <row r="8">
          <cell r="B8" t="str">
            <v>SUMMARY OF TEST-YEAR GAS RELATED COSTS AND REVENUES CREDITS</v>
          </cell>
        </row>
        <row r="11">
          <cell r="B11" t="str">
            <v>(A)</v>
          </cell>
          <cell r="E11" t="str">
            <v>(B)</v>
          </cell>
          <cell r="F11" t="str">
            <v>(C)</v>
          </cell>
          <cell r="G11" t="str">
            <v>(D)</v>
          </cell>
        </row>
        <row r="12">
          <cell r="B12" t="str">
            <v>Component</v>
          </cell>
          <cell r="E12" t="str">
            <v>Costs</v>
          </cell>
          <cell r="F12" t="str">
            <v>Dth</v>
          </cell>
          <cell r="G12" t="str">
            <v>$ per Dth</v>
          </cell>
        </row>
        <row r="14">
          <cell r="A14">
            <v>1</v>
          </cell>
          <cell r="C14" t="str">
            <v>Questar Gas Production  1/</v>
          </cell>
          <cell r="E14">
            <v>231199469.62432444</v>
          </cell>
        </row>
        <row r="15">
          <cell r="A15">
            <v>2</v>
          </cell>
          <cell r="C15" t="str">
            <v>Other Revenues Credits  2/</v>
          </cell>
          <cell r="E15">
            <v>-40174265</v>
          </cell>
        </row>
        <row r="16">
          <cell r="A16">
            <v>3</v>
          </cell>
          <cell r="D16" t="str">
            <v>Net Questar Gas Production Costs</v>
          </cell>
          <cell r="E16">
            <v>191025204.62432444</v>
          </cell>
          <cell r="F16">
            <v>51443652</v>
          </cell>
          <cell r="G16">
            <v>3.713290118367266</v>
          </cell>
        </row>
        <row r="18">
          <cell r="A18">
            <v>4</v>
          </cell>
          <cell r="D18" t="str">
            <v>Gathering  3/</v>
          </cell>
          <cell r="E18">
            <v>19667020</v>
          </cell>
        </row>
        <row r="21">
          <cell r="A21">
            <v>5</v>
          </cell>
          <cell r="B21" t="str">
            <v>Total Cost of Questar Gas Production</v>
          </cell>
          <cell r="E21">
            <v>210692224.62432444</v>
          </cell>
          <cell r="F21">
            <v>51443652</v>
          </cell>
          <cell r="G21">
            <v>4.0955922924042101</v>
          </cell>
        </row>
        <row r="23">
          <cell r="A23">
            <v>6</v>
          </cell>
          <cell r="B23" t="str">
            <v>Questar Gas Contract Gas  4/</v>
          </cell>
          <cell r="E23">
            <v>324689490.98000002</v>
          </cell>
          <cell r="F23">
            <v>67183396</v>
          </cell>
          <cell r="G23">
            <v>4.8328829787050367</v>
          </cell>
        </row>
        <row r="25">
          <cell r="A25">
            <v>7</v>
          </cell>
          <cell r="B25" t="str">
            <v>Injection / Withdrawal Adjustment  5/</v>
          </cell>
          <cell r="E25">
            <v>-16457034.092745237</v>
          </cell>
        </row>
        <row r="27">
          <cell r="A27">
            <v>8</v>
          </cell>
          <cell r="B27" t="str">
            <v>Transportation &amp; Other Costs  6/</v>
          </cell>
          <cell r="E27">
            <v>63446336.000000007</v>
          </cell>
          <cell r="F27">
            <v>115079302.38000001</v>
          </cell>
          <cell r="G27">
            <v>0.55132708217586957</v>
          </cell>
        </row>
        <row r="29">
          <cell r="A29">
            <v>9</v>
          </cell>
          <cell r="B29" t="str">
            <v>Storage &amp; Working Gas  7/</v>
          </cell>
          <cell r="E29">
            <v>20004027.081942998</v>
          </cell>
        </row>
        <row r="31">
          <cell r="A31">
            <v>10</v>
          </cell>
          <cell r="B31" t="str">
            <v>Gas Management Costs  8/</v>
          </cell>
          <cell r="E31">
            <v>5731235.2712897882</v>
          </cell>
        </row>
        <row r="34">
          <cell r="A34">
            <v>11</v>
          </cell>
          <cell r="B34" t="str">
            <v>Questar Gas - Related Gas Costs for Rate Purposes  9/</v>
          </cell>
          <cell r="E34">
            <v>608106279.86481214</v>
          </cell>
          <cell r="F34">
            <v>106096144</v>
          </cell>
          <cell r="G34">
            <v>5.7316529794411011</v>
          </cell>
        </row>
        <row r="41">
          <cell r="A41" t="str">
            <v>1/</v>
          </cell>
          <cell r="B41" t="str">
            <v>Exhibit 1.1, Page 13.</v>
          </cell>
        </row>
        <row r="42">
          <cell r="A42" t="str">
            <v>2/</v>
          </cell>
          <cell r="B42" t="str">
            <v>Exhibit 1.4, Page 3, Line 8.</v>
          </cell>
        </row>
        <row r="43">
          <cell r="A43" t="str">
            <v>3/</v>
          </cell>
          <cell r="B43" t="str">
            <v>Exhibit 1.3, Page 1, Lines 18 + 19.</v>
          </cell>
        </row>
        <row r="44">
          <cell r="A44" t="str">
            <v>4/</v>
          </cell>
          <cell r="B44" t="str">
            <v>Exhibit 1.2, Line 6.</v>
          </cell>
        </row>
        <row r="45">
          <cell r="A45" t="str">
            <v>5/</v>
          </cell>
          <cell r="B45" t="str">
            <v>Exhibit 1.4, Page 2, Line 7.</v>
          </cell>
        </row>
        <row r="46">
          <cell r="A46" t="str">
            <v>6/</v>
          </cell>
          <cell r="B46" t="str">
            <v>Exhibit 1.3, Page 1, Lines 8 + 15 + 20.</v>
          </cell>
        </row>
        <row r="47">
          <cell r="A47" t="str">
            <v>7/</v>
          </cell>
          <cell r="B47" t="str">
            <v>Exhibit 1.3, Page 2, Line 25.</v>
          </cell>
        </row>
        <row r="48">
          <cell r="A48" t="str">
            <v>8/</v>
          </cell>
          <cell r="B48" t="str">
            <v>Exhibit 1.3, Page 1, Line 22.</v>
          </cell>
        </row>
        <row r="49">
          <cell r="A49" t="str">
            <v>9/</v>
          </cell>
          <cell r="B49" t="str">
            <v>Exhibit 1.6, Page 1, Line 8.</v>
          </cell>
        </row>
      </sheetData>
      <sheetData sheetId="18">
        <row r="1">
          <cell r="J1" t="str">
            <v>Questar Gas Company</v>
          </cell>
        </row>
        <row r="2">
          <cell r="J2" t="str">
            <v>Docket No. 07-057-09</v>
          </cell>
        </row>
        <row r="3">
          <cell r="J3" t="str">
            <v>Exhibit 1.4</v>
          </cell>
        </row>
        <row r="4">
          <cell r="J4" t="str">
            <v>Page 2 of 3</v>
          </cell>
        </row>
        <row r="8">
          <cell r="B8" t="str">
            <v>ANNUALIZED UNIT COST OF STORAGE GAS</v>
          </cell>
        </row>
        <row r="11">
          <cell r="C11" t="str">
            <v xml:space="preserve">             (A)</v>
          </cell>
          <cell r="E11" t="str">
            <v xml:space="preserve">  (B)</v>
          </cell>
          <cell r="F11" t="str">
            <v xml:space="preserve">   (C)</v>
          </cell>
          <cell r="H11" t="str">
            <v xml:space="preserve">    (D)</v>
          </cell>
        </row>
        <row r="12">
          <cell r="F12" t="str">
            <v xml:space="preserve">   Average</v>
          </cell>
        </row>
        <row r="13">
          <cell r="E13" t="str">
            <v xml:space="preserve">  Dth</v>
          </cell>
          <cell r="F13" t="str">
            <v xml:space="preserve">   Rate</v>
          </cell>
          <cell r="H13" t="str">
            <v xml:space="preserve">   Total Costs</v>
          </cell>
        </row>
        <row r="15">
          <cell r="B15">
            <v>1</v>
          </cell>
          <cell r="C15" t="str">
            <v>Company Production  1/</v>
          </cell>
          <cell r="E15">
            <v>51443652</v>
          </cell>
          <cell r="F15">
            <v>4.4942273854182133</v>
          </cell>
          <cell r="H15">
            <v>231199469.62432444</v>
          </cell>
        </row>
        <row r="16">
          <cell r="B16">
            <v>2</v>
          </cell>
          <cell r="C16" t="str">
            <v>Purchased gas  2/</v>
          </cell>
          <cell r="E16">
            <v>67183396</v>
          </cell>
          <cell r="F16">
            <v>4.8328829787050367</v>
          </cell>
          <cell r="H16">
            <v>324689490.98000002</v>
          </cell>
        </row>
        <row r="17">
          <cell r="B17">
            <v>3</v>
          </cell>
          <cell r="C17" t="str">
            <v xml:space="preserve">    Average Price</v>
          </cell>
          <cell r="E17">
            <v>118627048</v>
          </cell>
          <cell r="F17">
            <v>4.6860220327182418</v>
          </cell>
          <cell r="H17">
            <v>555888960.60432446</v>
          </cell>
        </row>
        <row r="20">
          <cell r="B20">
            <v>4</v>
          </cell>
          <cell r="C20" t="str">
            <v>Storage  3/</v>
          </cell>
        </row>
        <row r="21">
          <cell r="B21">
            <v>5</v>
          </cell>
          <cell r="C21" t="str">
            <v xml:space="preserve">    Withdrawals</v>
          </cell>
          <cell r="E21">
            <v>13936126</v>
          </cell>
          <cell r="F21">
            <v>4.0268749363201533</v>
          </cell>
          <cell r="H21">
            <v>56119036.49879963</v>
          </cell>
        </row>
        <row r="22">
          <cell r="B22">
            <v>6</v>
          </cell>
          <cell r="C22" t="str">
            <v xml:space="preserve">    Injections</v>
          </cell>
          <cell r="E22">
            <v>-15475900</v>
          </cell>
          <cell r="F22">
            <v>4.6896187356822461</v>
          </cell>
          <cell r="H22">
            <v>-72576070.591544867</v>
          </cell>
        </row>
        <row r="23">
          <cell r="B23">
            <v>7</v>
          </cell>
          <cell r="C23" t="str">
            <v>Storage Adjustment</v>
          </cell>
          <cell r="H23">
            <v>-16457034.092745237</v>
          </cell>
        </row>
        <row r="29">
          <cell r="B29" t="str">
            <v>1/</v>
          </cell>
          <cell r="C29" t="str">
            <v>Exhibit 1.1, Page 13.</v>
          </cell>
        </row>
        <row r="30">
          <cell r="B30" t="str">
            <v>2/</v>
          </cell>
          <cell r="C30" t="str">
            <v>Exhibit 1.2, Line 6.</v>
          </cell>
        </row>
        <row r="31">
          <cell r="B31" t="str">
            <v>3/</v>
          </cell>
          <cell r="C31" t="str">
            <v>Questar Gas Company planned volumes.</v>
          </cell>
        </row>
      </sheetData>
      <sheetData sheetId="19">
        <row r="1">
          <cell r="J1" t="str">
            <v>Questar Gas Company</v>
          </cell>
        </row>
        <row r="2">
          <cell r="J2" t="str">
            <v>Docket No. 07-057-09</v>
          </cell>
        </row>
        <row r="3">
          <cell r="J3" t="str">
            <v>Exhibit 1.4</v>
          </cell>
        </row>
        <row r="4">
          <cell r="J4" t="str">
            <v>Page 3 of 3</v>
          </cell>
        </row>
        <row r="8">
          <cell r="C8" t="str">
            <v>OTHER REVENUES</v>
          </cell>
        </row>
        <row r="11">
          <cell r="C11" t="str">
            <v>(A)</v>
          </cell>
          <cell r="D11" t="str">
            <v xml:space="preserve">          (B)</v>
          </cell>
          <cell r="E11" t="str">
            <v>(C)</v>
          </cell>
          <cell r="F11" t="str">
            <v>(D)</v>
          </cell>
        </row>
        <row r="12">
          <cell r="C12" t="str">
            <v>Account</v>
          </cell>
          <cell r="F12" t="str">
            <v>12 Months Ending</v>
          </cell>
        </row>
        <row r="13">
          <cell r="C13" t="str">
            <v>Number</v>
          </cell>
          <cell r="D13" t="str">
            <v>Account Name</v>
          </cell>
          <cell r="F13" t="str">
            <v>Sept 2006</v>
          </cell>
        </row>
        <row r="15">
          <cell r="B15">
            <v>1</v>
          </cell>
          <cell r="C15" t="str">
            <v>483</v>
          </cell>
          <cell r="D15" t="str">
            <v>Sales for Resale</v>
          </cell>
          <cell r="G15">
            <v>10435524</v>
          </cell>
          <cell r="H15" t="str">
            <v>1/</v>
          </cell>
        </row>
        <row r="18">
          <cell r="B18">
            <v>2</v>
          </cell>
          <cell r="C18" t="str">
            <v>490</v>
          </cell>
          <cell r="D18" t="str">
            <v>Plant By-Product</v>
          </cell>
          <cell r="G18">
            <v>5672760</v>
          </cell>
          <cell r="H18" t="str">
            <v>1/</v>
          </cell>
        </row>
        <row r="21">
          <cell r="B21">
            <v>3</v>
          </cell>
          <cell r="C21" t="str">
            <v>492</v>
          </cell>
          <cell r="D21" t="str">
            <v>Gasoline and Oil Sales</v>
          </cell>
          <cell r="E21">
            <v>1420903</v>
          </cell>
          <cell r="F21" t="str">
            <v>1/</v>
          </cell>
        </row>
        <row r="22">
          <cell r="B22">
            <v>4</v>
          </cell>
          <cell r="C22" t="str">
            <v>758-1</v>
          </cell>
          <cell r="D22" t="str">
            <v>Gasoline and Oil Cost</v>
          </cell>
          <cell r="E22">
            <v>-212528</v>
          </cell>
          <cell r="F22" t="str">
            <v>1/</v>
          </cell>
        </row>
        <row r="23">
          <cell r="B23">
            <v>5</v>
          </cell>
          <cell r="D23" t="str">
            <v>Net Gasoline and Oil Sales</v>
          </cell>
          <cell r="G23">
            <v>1208375</v>
          </cell>
        </row>
        <row r="26">
          <cell r="B26">
            <v>6</v>
          </cell>
          <cell r="C26" t="str">
            <v>495-1</v>
          </cell>
          <cell r="D26" t="str">
            <v>Overriding Royalty Revenue</v>
          </cell>
          <cell r="G26">
            <v>16747576</v>
          </cell>
          <cell r="H26" t="str">
            <v>1/</v>
          </cell>
        </row>
        <row r="27">
          <cell r="D27" t="str">
            <v>from Questar E &amp; P</v>
          </cell>
        </row>
        <row r="29">
          <cell r="B29">
            <v>7</v>
          </cell>
          <cell r="C29" t="str">
            <v>495-2</v>
          </cell>
          <cell r="D29" t="str">
            <v>Oil Revenue Received from Wexpro</v>
          </cell>
          <cell r="G29">
            <v>6110030</v>
          </cell>
          <cell r="H29" t="str">
            <v>1/</v>
          </cell>
        </row>
        <row r="31">
          <cell r="G31" t="str">
            <v xml:space="preserve"> </v>
          </cell>
        </row>
        <row r="32">
          <cell r="B32">
            <v>8</v>
          </cell>
          <cell r="D32" t="str">
            <v>Total</v>
          </cell>
          <cell r="G32">
            <v>40174265</v>
          </cell>
        </row>
        <row r="39">
          <cell r="B39" t="str">
            <v>1/</v>
          </cell>
          <cell r="C39" t="str">
            <v>Forecasted 12-month test year.</v>
          </cell>
        </row>
        <row r="40">
          <cell r="J40" t="str">
            <v xml:space="preserve"> </v>
          </cell>
        </row>
      </sheetData>
      <sheetData sheetId="20">
        <row r="1">
          <cell r="H1" t="str">
            <v>Questar Gas Company</v>
          </cell>
        </row>
        <row r="2">
          <cell r="H2" t="str">
            <v>Docket No. 07-057-09</v>
          </cell>
        </row>
        <row r="3">
          <cell r="H3" t="str">
            <v>Exhibit 1.5</v>
          </cell>
        </row>
        <row r="8">
          <cell r="B8" t="str">
            <v>TEST-YEAR GAS COST ALLOCATION</v>
          </cell>
        </row>
        <row r="11">
          <cell r="B11" t="str">
            <v xml:space="preserve">                        (A)</v>
          </cell>
          <cell r="D11" t="str">
            <v>(B)</v>
          </cell>
          <cell r="E11" t="str">
            <v xml:space="preserve">  (C)</v>
          </cell>
          <cell r="F11" t="str">
            <v xml:space="preserve">  (D)</v>
          </cell>
          <cell r="G11" t="str">
            <v xml:space="preserve">  (E)</v>
          </cell>
        </row>
        <row r="12">
          <cell r="D12" t="str">
            <v>Allocation</v>
          </cell>
        </row>
        <row r="13">
          <cell r="D13" t="str">
            <v>Factor  1/</v>
          </cell>
          <cell r="E13" t="str">
            <v xml:space="preserve">  System</v>
          </cell>
          <cell r="F13" t="str">
            <v xml:space="preserve">  Wyoming</v>
          </cell>
          <cell r="G13" t="str">
            <v xml:space="preserve">  Utah</v>
          </cell>
        </row>
        <row r="15">
          <cell r="A15">
            <v>1</v>
          </cell>
          <cell r="B15" t="str">
            <v>Questar Gas Production (Exhibit 1.1)</v>
          </cell>
          <cell r="D15">
            <v>2</v>
          </cell>
          <cell r="E15">
            <v>231199469.62432444</v>
          </cell>
          <cell r="F15">
            <v>8884882.7073309757</v>
          </cell>
          <cell r="G15">
            <v>222314586.91699347</v>
          </cell>
        </row>
        <row r="16">
          <cell r="A16">
            <v>2</v>
          </cell>
          <cell r="B16" t="str">
            <v>Other Revenue's Credit  (Exhibit 1.4, p 3)</v>
          </cell>
          <cell r="D16">
            <v>2</v>
          </cell>
          <cell r="E16">
            <v>-40174265</v>
          </cell>
          <cell r="F16">
            <v>-1543877.3841403227</v>
          </cell>
          <cell r="G16">
            <v>-38630387.61585968</v>
          </cell>
        </row>
        <row r="17">
          <cell r="A17">
            <v>3</v>
          </cell>
          <cell r="B17" t="str">
            <v>Gathering (Exhibit 1.3, p 1)</v>
          </cell>
          <cell r="C17" t="str">
            <v>- Demand</v>
          </cell>
          <cell r="D17">
            <v>1</v>
          </cell>
          <cell r="E17">
            <v>10656636</v>
          </cell>
          <cell r="F17">
            <v>320669.56231485889</v>
          </cell>
          <cell r="G17">
            <v>10335966.437685141</v>
          </cell>
        </row>
        <row r="18">
          <cell r="A18">
            <v>4</v>
          </cell>
          <cell r="B18" t="str">
            <v>Gathering</v>
          </cell>
          <cell r="C18" t="str">
            <v>- Commodity</v>
          </cell>
          <cell r="D18">
            <v>2</v>
          </cell>
          <cell r="E18">
            <v>9010384</v>
          </cell>
          <cell r="F18">
            <v>346264.65674032411</v>
          </cell>
          <cell r="G18">
            <v>8664119.3432596754</v>
          </cell>
        </row>
        <row r="19">
          <cell r="A19">
            <v>5</v>
          </cell>
          <cell r="B19" t="str">
            <v>Net Cost of Questar Gas Production</v>
          </cell>
          <cell r="E19">
            <v>210692224.62432444</v>
          </cell>
          <cell r="F19">
            <v>8007939.5422458351</v>
          </cell>
          <cell r="G19">
            <v>202684285.08207858</v>
          </cell>
        </row>
        <row r="21">
          <cell r="A21">
            <v>6</v>
          </cell>
          <cell r="B21" t="str">
            <v>Questar Gas Contract Gas (Exhibit 1.2)</v>
          </cell>
          <cell r="D21">
            <v>2</v>
          </cell>
          <cell r="E21">
            <v>324689490.98000002</v>
          </cell>
          <cell r="F21">
            <v>12477658.570531541</v>
          </cell>
          <cell r="G21">
            <v>312211832.40946847</v>
          </cell>
        </row>
        <row r="24">
          <cell r="A24">
            <v>7</v>
          </cell>
          <cell r="B24" t="str">
            <v>Injection / Withdrawal Adjustment (Exhibit 1.4, p 1)</v>
          </cell>
          <cell r="D24">
            <v>2</v>
          </cell>
          <cell r="E24">
            <v>-16457034.092745237</v>
          </cell>
          <cell r="F24">
            <v>-632435.78310183459</v>
          </cell>
          <cell r="G24">
            <v>-15824598.309643403</v>
          </cell>
        </row>
        <row r="27">
          <cell r="A27">
            <v>8</v>
          </cell>
          <cell r="B27" t="str">
            <v>Transportation (Exhibit 1.3, p 1)</v>
          </cell>
          <cell r="C27" t="str">
            <v>- Demand</v>
          </cell>
          <cell r="D27">
            <v>1</v>
          </cell>
          <cell r="E27">
            <v>60505639</v>
          </cell>
          <cell r="F27">
            <v>1820679.3190375327</v>
          </cell>
          <cell r="G27">
            <v>58684959.680962466</v>
          </cell>
        </row>
        <row r="28">
          <cell r="A28">
            <v>9</v>
          </cell>
          <cell r="B28" t="str">
            <v>Transportation</v>
          </cell>
          <cell r="C28" t="str">
            <v>- Commodity</v>
          </cell>
          <cell r="D28">
            <v>2</v>
          </cell>
          <cell r="E28">
            <v>1061038</v>
          </cell>
          <cell r="F28">
            <v>40775.172163410578</v>
          </cell>
          <cell r="G28">
            <v>1020262.8278365894</v>
          </cell>
        </row>
        <row r="31">
          <cell r="A31">
            <v>10</v>
          </cell>
          <cell r="B31" t="str">
            <v>Storage (Exhibit 1.3, p 2)</v>
          </cell>
          <cell r="C31" t="str">
            <v>- Demand</v>
          </cell>
          <cell r="D31">
            <v>1</v>
          </cell>
          <cell r="E31">
            <v>14025058</v>
          </cell>
          <cell r="F31">
            <v>422028.97896676871</v>
          </cell>
          <cell r="G31">
            <v>13603029.021033231</v>
          </cell>
        </row>
        <row r="32">
          <cell r="A32">
            <v>11</v>
          </cell>
          <cell r="B32" t="str">
            <v>Storage</v>
          </cell>
          <cell r="C32" t="str">
            <v>- Commodity</v>
          </cell>
          <cell r="D32">
            <v>2</v>
          </cell>
          <cell r="E32">
            <v>465348</v>
          </cell>
          <cell r="F32">
            <v>17883.09637911063</v>
          </cell>
          <cell r="G32">
            <v>447464.90362088935</v>
          </cell>
        </row>
        <row r="35">
          <cell r="A35">
            <v>12</v>
          </cell>
          <cell r="B35" t="str">
            <v>Other Transportation  - Commodity (Exhibit 1.3, p1)</v>
          </cell>
          <cell r="D35">
            <v>2</v>
          </cell>
          <cell r="E35">
            <v>1879659</v>
          </cell>
          <cell r="F35">
            <v>72234.377405431442</v>
          </cell>
          <cell r="G35">
            <v>1807424.6225945686</v>
          </cell>
        </row>
        <row r="38">
          <cell r="A38">
            <v>13</v>
          </cell>
          <cell r="B38" t="str">
            <v>Working Gas Costs (Exhibit 1.3, p 2)</v>
          </cell>
          <cell r="D38">
            <v>2</v>
          </cell>
          <cell r="E38">
            <v>5513621.0819429997</v>
          </cell>
          <cell r="F38">
            <v>211885.76550513355</v>
          </cell>
          <cell r="G38">
            <v>5301735.3164378665</v>
          </cell>
        </row>
        <row r="40">
          <cell r="A40">
            <v>14</v>
          </cell>
          <cell r="B40" t="str">
            <v>Gas Management Costs (Exhibit 1.3, p 1)</v>
          </cell>
          <cell r="D40">
            <v>2</v>
          </cell>
          <cell r="E40">
            <v>5731235.2712897882</v>
          </cell>
          <cell r="F40">
            <v>220248.57252600967</v>
          </cell>
          <cell r="G40">
            <v>5510986.6987637784</v>
          </cell>
        </row>
        <row r="41">
          <cell r="A41">
            <v>15</v>
          </cell>
          <cell r="B41" t="str">
            <v>Less:  10% Not allowed (Exhibit 1.6, p 4)</v>
          </cell>
          <cell r="G41">
            <v>-410879.10000000009</v>
          </cell>
        </row>
        <row r="42">
          <cell r="A42">
            <v>16</v>
          </cell>
          <cell r="B42" t="str">
            <v>Less:  Third-party Revenues (Exhibit 1.6, p 4)</v>
          </cell>
          <cell r="G42">
            <v>-595000</v>
          </cell>
        </row>
        <row r="44">
          <cell r="A44">
            <v>17</v>
          </cell>
          <cell r="B44" t="str">
            <v>Totals</v>
          </cell>
          <cell r="E44">
            <v>608106279.86481214</v>
          </cell>
          <cell r="F44">
            <v>22658897.611658942</v>
          </cell>
          <cell r="G44">
            <v>584441503.15315306</v>
          </cell>
        </row>
        <row r="51">
          <cell r="A51" t="str">
            <v>1/</v>
          </cell>
          <cell r="B51" t="str">
            <v>Allocation Factors</v>
          </cell>
          <cell r="E51" t="str">
            <v xml:space="preserve">Total </v>
          </cell>
          <cell r="F51" t="str">
            <v>Wyoming</v>
          </cell>
          <cell r="G51" t="str">
            <v xml:space="preserve">Utah </v>
          </cell>
        </row>
        <row r="53">
          <cell r="B53" t="str">
            <v>#1  Peak Day Demand</v>
          </cell>
          <cell r="D53" t="str">
            <v xml:space="preserve"> Dth-</v>
          </cell>
          <cell r="E53">
            <v>1163302</v>
          </cell>
          <cell r="F53">
            <v>35005</v>
          </cell>
          <cell r="G53">
            <v>1128297</v>
          </cell>
        </row>
        <row r="54">
          <cell r="D54" t="str">
            <v xml:space="preserve"> Percent-</v>
          </cell>
          <cell r="E54">
            <v>1</v>
          </cell>
          <cell r="F54">
            <v>3.0091068355422752E-2</v>
          </cell>
          <cell r="G54">
            <v>0.96990893164457725</v>
          </cell>
        </row>
        <row r="56">
          <cell r="B56" t="str">
            <v>#2  Commodity Sales - All</v>
          </cell>
          <cell r="D56" t="str">
            <v xml:space="preserve"> Dth-</v>
          </cell>
          <cell r="E56">
            <v>106096144</v>
          </cell>
          <cell r="F56">
            <v>4077223</v>
          </cell>
          <cell r="G56">
            <v>102018921</v>
          </cell>
        </row>
        <row r="57">
          <cell r="D57" t="str">
            <v xml:space="preserve"> Percent-</v>
          </cell>
          <cell r="E57">
            <v>1</v>
          </cell>
          <cell r="F57">
            <v>3.8429511632392596E-2</v>
          </cell>
          <cell r="G57">
            <v>0.96157048836760739</v>
          </cell>
        </row>
      </sheetData>
      <sheetData sheetId="21">
        <row r="1">
          <cell r="J1" t="str">
            <v>Questar Gas Company</v>
          </cell>
        </row>
        <row r="2">
          <cell r="J2" t="str">
            <v>Docket No. 07-057-09</v>
          </cell>
        </row>
        <row r="3">
          <cell r="J3" t="str">
            <v>Exhibit 1.6</v>
          </cell>
        </row>
        <row r="4">
          <cell r="J4" t="str">
            <v>Page 1 of 4</v>
          </cell>
        </row>
        <row r="8">
          <cell r="B8" t="str">
            <v>TEST-YEAR GAS COST CHANGE</v>
          </cell>
        </row>
        <row r="11">
          <cell r="B11" t="str">
            <v>(A)</v>
          </cell>
          <cell r="C11" t="str">
            <v>(B)</v>
          </cell>
          <cell r="D11" t="str">
            <v>(C)</v>
          </cell>
          <cell r="F11" t="str">
            <v>(D)</v>
          </cell>
          <cell r="H11" t="str">
            <v xml:space="preserve">(E)        </v>
          </cell>
          <cell r="J11" t="str">
            <v>(F)</v>
          </cell>
        </row>
        <row r="12">
          <cell r="F12" t="str">
            <v>Average Rate</v>
          </cell>
          <cell r="H12" t="str">
            <v xml:space="preserve">x         Dth       </v>
          </cell>
          <cell r="I12" t="str">
            <v>=</v>
          </cell>
          <cell r="J12" t="str">
            <v>Total</v>
          </cell>
        </row>
        <row r="13">
          <cell r="A13">
            <v>1</v>
          </cell>
          <cell r="B13" t="str">
            <v>Utah Allocation of Questar Gas-Related Gas Costs (Exhibit 1.5)  1/</v>
          </cell>
          <cell r="J13">
            <v>584441503.15315306</v>
          </cell>
        </row>
        <row r="14">
          <cell r="B14" t="str">
            <v>Less:</v>
          </cell>
        </row>
        <row r="15">
          <cell r="A15">
            <v>2</v>
          </cell>
          <cell r="B15" t="str">
            <v>F-3 Demand Commodity Credit  2/</v>
          </cell>
          <cell r="F15">
            <v>18.25</v>
          </cell>
          <cell r="H15">
            <v>2112</v>
          </cell>
          <cell r="J15">
            <v>-38544</v>
          </cell>
        </row>
        <row r="16">
          <cell r="A16">
            <v>3</v>
          </cell>
          <cell r="B16" t="str">
            <v>T-1 Class Commodity Credit  2/</v>
          </cell>
          <cell r="H16">
            <v>0</v>
          </cell>
          <cell r="J16">
            <v>0</v>
          </cell>
        </row>
        <row r="17">
          <cell r="A17">
            <v>4</v>
          </cell>
          <cell r="B17" t="str">
            <v>I-4, IS-4 Class Commodity Credit  2/</v>
          </cell>
          <cell r="F17">
            <v>4.7783719112384597</v>
          </cell>
          <cell r="H17">
            <v>1827437</v>
          </cell>
          <cell r="J17">
            <v>-8732173.6303578764</v>
          </cell>
        </row>
        <row r="18">
          <cell r="A18">
            <v>5</v>
          </cell>
          <cell r="B18" t="str">
            <v>Net Utah Gas Costs (for Firm Sales)</v>
          </cell>
          <cell r="J18">
            <v>575670785.5227952</v>
          </cell>
        </row>
        <row r="20">
          <cell r="H20" t="str">
            <v xml:space="preserve">Total       </v>
          </cell>
        </row>
        <row r="21">
          <cell r="B21" t="str">
            <v>Test-Year Sales:  2/</v>
          </cell>
          <cell r="D21" t="str">
            <v>Firm</v>
          </cell>
          <cell r="F21" t="str">
            <v>+     Interruptible</v>
          </cell>
          <cell r="H21" t="str">
            <v xml:space="preserve">=    Sales Dth   </v>
          </cell>
        </row>
        <row r="23">
          <cell r="A23">
            <v>6</v>
          </cell>
          <cell r="B23" t="str">
            <v>Utah</v>
          </cell>
          <cell r="D23">
            <v>100191484</v>
          </cell>
          <cell r="F23">
            <v>1827437</v>
          </cell>
          <cell r="H23">
            <v>102018921</v>
          </cell>
        </row>
        <row r="24">
          <cell r="A24">
            <v>7</v>
          </cell>
          <cell r="B24" t="str">
            <v>Wyoming</v>
          </cell>
          <cell r="D24">
            <v>3901897</v>
          </cell>
          <cell r="F24">
            <v>175326</v>
          </cell>
          <cell r="H24">
            <v>4077223</v>
          </cell>
        </row>
        <row r="25">
          <cell r="A25">
            <v>8</v>
          </cell>
          <cell r="B25" t="str">
            <v>Total Dth</v>
          </cell>
          <cell r="H25">
            <v>106096144</v>
          </cell>
        </row>
        <row r="27">
          <cell r="A27">
            <v>9</v>
          </cell>
          <cell r="B27" t="str">
            <v>Supplier Non-Gas Costs  3/</v>
          </cell>
          <cell r="J27">
            <v>-93889719.789248183</v>
          </cell>
        </row>
        <row r="28">
          <cell r="A28">
            <v>10</v>
          </cell>
          <cell r="B28" t="str">
            <v>Gas Management Costs</v>
          </cell>
          <cell r="J28">
            <v>-4505107.5987637788</v>
          </cell>
        </row>
        <row r="30">
          <cell r="A30">
            <v>11</v>
          </cell>
          <cell r="B30" t="str">
            <v>Commodity Portion of Test-Year Gas Cost (Lines 5 + 9)</v>
          </cell>
          <cell r="J30">
            <v>477275958.13478327</v>
          </cell>
        </row>
        <row r="33">
          <cell r="F33" t="str">
            <v>Current Case</v>
          </cell>
          <cell r="H33" t="str">
            <v>Prior Case</v>
          </cell>
        </row>
        <row r="34">
          <cell r="B34" t="str">
            <v>FIRM CUSTOMER RATES</v>
          </cell>
          <cell r="F34" t="str">
            <v>07-057-09</v>
          </cell>
          <cell r="H34" t="str">
            <v>07-057-02</v>
          </cell>
          <cell r="J34" t="str">
            <v>Difference</v>
          </cell>
        </row>
        <row r="36">
          <cell r="A36">
            <v>12</v>
          </cell>
          <cell r="B36" t="str">
            <v>Firm Gas Cost (line 10/ Firm Sales, line 6)</v>
          </cell>
          <cell r="F36">
            <v>4.7636399999999997</v>
          </cell>
          <cell r="H36">
            <v>5.9588200000000002</v>
          </cell>
          <cell r="J36">
            <v>-1.1951800000000006</v>
          </cell>
        </row>
        <row r="37">
          <cell r="A37">
            <v>13</v>
          </cell>
          <cell r="B37" t="str">
            <v>191 Account Amortization (Commodity Portion)  4/</v>
          </cell>
          <cell r="F37">
            <v>-0.30542000000000002</v>
          </cell>
          <cell r="H37">
            <v>-0.63517000000000001</v>
          </cell>
          <cell r="J37">
            <v>0.32974999999999999</v>
          </cell>
        </row>
        <row r="38">
          <cell r="A38">
            <v>14</v>
          </cell>
          <cell r="B38" t="str">
            <v>Total Firm Sales Unit Commodity Cost (Lines 12 + 13)</v>
          </cell>
          <cell r="F38">
            <v>4.4582199999999998</v>
          </cell>
          <cell r="H38">
            <v>5.3236500000000007</v>
          </cell>
          <cell r="J38">
            <v>-0.86543000000000059</v>
          </cell>
        </row>
        <row r="48">
          <cell r="A48" t="str">
            <v>1/</v>
          </cell>
          <cell r="B48" t="str">
            <v>Revised Exhibit 1.5, Line 17, Column E.</v>
          </cell>
        </row>
        <row r="50">
          <cell r="A50" t="str">
            <v>2/</v>
          </cell>
          <cell r="B50" t="str">
            <v>Revrun.exe - Aug 27, 2007</v>
          </cell>
          <cell r="D50" t="str">
            <v xml:space="preserve">       Dth</v>
          </cell>
          <cell r="E50" t="str">
            <v>x</v>
          </cell>
          <cell r="F50" t="str">
            <v>DNG Rate</v>
          </cell>
          <cell r="G50" t="str">
            <v>=</v>
          </cell>
          <cell r="H50" t="str">
            <v>DNG Revenues</v>
          </cell>
        </row>
        <row r="51">
          <cell r="C51" t="str">
            <v>F-3 Demand</v>
          </cell>
          <cell r="D51">
            <v>2112</v>
          </cell>
          <cell r="F51">
            <v>18.25</v>
          </cell>
          <cell r="H51">
            <v>38544</v>
          </cell>
        </row>
        <row r="52">
          <cell r="C52" t="str">
            <v>I-4, IS-4</v>
          </cell>
          <cell r="D52">
            <v>1827437</v>
          </cell>
          <cell r="F52">
            <v>4.7783719112384597</v>
          </cell>
          <cell r="H52">
            <v>8732173.6303578764</v>
          </cell>
        </row>
        <row r="54">
          <cell r="A54" t="str">
            <v>3/</v>
          </cell>
          <cell r="B54" t="str">
            <v>Test Year Estimate of Transportation, Gathering, and Storage billings.</v>
          </cell>
        </row>
        <row r="56">
          <cell r="F56" t="str">
            <v>Balance</v>
          </cell>
          <cell r="H56" t="str">
            <v>Dth</v>
          </cell>
          <cell r="J56" t="str">
            <v>Amortization</v>
          </cell>
        </row>
        <row r="57">
          <cell r="A57" t="str">
            <v>4/</v>
          </cell>
          <cell r="B57" t="str">
            <v>191 Account - Forecasted Oct 2007</v>
          </cell>
          <cell r="F57">
            <v>-55999251</v>
          </cell>
        </row>
        <row r="58">
          <cell r="B58" t="str">
            <v>Less: SNG Balance</v>
          </cell>
          <cell r="F58">
            <v>25399186</v>
          </cell>
        </row>
        <row r="59">
          <cell r="B59" t="str">
            <v>191 Account Amortization (Commodity Portion)</v>
          </cell>
          <cell r="F59">
            <v>-30600065</v>
          </cell>
          <cell r="G59" t="str">
            <v>÷</v>
          </cell>
          <cell r="H59">
            <v>100191484</v>
          </cell>
          <cell r="I59" t="str">
            <v>=</v>
          </cell>
          <cell r="J59">
            <v>-0.30542000000000002</v>
          </cell>
        </row>
      </sheetData>
      <sheetData sheetId="22">
        <row r="1">
          <cell r="E1" t="str">
            <v>Questar Gas Company</v>
          </cell>
        </row>
        <row r="2">
          <cell r="G2" t="str">
            <v>Docket No. 07-057-09</v>
          </cell>
        </row>
        <row r="3">
          <cell r="G3" t="str">
            <v>Exhibit 1.6</v>
          </cell>
        </row>
        <row r="4">
          <cell r="G4" t="str">
            <v>Page 2 of 4</v>
          </cell>
        </row>
        <row r="8">
          <cell r="C8" t="str">
            <v>TEST-YEAR SUPPLIER NON-GAS COST CHANGE</v>
          </cell>
        </row>
        <row r="9">
          <cell r="C9" t="str">
            <v xml:space="preserve"> </v>
          </cell>
          <cell r="E9" t="str">
            <v xml:space="preserve"> </v>
          </cell>
        </row>
        <row r="11">
          <cell r="C11" t="str">
            <v>(A)</v>
          </cell>
          <cell r="D11" t="str">
            <v>(B)</v>
          </cell>
          <cell r="E11" t="str">
            <v>(C)</v>
          </cell>
          <cell r="F11" t="str">
            <v>(D)</v>
          </cell>
        </row>
        <row r="12">
          <cell r="D12" t="str">
            <v>Dth</v>
          </cell>
          <cell r="E12" t="str">
            <v>Average Rate</v>
          </cell>
          <cell r="F12" t="str">
            <v>Total</v>
          </cell>
        </row>
        <row r="14">
          <cell r="B14">
            <v>1</v>
          </cell>
          <cell r="C14" t="str">
            <v>Supplier Non-Gas (SNG) Costs  1/</v>
          </cell>
          <cell r="F14">
            <v>93889719.789248183</v>
          </cell>
        </row>
        <row r="15">
          <cell r="B15">
            <v>2</v>
          </cell>
          <cell r="C15" t="str">
            <v>191 Account Balance for SNG Costs  2/</v>
          </cell>
          <cell r="F15">
            <v>-25399186</v>
          </cell>
        </row>
        <row r="16">
          <cell r="B16">
            <v>3</v>
          </cell>
          <cell r="C16" t="str">
            <v xml:space="preserve">     Total</v>
          </cell>
          <cell r="F16">
            <v>68490533.789248183</v>
          </cell>
        </row>
        <row r="17">
          <cell r="F17" t="str">
            <v xml:space="preserve"> </v>
          </cell>
        </row>
        <row r="19">
          <cell r="B19">
            <v>4</v>
          </cell>
          <cell r="C19" t="str">
            <v>SNG Costs Recovered at Current Rates  3/</v>
          </cell>
          <cell r="F19">
            <v>103476335.00331999</v>
          </cell>
        </row>
        <row r="22">
          <cell r="B22">
            <v>5</v>
          </cell>
          <cell r="C22" t="str">
            <v>SNG Costs Adjustment to Current Rates  (Line 3 - Line 4)</v>
          </cell>
          <cell r="F22">
            <v>-34985801.21407181</v>
          </cell>
        </row>
        <row r="28">
          <cell r="B28" t="str">
            <v xml:space="preserve"> 6a</v>
          </cell>
          <cell r="C28" t="str">
            <v>Adjustment for SNG contributions from:</v>
          </cell>
        </row>
        <row r="29">
          <cell r="B29" t="str">
            <v xml:space="preserve"> 6b</v>
          </cell>
          <cell r="C29" t="str">
            <v>I-4, I-S4  SNG current rate</v>
          </cell>
          <cell r="D29">
            <v>1827437</v>
          </cell>
          <cell r="E29">
            <v>0.18104000000000001</v>
          </cell>
          <cell r="F29">
            <v>330839.19448000001</v>
          </cell>
        </row>
        <row r="30">
          <cell r="B30" t="str">
            <v xml:space="preserve"> 6c</v>
          </cell>
          <cell r="C30" t="str">
            <v>I-4, I-S4  SNG new rate</v>
          </cell>
          <cell r="D30">
            <v>1827437</v>
          </cell>
          <cell r="E30">
            <v>0.18114</v>
          </cell>
          <cell r="F30">
            <v>331021.93818</v>
          </cell>
        </row>
        <row r="35">
          <cell r="B35">
            <v>7</v>
          </cell>
          <cell r="C35" t="str">
            <v>Percent Change to Current Rates</v>
          </cell>
          <cell r="F35">
            <v>-33.9190613059939</v>
          </cell>
          <cell r="G35" t="str">
            <v>%</v>
          </cell>
        </row>
        <row r="36">
          <cell r="C36" t="str">
            <v>((ln 3-ln 6c-ln 6e)-(ln 4-ln 6b-ln 6d))/(ln 4-ln 6b-ln 6d)</v>
          </cell>
        </row>
        <row r="42">
          <cell r="B42" t="str">
            <v>1/</v>
          </cell>
          <cell r="C42" t="str">
            <v>See Revised Exhibit 1.6, Page 1, Line 9.</v>
          </cell>
        </row>
        <row r="43">
          <cell r="C43" t="str">
            <v xml:space="preserve"> </v>
          </cell>
          <cell r="E43" t="str">
            <v>SNG Balance</v>
          </cell>
        </row>
        <row r="44">
          <cell r="B44" t="str">
            <v>2/</v>
          </cell>
          <cell r="C44" t="str">
            <v>2006 Year-end SNG Cost Balance (actual)</v>
          </cell>
          <cell r="E44">
            <v>-7420060</v>
          </cell>
        </row>
        <row r="45">
          <cell r="C45" t="str">
            <v>SNG Cost Under(Over) Collected during 2007 (YTD Oct)</v>
          </cell>
          <cell r="E45">
            <v>-17979126</v>
          </cell>
        </row>
        <row r="46">
          <cell r="C46" t="str">
            <v>2007 YTD SNG Cost Balance (forecast)</v>
          </cell>
          <cell r="E46">
            <v>-25399186</v>
          </cell>
        </row>
        <row r="47">
          <cell r="C47" t="str">
            <v xml:space="preserve"> </v>
          </cell>
        </row>
        <row r="48">
          <cell r="B48" t="str">
            <v>3/</v>
          </cell>
          <cell r="C48" t="str">
            <v>Output of Revrun.Exe computer program dated Aug 27, 2007.</v>
          </cell>
        </row>
      </sheetData>
      <sheetData sheetId="23">
        <row r="1">
          <cell r="I1" t="str">
            <v>Questar Gas Company</v>
          </cell>
        </row>
        <row r="2">
          <cell r="I2" t="str">
            <v>Docket No. 07-057-09</v>
          </cell>
        </row>
        <row r="3">
          <cell r="I3" t="str">
            <v>Exhibit 1.6</v>
          </cell>
        </row>
        <row r="4">
          <cell r="I4" t="str">
            <v>Page 3 of 4</v>
          </cell>
        </row>
        <row r="8">
          <cell r="C8" t="str">
            <v>TEST YEAR CHANGE IN SUPPLIER NON-GAS COSTS</v>
          </cell>
        </row>
        <row r="9">
          <cell r="C9" t="str">
            <v>BY RATE CLASS</v>
          </cell>
        </row>
        <row r="12">
          <cell r="C12" t="str">
            <v xml:space="preserve">      (A)</v>
          </cell>
          <cell r="D12" t="str">
            <v>(B)</v>
          </cell>
          <cell r="E12" t="str">
            <v>(C)</v>
          </cell>
          <cell r="F12" t="str">
            <v>(D)</v>
          </cell>
        </row>
        <row r="13">
          <cell r="E13" t="str">
            <v>Rate per Dth</v>
          </cell>
        </row>
        <row r="14">
          <cell r="C14" t="str">
            <v>Rate Class</v>
          </cell>
          <cell r="D14" t="str">
            <v>Season</v>
          </cell>
          <cell r="E14" t="str">
            <v>Current  1/</v>
          </cell>
          <cell r="F14" t="str">
            <v>Calculated  2/</v>
          </cell>
        </row>
        <row r="15">
          <cell r="F15" t="str">
            <v xml:space="preserve"> </v>
          </cell>
        </row>
        <row r="16">
          <cell r="B16">
            <v>1</v>
          </cell>
          <cell r="C16" t="str">
            <v>GS-1</v>
          </cell>
          <cell r="D16" t="str">
            <v>Winter</v>
          </cell>
          <cell r="E16">
            <v>1.2300500000000001</v>
          </cell>
          <cell r="F16">
            <v>0.81283000000000005</v>
          </cell>
        </row>
        <row r="17">
          <cell r="B17">
            <v>2</v>
          </cell>
          <cell r="D17" t="str">
            <v>Summer</v>
          </cell>
          <cell r="E17">
            <v>0.57752999999999999</v>
          </cell>
          <cell r="F17">
            <v>0.38163999999999998</v>
          </cell>
        </row>
        <row r="18">
          <cell r="B18" t="str">
            <v xml:space="preserve"> </v>
          </cell>
        </row>
        <row r="19">
          <cell r="B19">
            <v>3</v>
          </cell>
          <cell r="C19" t="str">
            <v>GSS</v>
          </cell>
          <cell r="D19" t="str">
            <v>Winter</v>
          </cell>
          <cell r="E19">
            <v>1.2300500000000001</v>
          </cell>
          <cell r="F19">
            <v>0.81283000000000005</v>
          </cell>
        </row>
        <row r="20">
          <cell r="B20">
            <v>4</v>
          </cell>
          <cell r="D20" t="str">
            <v>Summer</v>
          </cell>
          <cell r="E20">
            <v>0.57752999999999999</v>
          </cell>
          <cell r="F20">
            <v>0.38163999999999998</v>
          </cell>
        </row>
        <row r="22">
          <cell r="B22">
            <v>5</v>
          </cell>
          <cell r="C22" t="str">
            <v>F-1</v>
          </cell>
          <cell r="D22" t="str">
            <v>Winter</v>
          </cell>
          <cell r="E22">
            <v>1.1980200000000001</v>
          </cell>
          <cell r="F22">
            <v>0.79166000000000003</v>
          </cell>
        </row>
        <row r="23">
          <cell r="B23">
            <v>6</v>
          </cell>
          <cell r="D23" t="str">
            <v>Summer</v>
          </cell>
          <cell r="E23">
            <v>0.57750999999999997</v>
          </cell>
          <cell r="F23">
            <v>0.38162000000000001</v>
          </cell>
        </row>
        <row r="25">
          <cell r="B25">
            <v>7</v>
          </cell>
          <cell r="C25" t="str">
            <v>F-3</v>
          </cell>
          <cell r="E25">
            <v>11.65</v>
          </cell>
          <cell r="F25">
            <v>7.6984300000000001</v>
          </cell>
        </row>
        <row r="26">
          <cell r="B26">
            <v>8</v>
          </cell>
          <cell r="E26">
            <v>0.54837999999999998</v>
          </cell>
          <cell r="F26">
            <v>0.36237000000000003</v>
          </cell>
        </row>
        <row r="28">
          <cell r="B28">
            <v>9</v>
          </cell>
          <cell r="C28" t="str">
            <v>F-4</v>
          </cell>
          <cell r="E28">
            <v>0.83808000000000005</v>
          </cell>
          <cell r="F28">
            <v>0.55381000000000002</v>
          </cell>
        </row>
        <row r="29">
          <cell r="B29" t="str">
            <v xml:space="preserve"> </v>
          </cell>
        </row>
        <row r="30">
          <cell r="B30">
            <v>10</v>
          </cell>
          <cell r="C30" t="str">
            <v>NGV</v>
          </cell>
          <cell r="E30">
            <v>0.88763999999999998</v>
          </cell>
          <cell r="F30">
            <v>0.58655999999999997</v>
          </cell>
        </row>
        <row r="32">
          <cell r="B32">
            <v>11</v>
          </cell>
          <cell r="C32" t="str">
            <v>I-4</v>
          </cell>
          <cell r="E32">
            <v>0.18104000000000001</v>
          </cell>
          <cell r="F32">
            <v>0.18114</v>
          </cell>
        </row>
        <row r="34">
          <cell r="B34">
            <v>12</v>
          </cell>
          <cell r="C34" t="str">
            <v>IS-4</v>
          </cell>
          <cell r="E34">
            <v>0.18104000000000001</v>
          </cell>
          <cell r="F34">
            <v>0.18114</v>
          </cell>
        </row>
        <row r="36">
          <cell r="B36">
            <v>13</v>
          </cell>
          <cell r="C36" t="str">
            <v>T-1</v>
          </cell>
          <cell r="E36">
            <v>1.2300500000000001</v>
          </cell>
          <cell r="F36">
            <v>0.81283000000000005</v>
          </cell>
        </row>
        <row r="38">
          <cell r="B38">
            <v>14</v>
          </cell>
          <cell r="C38" t="str">
            <v>E-1</v>
          </cell>
          <cell r="E38">
            <v>6.3759600000000001</v>
          </cell>
          <cell r="F38">
            <v>4.2132899999999998</v>
          </cell>
        </row>
        <row r="45">
          <cell r="B45" t="str">
            <v>1/</v>
          </cell>
          <cell r="C45" t="str">
            <v>Current Questar Gas Tariff  (excluding bad debt surcharge).</v>
          </cell>
        </row>
        <row r="47">
          <cell r="B47" t="str">
            <v>2/</v>
          </cell>
          <cell r="C47" t="str">
            <v>(Current Questar Gas rates) x (Exhibit 1.6, Page 2, Line 7, % change).</v>
          </cell>
        </row>
        <row r="48">
          <cell r="C48" t="str">
            <v>(except Lines 11 and 12)</v>
          </cell>
        </row>
      </sheetData>
      <sheetData sheetId="24">
        <row r="1">
          <cell r="L1" t="str">
            <v>Questar Gas Company</v>
          </cell>
        </row>
        <row r="2">
          <cell r="L2" t="str">
            <v>Docket No. 07-057-09</v>
          </cell>
        </row>
        <row r="3">
          <cell r="L3" t="str">
            <v>Exhibit 1.6</v>
          </cell>
        </row>
        <row r="4">
          <cell r="L4" t="str">
            <v>Page 4 of 4</v>
          </cell>
        </row>
        <row r="7">
          <cell r="A7" t="str">
            <v>GAS MANAGEMENT COSTS</v>
          </cell>
        </row>
        <row r="10">
          <cell r="B10" t="str">
            <v>(A)</v>
          </cell>
          <cell r="F10" t="str">
            <v>(B)</v>
          </cell>
          <cell r="G10" t="str">
            <v>(C)</v>
          </cell>
          <cell r="H10" t="str">
            <v>(D)</v>
          </cell>
          <cell r="I10" t="str">
            <v>(E)</v>
          </cell>
        </row>
        <row r="11">
          <cell r="H11" t="str">
            <v>Percentage</v>
          </cell>
          <cell r="I11" t="str">
            <v>Utah</v>
          </cell>
        </row>
        <row r="12">
          <cell r="B12" t="str">
            <v>Processing Costs</v>
          </cell>
          <cell r="F12" t="str">
            <v>System</v>
          </cell>
          <cell r="G12" t="str">
            <v>Utah</v>
          </cell>
          <cell r="H12" t="str">
            <v>Allowed</v>
          </cell>
          <cell r="I12" t="str">
            <v>Jurisdiction</v>
          </cell>
        </row>
        <row r="13">
          <cell r="I13" t="str">
            <v xml:space="preserve"> </v>
          </cell>
        </row>
        <row r="14">
          <cell r="A14">
            <v>1</v>
          </cell>
          <cell r="B14" t="str">
            <v>Non-Gas</v>
          </cell>
          <cell r="F14">
            <v>4273000</v>
          </cell>
          <cell r="G14">
            <v>4108791</v>
          </cell>
          <cell r="H14">
            <v>0.9</v>
          </cell>
          <cell r="I14">
            <v>3697911.9</v>
          </cell>
        </row>
        <row r="16">
          <cell r="A16">
            <v>2</v>
          </cell>
          <cell r="B16" t="str">
            <v>Commodity  1/</v>
          </cell>
          <cell r="F16">
            <v>1458235.2712897877</v>
          </cell>
          <cell r="G16">
            <v>1402196</v>
          </cell>
          <cell r="H16">
            <v>1</v>
          </cell>
          <cell r="I16">
            <v>1402196</v>
          </cell>
        </row>
        <row r="17">
          <cell r="A17" t="str">
            <v xml:space="preserve"> </v>
          </cell>
        </row>
        <row r="18">
          <cell r="A18">
            <v>3</v>
          </cell>
          <cell r="B18" t="str">
            <v>Gas Management Costs</v>
          </cell>
          <cell r="F18">
            <v>5731235.2712897882</v>
          </cell>
          <cell r="G18">
            <v>5510987</v>
          </cell>
          <cell r="I18">
            <v>5100107.9000000004</v>
          </cell>
        </row>
        <row r="20">
          <cell r="A20">
            <v>4</v>
          </cell>
          <cell r="B20" t="str">
            <v>Less Third-Party Revenue  2/</v>
          </cell>
          <cell r="I20">
            <v>-595000</v>
          </cell>
        </row>
        <row r="22">
          <cell r="A22">
            <v>5</v>
          </cell>
          <cell r="B22" t="str">
            <v xml:space="preserve">     Gas Management Costs Allowed in Rates</v>
          </cell>
          <cell r="I22">
            <v>4505107.9000000004</v>
          </cell>
        </row>
        <row r="26">
          <cell r="A26" t="str">
            <v>1/</v>
          </cell>
          <cell r="B26" t="str">
            <v>Approximately 310950 Dth of which 299000 Dth are Utah's allocated share times 4.68962/Dth.</v>
          </cell>
        </row>
        <row r="27">
          <cell r="A27" t="str">
            <v>2/</v>
          </cell>
          <cell r="B27" t="str">
            <v>Utah portion of estimated third-party revenue.</v>
          </cell>
        </row>
        <row r="32">
          <cell r="A32" t="str">
            <v>RATE SPREAD TABLE</v>
          </cell>
        </row>
        <row r="35">
          <cell r="B35" t="str">
            <v xml:space="preserve">  (A)</v>
          </cell>
          <cell r="D35" t="str">
            <v xml:space="preserve">       (B)</v>
          </cell>
          <cell r="F35" t="str">
            <v>(C)</v>
          </cell>
          <cell r="G35" t="str">
            <v>(D)</v>
          </cell>
          <cell r="H35" t="str">
            <v xml:space="preserve">  (E)</v>
          </cell>
          <cell r="I35" t="str">
            <v xml:space="preserve">        (F)</v>
          </cell>
          <cell r="K35" t="str">
            <v xml:space="preserve">  (G)</v>
          </cell>
        </row>
        <row r="36">
          <cell r="H36" t="str">
            <v xml:space="preserve">  Gas</v>
          </cell>
          <cell r="K36" t="str">
            <v xml:space="preserve">  Total</v>
          </cell>
        </row>
        <row r="37">
          <cell r="H37" t="str">
            <v>Management</v>
          </cell>
          <cell r="I37" t="str">
            <v xml:space="preserve">       Commodity</v>
          </cell>
          <cell r="K37" t="str">
            <v>Commodity</v>
          </cell>
        </row>
        <row r="38">
          <cell r="B38" t="str">
            <v>Class</v>
          </cell>
          <cell r="D38" t="str">
            <v>Allocation  3/</v>
          </cell>
          <cell r="F38" t="str">
            <v>Cost</v>
          </cell>
          <cell r="G38" t="str">
            <v>Volumes  4/</v>
          </cell>
          <cell r="H38" t="str">
            <v xml:space="preserve">  Rate</v>
          </cell>
          <cell r="I38" t="str">
            <v xml:space="preserve">        Rate</v>
          </cell>
          <cell r="K38" t="str">
            <v xml:space="preserve">  Rate</v>
          </cell>
        </row>
        <row r="40">
          <cell r="A40">
            <v>6</v>
          </cell>
          <cell r="B40" t="str">
            <v>GS</v>
          </cell>
          <cell r="D40">
            <v>0.95365299999999997</v>
          </cell>
          <cell r="F40">
            <v>4296309.6641587</v>
          </cell>
          <cell r="G40">
            <v>92202237</v>
          </cell>
          <cell r="H40">
            <v>4.6600000000000003E-2</v>
          </cell>
          <cell r="I40">
            <v>4.4582199999999998</v>
          </cell>
          <cell r="K40">
            <v>4.5048199999999996</v>
          </cell>
        </row>
        <row r="42">
          <cell r="A42">
            <v>7</v>
          </cell>
          <cell r="B42" t="str">
            <v>F1</v>
          </cell>
          <cell r="D42">
            <v>1.4841999999999999E-2</v>
          </cell>
          <cell r="F42">
            <v>66864.811451800007</v>
          </cell>
          <cell r="G42">
            <v>7511290</v>
          </cell>
          <cell r="H42">
            <v>8.8999999999999999E-3</v>
          </cell>
          <cell r="I42">
            <v>4.4582199999999998</v>
          </cell>
          <cell r="K42">
            <v>4.4671199999999995</v>
          </cell>
        </row>
        <row r="44">
          <cell r="A44">
            <v>8</v>
          </cell>
          <cell r="B44" t="str">
            <v>F3</v>
          </cell>
          <cell r="D44">
            <v>8.03E-4</v>
          </cell>
          <cell r="F44">
            <v>3617.6016437000003</v>
          </cell>
          <cell r="G44">
            <v>0</v>
          </cell>
          <cell r="H44">
            <v>8.8999999999999999E-3</v>
          </cell>
          <cell r="I44">
            <v>6.6873300000000002</v>
          </cell>
          <cell r="K44">
            <v>6.6962299999999999</v>
          </cell>
        </row>
        <row r="46">
          <cell r="A46">
            <v>9</v>
          </cell>
          <cell r="B46" t="str">
            <v>F4</v>
          </cell>
          <cell r="H46">
            <v>8.8999999999999999E-3</v>
          </cell>
          <cell r="I46">
            <v>4.4582199999999998</v>
          </cell>
          <cell r="K46">
            <v>4.4671199999999995</v>
          </cell>
        </row>
        <row r="48">
          <cell r="A48">
            <v>10</v>
          </cell>
          <cell r="B48" t="str">
            <v>NGV</v>
          </cell>
          <cell r="H48">
            <v>8.8999999999999999E-3</v>
          </cell>
          <cell r="I48">
            <v>4.4582199999999998</v>
          </cell>
          <cell r="K48">
            <v>4.4671199999999995</v>
          </cell>
        </row>
        <row r="50">
          <cell r="A50">
            <v>11</v>
          </cell>
          <cell r="B50" t="str">
            <v>I Sales</v>
          </cell>
          <cell r="D50">
            <v>4.3559999999999996E-3</v>
          </cell>
          <cell r="F50">
            <v>19624.2500124</v>
          </cell>
          <cell r="G50">
            <v>1827437</v>
          </cell>
          <cell r="H50">
            <v>1.074E-2</v>
          </cell>
          <cell r="I50" t="str">
            <v xml:space="preserve">  Determined Monthly</v>
          </cell>
          <cell r="K50">
            <v>1.074E-2</v>
          </cell>
        </row>
        <row r="52">
          <cell r="A52">
            <v>12</v>
          </cell>
          <cell r="B52" t="str">
            <v>FT-2</v>
          </cell>
          <cell r="D52">
            <v>9.3100000000000006E-3</v>
          </cell>
          <cell r="F52">
            <v>41942.554549000008</v>
          </cell>
          <cell r="G52">
            <v>9527513</v>
          </cell>
          <cell r="H52">
            <v>4.4000000000000003E-3</v>
          </cell>
          <cell r="I52">
            <v>0</v>
          </cell>
          <cell r="K52">
            <v>4.4000000000000003E-3</v>
          </cell>
        </row>
        <row r="54">
          <cell r="A54">
            <v>13</v>
          </cell>
          <cell r="B54" t="str">
            <v>I Trans</v>
          </cell>
          <cell r="D54">
            <v>1.7035999999999999E-2</v>
          </cell>
          <cell r="F54">
            <v>76749.018184400004</v>
          </cell>
          <cell r="G54">
            <v>17004157</v>
          </cell>
          <cell r="H54">
            <v>4.5100000000000001E-3</v>
          </cell>
          <cell r="I54">
            <v>0</v>
          </cell>
          <cell r="K54">
            <v>4.5100000000000001E-3</v>
          </cell>
        </row>
        <row r="57">
          <cell r="A57">
            <v>14</v>
          </cell>
          <cell r="B57" t="str">
            <v>Grand Total</v>
          </cell>
          <cell r="D57">
            <v>1</v>
          </cell>
          <cell r="F57">
            <v>4505107.9000000004</v>
          </cell>
          <cell r="G57">
            <v>128072634</v>
          </cell>
        </row>
        <row r="62">
          <cell r="A62" t="str">
            <v>3/</v>
          </cell>
          <cell r="B62" t="str">
            <v>QGC Barrie L. Mckay Exhibit 1, line 2  Docket No. 02-057-02.</v>
          </cell>
        </row>
        <row r="63">
          <cell r="A63" t="str">
            <v>4/</v>
          </cell>
          <cell r="B63" t="str">
            <v>Estimated Test Period Volumes for 12 months ending October 2008.</v>
          </cell>
        </row>
      </sheetData>
      <sheetData sheetId="25">
        <row r="1">
          <cell r="C1" t="str">
            <v xml:space="preserve"> </v>
          </cell>
          <cell r="L1" t="str">
            <v>Questar Gas Company</v>
          </cell>
        </row>
        <row r="2">
          <cell r="L2" t="str">
            <v>Docket No. 07-057-09</v>
          </cell>
        </row>
        <row r="3">
          <cell r="L3" t="str">
            <v>Exhibit 1.7</v>
          </cell>
        </row>
        <row r="7">
          <cell r="C7" t="str">
            <v>EFFECT ON GS-1 TYPICAL CUSTOMER</v>
          </cell>
        </row>
        <row r="8">
          <cell r="C8" t="str">
            <v>80 DTHS -  ANNUAL CONSUMPTION</v>
          </cell>
        </row>
        <row r="11">
          <cell r="C11" t="str">
            <v>(A)</v>
          </cell>
          <cell r="D11" t="str">
            <v>(B)</v>
          </cell>
          <cell r="E11" t="str">
            <v xml:space="preserve">(C)  </v>
          </cell>
          <cell r="F11" t="str">
            <v xml:space="preserve">   (D)</v>
          </cell>
          <cell r="H11" t="str">
            <v xml:space="preserve">  (E)</v>
          </cell>
          <cell r="J11" t="str">
            <v xml:space="preserve">(F)    </v>
          </cell>
        </row>
        <row r="12">
          <cell r="F12" t="str">
            <v xml:space="preserve">     Billed at Current</v>
          </cell>
          <cell r="H12" t="str">
            <v xml:space="preserve">   Billed at</v>
          </cell>
        </row>
        <row r="13">
          <cell r="C13" t="str">
            <v>Rate</v>
          </cell>
          <cell r="E13" t="str">
            <v>Usage</v>
          </cell>
          <cell r="F13" t="str">
            <v xml:space="preserve">     Rates Effective</v>
          </cell>
          <cell r="H13" t="str">
            <v xml:space="preserve">  Proposed</v>
          </cell>
        </row>
        <row r="14">
          <cell r="C14" t="str">
            <v>Schedule</v>
          </cell>
          <cell r="D14" t="str">
            <v>Month</v>
          </cell>
          <cell r="E14" t="str">
            <v>In Dth</v>
          </cell>
          <cell r="F14">
            <v>39264</v>
          </cell>
          <cell r="H14" t="str">
            <v xml:space="preserve">   Rates</v>
          </cell>
          <cell r="J14" t="str">
            <v xml:space="preserve">   Change</v>
          </cell>
        </row>
        <row r="16">
          <cell r="B16">
            <v>1</v>
          </cell>
          <cell r="C16" t="str">
            <v>GS-1</v>
          </cell>
          <cell r="D16" t="str">
            <v>Jan</v>
          </cell>
          <cell r="E16">
            <v>14.9</v>
          </cell>
          <cell r="F16">
            <v>132.74</v>
          </cell>
          <cell r="H16">
            <v>113.6</v>
          </cell>
          <cell r="J16">
            <v>-19.140000000000015</v>
          </cell>
        </row>
        <row r="17">
          <cell r="B17">
            <v>2</v>
          </cell>
          <cell r="D17" t="str">
            <v>Feb</v>
          </cell>
          <cell r="E17">
            <v>12.5</v>
          </cell>
          <cell r="F17">
            <v>112.16</v>
          </cell>
          <cell r="H17">
            <v>96.11</v>
          </cell>
          <cell r="J17">
            <v>-16.049999999999997</v>
          </cell>
        </row>
        <row r="18">
          <cell r="B18">
            <v>3</v>
          </cell>
          <cell r="D18" t="str">
            <v>Mar</v>
          </cell>
          <cell r="E18">
            <v>10.1</v>
          </cell>
          <cell r="F18">
            <v>91.59</v>
          </cell>
          <cell r="H18">
            <v>78.61</v>
          </cell>
          <cell r="J18">
            <v>-12.980000000000004</v>
          </cell>
        </row>
        <row r="19">
          <cell r="B19">
            <v>4</v>
          </cell>
          <cell r="D19" t="str">
            <v>Apr</v>
          </cell>
          <cell r="E19">
            <v>8.3000000000000007</v>
          </cell>
          <cell r="F19">
            <v>68.16</v>
          </cell>
          <cell r="H19">
            <v>59.33</v>
          </cell>
          <cell r="J19">
            <v>-8.8299999999999983</v>
          </cell>
        </row>
        <row r="20">
          <cell r="B20">
            <v>5</v>
          </cell>
          <cell r="D20" t="str">
            <v>May</v>
          </cell>
          <cell r="E20">
            <v>4.4000000000000004</v>
          </cell>
          <cell r="F20">
            <v>38.479999999999997</v>
          </cell>
          <cell r="H20">
            <v>33.799999999999997</v>
          </cell>
          <cell r="J20">
            <v>-4.68</v>
          </cell>
        </row>
        <row r="21">
          <cell r="B21">
            <v>6</v>
          </cell>
          <cell r="D21" t="str">
            <v>Jun</v>
          </cell>
          <cell r="E21">
            <v>3.1</v>
          </cell>
          <cell r="F21">
            <v>28.59</v>
          </cell>
          <cell r="H21">
            <v>25.29</v>
          </cell>
          <cell r="J21">
            <v>-3.3000000000000007</v>
          </cell>
        </row>
        <row r="22">
          <cell r="B22">
            <v>7</v>
          </cell>
          <cell r="D22" t="str">
            <v>Jul</v>
          </cell>
          <cell r="E22">
            <v>2</v>
          </cell>
          <cell r="F22">
            <v>20.22</v>
          </cell>
          <cell r="H22">
            <v>18.09</v>
          </cell>
          <cell r="J22">
            <v>-2.129999999999999</v>
          </cell>
        </row>
        <row r="23">
          <cell r="B23">
            <v>8</v>
          </cell>
          <cell r="D23" t="str">
            <v>Aug</v>
          </cell>
          <cell r="E23">
            <v>1.8</v>
          </cell>
          <cell r="F23">
            <v>18.7</v>
          </cell>
          <cell r="H23">
            <v>16.78</v>
          </cell>
          <cell r="J23">
            <v>-1.9199999999999982</v>
          </cell>
        </row>
        <row r="24">
          <cell r="B24">
            <v>9</v>
          </cell>
          <cell r="D24" t="str">
            <v>Sep</v>
          </cell>
          <cell r="E24">
            <v>2</v>
          </cell>
          <cell r="F24">
            <v>20.22</v>
          </cell>
          <cell r="H24">
            <v>18.09</v>
          </cell>
          <cell r="J24">
            <v>-2.129999999999999</v>
          </cell>
        </row>
        <row r="25">
          <cell r="B25">
            <v>10</v>
          </cell>
          <cell r="D25" t="str">
            <v>Oct</v>
          </cell>
          <cell r="E25">
            <v>3.1</v>
          </cell>
          <cell r="F25">
            <v>28.59</v>
          </cell>
          <cell r="H25">
            <v>25.29</v>
          </cell>
          <cell r="J25">
            <v>-3.3000000000000007</v>
          </cell>
        </row>
        <row r="26">
          <cell r="B26">
            <v>11</v>
          </cell>
          <cell r="D26" t="str">
            <v>Nov</v>
          </cell>
          <cell r="E26">
            <v>6.3</v>
          </cell>
          <cell r="F26">
            <v>59.01</v>
          </cell>
          <cell r="H26">
            <v>50.92</v>
          </cell>
          <cell r="J26">
            <v>-8.0899999999999963</v>
          </cell>
        </row>
        <row r="27">
          <cell r="B27">
            <v>12</v>
          </cell>
          <cell r="D27" t="str">
            <v>Dec</v>
          </cell>
          <cell r="E27">
            <v>11.5</v>
          </cell>
          <cell r="F27">
            <v>103.59</v>
          </cell>
          <cell r="H27">
            <v>88.82</v>
          </cell>
          <cell r="J27">
            <v>-14.77000000000001</v>
          </cell>
        </row>
        <row r="29">
          <cell r="J29" t="str">
            <v xml:space="preserve"> </v>
          </cell>
        </row>
        <row r="30">
          <cell r="B30">
            <v>13</v>
          </cell>
          <cell r="D30" t="str">
            <v>Total</v>
          </cell>
          <cell r="E30">
            <v>80</v>
          </cell>
          <cell r="F30">
            <v>722.05</v>
          </cell>
          <cell r="H30">
            <v>624.73</v>
          </cell>
          <cell r="J30">
            <v>-97.319999999999936</v>
          </cell>
        </row>
        <row r="32">
          <cell r="C32" t="str">
            <v xml:space="preserve"> </v>
          </cell>
          <cell r="H32" t="str">
            <v>Percent Change:</v>
          </cell>
          <cell r="J32">
            <v>-13.48</v>
          </cell>
          <cell r="K32" t="str">
            <v>%</v>
          </cell>
        </row>
      </sheetData>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Application"/>
      <sheetName val="Monthly Inputs"/>
      <sheetName val="Graph (Ex 1.10) Inputs"/>
      <sheetName val="Other Inputs"/>
      <sheetName val="Calculations"/>
      <sheetName val="CET &amp; DSM"/>
      <sheetName val="Utah Summary-by class"/>
      <sheetName val="UT Summary - by cost"/>
      <sheetName val="Model Checks"/>
      <sheetName val="SDR#1"/>
      <sheetName val="SDR#2"/>
      <sheetName val="SDR#3"/>
      <sheetName val="SDR#4"/>
      <sheetName val="Ut 1.1"/>
      <sheetName val="Ut 1.2"/>
      <sheetName val="Ut 1.3 p1"/>
      <sheetName val="Ut 1.3 p2"/>
      <sheetName val="Ut 1.4 p1"/>
      <sheetName val="Ut 1.4 p2"/>
      <sheetName val="Ut 1.4 p3"/>
      <sheetName val="Ut 1.5"/>
      <sheetName val="Ut 1.6 p1"/>
      <sheetName val="Ut 1.6 p2"/>
      <sheetName val="Ut 1.6 p3"/>
      <sheetName val="Ut 1.7"/>
      <sheetName val="Ut 1.7 Tot"/>
      <sheetName val="Ut 1.8"/>
      <sheetName val="Ut 1.9"/>
      <sheetName val="Ut 1.10"/>
      <sheetName val="Ut Storage"/>
      <sheetName val="Clay Basin Capacity"/>
      <sheetName val="Clay Basin Demand"/>
      <sheetName val="Ex 1.1 Data"/>
      <sheetName val="Expenses"/>
      <sheetName val="Rate Base"/>
      <sheetName val="RevRun Fcst"/>
    </sheetNames>
    <sheetDataSet>
      <sheetData sheetId="0"/>
      <sheetData sheetId="1"/>
      <sheetData sheetId="2">
        <row r="3">
          <cell r="G3">
            <v>40116</v>
          </cell>
        </row>
      </sheetData>
      <sheetData sheetId="3"/>
      <sheetData sheetId="4">
        <row r="56">
          <cell r="C56">
            <v>1.18</v>
          </cell>
        </row>
      </sheetData>
      <sheetData sheetId="5"/>
      <sheetData sheetId="6"/>
      <sheetData sheetId="7"/>
      <sheetData sheetId="8"/>
      <sheetData sheetId="9"/>
      <sheetData sheetId="10"/>
      <sheetData sheetId="11"/>
      <sheetData sheetId="12"/>
      <sheetData sheetId="13"/>
      <sheetData sheetId="14"/>
      <sheetData sheetId="15">
        <row r="1">
          <cell r="I1" t="str">
            <v>Questar Gas Company</v>
          </cell>
        </row>
        <row r="2">
          <cell r="I2" t="str">
            <v>Docket No. 09-057-12</v>
          </cell>
        </row>
        <row r="3">
          <cell r="I3" t="str">
            <v>Exhibit 1.2</v>
          </cell>
        </row>
        <row r="8">
          <cell r="B8" t="str">
            <v xml:space="preserve">     TEST YEAR PURCHASED GAS COSTS</v>
          </cell>
        </row>
        <row r="11">
          <cell r="D11" t="str">
            <v xml:space="preserve">     (A)</v>
          </cell>
          <cell r="E11" t="str">
            <v>(B)</v>
          </cell>
          <cell r="F11" t="str">
            <v>(C)</v>
          </cell>
          <cell r="G11" t="str">
            <v>(D)</v>
          </cell>
        </row>
        <row r="12">
          <cell r="F12" t="str">
            <v>Cost</v>
          </cell>
        </row>
        <row r="13">
          <cell r="B13" t="str">
            <v xml:space="preserve"> </v>
          </cell>
          <cell r="C13" t="str">
            <v xml:space="preserve">    Component</v>
          </cell>
          <cell r="E13" t="str">
            <v>Dth</v>
          </cell>
          <cell r="F13" t="str">
            <v>per Dth</v>
          </cell>
          <cell r="G13" t="str">
            <v>Total Cost</v>
          </cell>
        </row>
        <row r="14">
          <cell r="B14" t="str">
            <v xml:space="preserve"> </v>
          </cell>
        </row>
        <row r="15">
          <cell r="B15">
            <v>1</v>
          </cell>
          <cell r="C15" t="str">
            <v>Current Contracts</v>
          </cell>
          <cell r="G15">
            <v>127730895</v>
          </cell>
        </row>
        <row r="16">
          <cell r="B16">
            <v>2</v>
          </cell>
          <cell r="C16" t="str">
            <v>Stabilization Costs</v>
          </cell>
          <cell r="G16">
            <v>1999999.9800000002</v>
          </cell>
        </row>
        <row r="17">
          <cell r="B17">
            <v>3</v>
          </cell>
          <cell r="D17" t="str">
            <v>Total Current Contracts</v>
          </cell>
          <cell r="E17">
            <v>36172000</v>
          </cell>
          <cell r="F17">
            <v>3.5865004694238638</v>
          </cell>
          <cell r="G17">
            <v>129730894.98</v>
          </cell>
        </row>
        <row r="19">
          <cell r="B19">
            <v>4</v>
          </cell>
          <cell r="C19" t="str">
            <v>Forecast Spot</v>
          </cell>
          <cell r="E19">
            <v>25150520</v>
          </cell>
          <cell r="F19">
            <v>2.9589763551608477</v>
          </cell>
          <cell r="G19">
            <v>74419794</v>
          </cell>
        </row>
        <row r="21">
          <cell r="B21">
            <v>5</v>
          </cell>
          <cell r="C21" t="str">
            <v>Future Contracts</v>
          </cell>
          <cell r="E21">
            <v>7688393</v>
          </cell>
          <cell r="F21">
            <v>3.0734858376776524</v>
          </cell>
          <cell r="G21">
            <v>23630167</v>
          </cell>
        </row>
        <row r="24">
          <cell r="B24">
            <v>6</v>
          </cell>
          <cell r="C24" t="str">
            <v>Total Gas Purchased</v>
          </cell>
          <cell r="E24">
            <v>69010913</v>
          </cell>
          <cell r="F24">
            <v>3.3006497969386381</v>
          </cell>
          <cell r="G24">
            <v>227780855.98000002</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7">
          <cell r="K27">
            <v>4.0786099417814192</v>
          </cell>
        </row>
      </sheetData>
      <sheetData sheetId="31"/>
      <sheetData sheetId="32"/>
      <sheetData sheetId="33"/>
      <sheetData sheetId="34">
        <row r="9">
          <cell r="G9">
            <v>39683</v>
          </cell>
        </row>
      </sheetData>
      <sheetData sheetId="35">
        <row r="8">
          <cell r="H8">
            <v>39650</v>
          </cell>
        </row>
      </sheetData>
      <sheetData sheetId="36">
        <row r="30">
          <cell r="G30">
            <v>0</v>
          </cell>
        </row>
        <row r="111">
          <cell r="G111">
            <v>0</v>
          </cell>
          <cell r="H111">
            <v>0</v>
          </cell>
          <cell r="I111">
            <v>0</v>
          </cell>
          <cell r="J111">
            <v>0</v>
          </cell>
          <cell r="K111">
            <v>0</v>
          </cell>
          <cell r="L111">
            <v>0</v>
          </cell>
          <cell r="M111">
            <v>0</v>
          </cell>
          <cell r="N111">
            <v>0</v>
          </cell>
          <cell r="O111">
            <v>0</v>
          </cell>
          <cell r="P111">
            <v>0</v>
          </cell>
          <cell r="Q111">
            <v>0</v>
          </cell>
          <cell r="R111">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Application"/>
      <sheetName val="Monthly Inputs"/>
      <sheetName val="Graph (Ex 1.10) Inputs"/>
      <sheetName val="Other Inputs"/>
      <sheetName val="Calculations"/>
      <sheetName val="Utah Summary-by class"/>
      <sheetName val="Model Checks"/>
      <sheetName val="SDR#1"/>
      <sheetName val="SDR#2"/>
      <sheetName val="SDR#3"/>
      <sheetName val="SDR#4"/>
      <sheetName val="Ut 1.1"/>
      <sheetName val="Ut 1.2"/>
      <sheetName val="Ut 1.3 p1"/>
      <sheetName val="Ut 1.3 p2"/>
      <sheetName val="Ut 1.4 p1"/>
      <sheetName val="Ut 1.4 p2"/>
      <sheetName val="Ut 1.4 p3"/>
      <sheetName val="Ut 1.5"/>
      <sheetName val="Ut 1.6 p1"/>
      <sheetName val="Ut 1.6 p2"/>
      <sheetName val="Ut 1.6 p3"/>
      <sheetName val="Ut 1.7"/>
      <sheetName val="Ut 1.8 p1"/>
      <sheetName val="Ut 1.8"/>
      <sheetName val="Ut 1.9"/>
      <sheetName val="Ut 1.10"/>
      <sheetName val="Ut 1.11"/>
      <sheetName val="Ut Storage"/>
      <sheetName val="Ex 1.1 Data"/>
      <sheetName val="Expenses"/>
      <sheetName val="Rate Base"/>
      <sheetName val="RevRun Fc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21">
          <cell r="H21">
            <v>2521104</v>
          </cell>
          <cell r="I21">
            <v>2187359</v>
          </cell>
          <cell r="J21">
            <v>2171705</v>
          </cell>
          <cell r="K21">
            <v>3234158</v>
          </cell>
          <cell r="L21">
            <v>5920023</v>
          </cell>
          <cell r="M21">
            <v>10566136</v>
          </cell>
          <cell r="N21">
            <v>16270023</v>
          </cell>
          <cell r="O21">
            <v>18228968</v>
          </cell>
          <cell r="P21">
            <v>14585640</v>
          </cell>
          <cell r="Q21">
            <v>10988206</v>
          </cell>
          <cell r="R21">
            <v>8132632</v>
          </cell>
          <cell r="S21">
            <v>3769679</v>
          </cell>
        </row>
        <row r="48">
          <cell r="H48">
            <v>357065</v>
          </cell>
          <cell r="I48">
            <v>312294</v>
          </cell>
          <cell r="J48">
            <v>292504</v>
          </cell>
          <cell r="K48">
            <v>347360</v>
          </cell>
          <cell r="L48">
            <v>366583</v>
          </cell>
          <cell r="M48">
            <v>490676</v>
          </cell>
          <cell r="N48">
            <v>531054</v>
          </cell>
          <cell r="O48">
            <v>529877</v>
          </cell>
          <cell r="P48">
            <v>466603</v>
          </cell>
          <cell r="Q48">
            <v>431512</v>
          </cell>
          <cell r="R48">
            <v>399806</v>
          </cell>
          <cell r="S48">
            <v>338836</v>
          </cell>
        </row>
        <row r="66">
          <cell r="H66">
            <v>39790</v>
          </cell>
          <cell r="I66">
            <v>53125</v>
          </cell>
          <cell r="J66">
            <v>63198</v>
          </cell>
          <cell r="K66">
            <v>53654</v>
          </cell>
          <cell r="L66">
            <v>59598</v>
          </cell>
          <cell r="M66">
            <v>61446</v>
          </cell>
          <cell r="N66">
            <v>53716</v>
          </cell>
          <cell r="O66">
            <v>60298</v>
          </cell>
          <cell r="P66">
            <v>53716</v>
          </cell>
          <cell r="Q66">
            <v>59262</v>
          </cell>
          <cell r="R66">
            <v>71589</v>
          </cell>
          <cell r="S66">
            <v>64159</v>
          </cell>
        </row>
        <row r="93">
          <cell r="H93">
            <v>247991</v>
          </cell>
          <cell r="I93">
            <v>223222</v>
          </cell>
          <cell r="J93">
            <v>234115</v>
          </cell>
          <cell r="K93">
            <v>230928</v>
          </cell>
          <cell r="L93">
            <v>204977</v>
          </cell>
          <cell r="M93">
            <v>241715</v>
          </cell>
          <cell r="N93">
            <v>214279</v>
          </cell>
          <cell r="O93">
            <v>233746</v>
          </cell>
          <cell r="P93">
            <v>205064</v>
          </cell>
          <cell r="Q93">
            <v>202331</v>
          </cell>
          <cell r="R93">
            <v>196821</v>
          </cell>
          <cell r="S93">
            <v>196258</v>
          </cell>
        </row>
        <row r="129">
          <cell r="H129">
            <v>715327</v>
          </cell>
          <cell r="I129">
            <v>871855</v>
          </cell>
          <cell r="J129">
            <v>930747</v>
          </cell>
          <cell r="K129">
            <v>635942</v>
          </cell>
          <cell r="L129">
            <v>596550</v>
          </cell>
          <cell r="M129">
            <v>549099</v>
          </cell>
          <cell r="N129">
            <v>398624</v>
          </cell>
          <cell r="O129">
            <v>341058</v>
          </cell>
          <cell r="P129">
            <v>307550</v>
          </cell>
          <cell r="Q129">
            <v>416357</v>
          </cell>
          <cell r="R129">
            <v>359127</v>
          </cell>
          <cell r="S129">
            <v>482832</v>
          </cell>
        </row>
        <row r="147">
          <cell r="H147">
            <v>1501</v>
          </cell>
          <cell r="I147">
            <v>1452</v>
          </cell>
          <cell r="J147">
            <v>1460</v>
          </cell>
          <cell r="K147">
            <v>1572</v>
          </cell>
          <cell r="L147">
            <v>1932</v>
          </cell>
          <cell r="M147">
            <v>2810</v>
          </cell>
          <cell r="N147">
            <v>5357</v>
          </cell>
          <cell r="O147">
            <v>4954</v>
          </cell>
          <cell r="P147">
            <v>4581</v>
          </cell>
          <cell r="Q147">
            <v>3436</v>
          </cell>
          <cell r="R147">
            <v>2308</v>
          </cell>
          <cell r="S147">
            <v>1707</v>
          </cell>
        </row>
        <row r="156">
          <cell r="H156">
            <v>3645466</v>
          </cell>
          <cell r="I156">
            <v>3481866</v>
          </cell>
          <cell r="J156">
            <v>3685966</v>
          </cell>
          <cell r="K156">
            <v>3332290</v>
          </cell>
          <cell r="L156">
            <v>3649712</v>
          </cell>
          <cell r="M156">
            <v>3339493</v>
          </cell>
          <cell r="N156">
            <v>3556508</v>
          </cell>
          <cell r="O156">
            <v>3780979</v>
          </cell>
          <cell r="P156">
            <v>3893242</v>
          </cell>
          <cell r="Q156">
            <v>3593458</v>
          </cell>
          <cell r="R156">
            <v>3709201</v>
          </cell>
          <cell r="S156">
            <v>3696522</v>
          </cell>
        </row>
        <row r="165">
          <cell r="H165">
            <v>2604505</v>
          </cell>
          <cell r="I165">
            <v>2483216</v>
          </cell>
          <cell r="J165">
            <v>2684619</v>
          </cell>
          <cell r="K165">
            <v>2471685</v>
          </cell>
          <cell r="L165">
            <v>2931958</v>
          </cell>
          <cell r="M165">
            <v>3106686</v>
          </cell>
          <cell r="N165">
            <v>3673878</v>
          </cell>
          <cell r="O165">
            <v>3489147</v>
          </cell>
          <cell r="P165">
            <v>3237201</v>
          </cell>
          <cell r="Q165">
            <v>2999509</v>
          </cell>
          <cell r="R165">
            <v>2681056</v>
          </cell>
          <cell r="S165">
            <v>3156764</v>
          </cell>
        </row>
        <row r="174">
          <cell r="H174">
            <v>45944</v>
          </cell>
          <cell r="I174">
            <v>60433</v>
          </cell>
          <cell r="J174">
            <v>56272</v>
          </cell>
          <cell r="K174">
            <v>41603</v>
          </cell>
          <cell r="L174">
            <v>61117</v>
          </cell>
          <cell r="M174">
            <v>58845</v>
          </cell>
          <cell r="N174">
            <v>71596</v>
          </cell>
          <cell r="O174">
            <v>73148</v>
          </cell>
          <cell r="P174">
            <v>58404</v>
          </cell>
          <cell r="Q174">
            <v>67039</v>
          </cell>
          <cell r="R174">
            <v>54637</v>
          </cell>
          <cell r="S174">
            <v>57615</v>
          </cell>
        </row>
        <row r="244">
          <cell r="H244">
            <v>95974</v>
          </cell>
          <cell r="I244">
            <v>56096</v>
          </cell>
          <cell r="J244">
            <v>62062</v>
          </cell>
          <cell r="K244">
            <v>127054</v>
          </cell>
          <cell r="L244">
            <v>184416</v>
          </cell>
          <cell r="M244">
            <v>377830</v>
          </cell>
          <cell r="N244">
            <v>523710</v>
          </cell>
          <cell r="O244">
            <v>663861</v>
          </cell>
          <cell r="P244">
            <v>559136</v>
          </cell>
          <cell r="Q244">
            <v>478460</v>
          </cell>
          <cell r="R244">
            <v>322019</v>
          </cell>
          <cell r="S244">
            <v>177264</v>
          </cell>
        </row>
        <row r="253">
          <cell r="H253">
            <v>13723</v>
          </cell>
          <cell r="I253">
            <v>11406</v>
          </cell>
          <cell r="J253">
            <v>11284</v>
          </cell>
          <cell r="K253">
            <v>13193</v>
          </cell>
          <cell r="L253">
            <v>15437</v>
          </cell>
          <cell r="M253">
            <v>22037</v>
          </cell>
          <cell r="N253">
            <v>26354</v>
          </cell>
          <cell r="O253">
            <v>32327</v>
          </cell>
          <cell r="P253">
            <v>26756</v>
          </cell>
          <cell r="Q253">
            <v>25962</v>
          </cell>
          <cell r="R253">
            <v>21453</v>
          </cell>
          <cell r="S253">
            <v>15318</v>
          </cell>
        </row>
        <row r="262">
          <cell r="H262">
            <v>1014</v>
          </cell>
          <cell r="I262">
            <v>1497</v>
          </cell>
          <cell r="J262">
            <v>1613</v>
          </cell>
          <cell r="K262">
            <v>1530</v>
          </cell>
          <cell r="L262">
            <v>1673</v>
          </cell>
          <cell r="M262">
            <v>1470</v>
          </cell>
          <cell r="N262">
            <v>1065</v>
          </cell>
          <cell r="O262">
            <v>675</v>
          </cell>
          <cell r="P262">
            <v>723</v>
          </cell>
          <cell r="Q262">
            <v>918</v>
          </cell>
          <cell r="R262">
            <v>1167</v>
          </cell>
          <cell r="S262">
            <v>1271</v>
          </cell>
        </row>
        <row r="280">
          <cell r="H280">
            <v>6544</v>
          </cell>
          <cell r="I280">
            <v>6679</v>
          </cell>
          <cell r="J280">
            <v>7493</v>
          </cell>
          <cell r="K280">
            <v>7472</v>
          </cell>
          <cell r="L280">
            <v>10037</v>
          </cell>
          <cell r="M280">
            <v>13176</v>
          </cell>
          <cell r="N280">
            <v>17633</v>
          </cell>
          <cell r="O280">
            <v>16502</v>
          </cell>
          <cell r="P280">
            <v>17098</v>
          </cell>
          <cell r="Q280">
            <v>17180</v>
          </cell>
          <cell r="R280">
            <v>13922</v>
          </cell>
          <cell r="S280">
            <v>11281</v>
          </cell>
        </row>
        <row r="307">
          <cell r="H307">
            <v>6586</v>
          </cell>
          <cell r="I307">
            <v>4400</v>
          </cell>
          <cell r="J307">
            <v>7699</v>
          </cell>
          <cell r="K307">
            <v>9625</v>
          </cell>
          <cell r="L307">
            <v>15068</v>
          </cell>
          <cell r="M307">
            <v>17317</v>
          </cell>
          <cell r="N307">
            <v>13667</v>
          </cell>
          <cell r="O307">
            <v>23906</v>
          </cell>
          <cell r="P307">
            <v>22429</v>
          </cell>
          <cell r="Q307">
            <v>19207</v>
          </cell>
          <cell r="R307">
            <v>14168</v>
          </cell>
          <cell r="S307">
            <v>11147</v>
          </cell>
        </row>
        <row r="316">
          <cell r="H316">
            <v>17001</v>
          </cell>
          <cell r="I316">
            <v>33683</v>
          </cell>
          <cell r="J316">
            <v>138470</v>
          </cell>
          <cell r="K316">
            <v>30060</v>
          </cell>
          <cell r="L316">
            <v>15161</v>
          </cell>
          <cell r="M316">
            <v>53225</v>
          </cell>
          <cell r="N316">
            <v>44689</v>
          </cell>
          <cell r="O316">
            <v>28472</v>
          </cell>
          <cell r="P316">
            <v>37220</v>
          </cell>
          <cell r="Q316">
            <v>39634</v>
          </cell>
          <cell r="R316">
            <v>19939</v>
          </cell>
          <cell r="S316">
            <v>35249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ah Summary-by class"/>
      <sheetName val="Proof of top sheet "/>
      <sheetName val="Gas Balance"/>
      <sheetName val="WEXPRO 1.1"/>
      <sheetName val="Purchases Detail 1.2"/>
      <sheetName val="Transportation &amp; Gathering 1.3"/>
      <sheetName val="Gas Cost &amp; Alloc 1.4 &amp; 1.5"/>
      <sheetName val="Test yr gas cost change 1.6"/>
      <sheetName val="Tariff Sheets"/>
      <sheetName val="Detail Reconcilation"/>
      <sheetName val="Sheet2"/>
      <sheetName val="Price Graph"/>
      <sheetName val="Purchases Contracts"/>
    </sheetNames>
    <sheetDataSet>
      <sheetData sheetId="0" refreshError="1"/>
      <sheetData sheetId="1" refreshError="1"/>
      <sheetData sheetId="2">
        <row r="28">
          <cell r="B28" t="str">
            <v xml:space="preserve">PREVIOUS </v>
          </cell>
        </row>
      </sheetData>
      <sheetData sheetId="3" refreshError="1"/>
      <sheetData sheetId="4">
        <row r="5">
          <cell r="O5">
            <v>3.55</v>
          </cell>
        </row>
        <row r="466">
          <cell r="C466">
            <v>38168</v>
          </cell>
          <cell r="D466">
            <v>38199</v>
          </cell>
          <cell r="E466">
            <v>38230</v>
          </cell>
          <cell r="F466">
            <v>38260</v>
          </cell>
          <cell r="G466">
            <v>38291</v>
          </cell>
          <cell r="H466">
            <v>38321</v>
          </cell>
          <cell r="I466">
            <v>38352</v>
          </cell>
          <cell r="J466">
            <v>38383</v>
          </cell>
          <cell r="K466">
            <v>38411</v>
          </cell>
          <cell r="L466">
            <v>38442</v>
          </cell>
          <cell r="M466">
            <v>38472</v>
          </cell>
          <cell r="N466">
            <v>38503</v>
          </cell>
          <cell r="O466">
            <v>38533</v>
          </cell>
          <cell r="P466">
            <v>38564</v>
          </cell>
          <cell r="Q466">
            <v>38595</v>
          </cell>
          <cell r="R466">
            <v>38625</v>
          </cell>
          <cell r="S466">
            <v>38656</v>
          </cell>
          <cell r="T466">
            <v>38686</v>
          </cell>
          <cell r="U466">
            <v>38717</v>
          </cell>
          <cell r="V466">
            <v>38748</v>
          </cell>
          <cell r="W466">
            <v>38776</v>
          </cell>
          <cell r="X466">
            <v>38807</v>
          </cell>
          <cell r="Y466">
            <v>38837</v>
          </cell>
          <cell r="Z466">
            <v>38868</v>
          </cell>
          <cell r="AA466">
            <v>38898</v>
          </cell>
          <cell r="AB466">
            <v>38929</v>
          </cell>
          <cell r="AC466">
            <v>38960</v>
          </cell>
          <cell r="AD466">
            <v>38990</v>
          </cell>
          <cell r="AE466">
            <v>39021</v>
          </cell>
          <cell r="AF466">
            <v>39051</v>
          </cell>
          <cell r="AG466">
            <v>39082</v>
          </cell>
          <cell r="AH466">
            <v>39113</v>
          </cell>
          <cell r="AI466">
            <v>39141</v>
          </cell>
          <cell r="AJ466">
            <v>39172</v>
          </cell>
          <cell r="AK466">
            <v>39202</v>
          </cell>
          <cell r="AL466">
            <v>39233</v>
          </cell>
          <cell r="AM466">
            <v>39263</v>
          </cell>
          <cell r="AN466">
            <v>39294</v>
          </cell>
          <cell r="AO466">
            <v>39325</v>
          </cell>
          <cell r="AP466">
            <v>39355</v>
          </cell>
          <cell r="AQ466">
            <v>39386</v>
          </cell>
          <cell r="AR466">
            <v>39416</v>
          </cell>
          <cell r="AS466">
            <v>39447</v>
          </cell>
          <cell r="AT466">
            <v>39478</v>
          </cell>
          <cell r="AU466">
            <v>39507</v>
          </cell>
          <cell r="AV466">
            <v>39538</v>
          </cell>
          <cell r="AW466">
            <v>39568</v>
          </cell>
          <cell r="AX466">
            <v>39599</v>
          </cell>
          <cell r="AY466">
            <v>39629</v>
          </cell>
          <cell r="AZ466">
            <v>39660</v>
          </cell>
          <cell r="BA466">
            <v>39691</v>
          </cell>
          <cell r="BB466">
            <v>39721</v>
          </cell>
          <cell r="BC466">
            <v>39752</v>
          </cell>
        </row>
        <row r="467">
          <cell r="B467" t="str">
            <v>Forecast Spot Prices</v>
          </cell>
          <cell r="C467">
            <v>5.3345454545454549</v>
          </cell>
          <cell r="D467">
            <v>5.4133333333333331</v>
          </cell>
          <cell r="E467">
            <v>5.0017391304347827</v>
          </cell>
          <cell r="F467">
            <v>4.5209523809523811</v>
          </cell>
          <cell r="G467">
            <v>5.3547619047619053</v>
          </cell>
          <cell r="H467">
            <v>5.918571428571429</v>
          </cell>
          <cell r="I467">
            <v>6.0418181818181811</v>
          </cell>
          <cell r="J467">
            <v>5.4740000000000002</v>
          </cell>
          <cell r="K467">
            <v>5.5468421052631589</v>
          </cell>
          <cell r="L467">
            <v>6.285909090909092</v>
          </cell>
          <cell r="M467">
            <v>6.4590476190476194</v>
          </cell>
          <cell r="N467">
            <v>5.66409090909091</v>
          </cell>
          <cell r="O467">
            <v>5.964090909090908</v>
          </cell>
          <cell r="P467">
            <v>6.48</v>
          </cell>
          <cell r="Q467">
            <v>7.7372727272727255</v>
          </cell>
          <cell r="R467">
            <v>9.4171428571428546</v>
          </cell>
          <cell r="S467">
            <v>10.638095238095238</v>
          </cell>
          <cell r="T467">
            <v>7.5549999999999997</v>
          </cell>
          <cell r="U467">
            <v>11.08</v>
          </cell>
          <cell r="V467">
            <v>7.3849999999999998</v>
          </cell>
          <cell r="W467">
            <v>6.44</v>
          </cell>
          <cell r="X467">
            <v>5.7486956521739145</v>
          </cell>
          <cell r="Y467">
            <v>5.81</v>
          </cell>
          <cell r="Z467">
            <v>5.1349999999999998</v>
          </cell>
          <cell r="AA467">
            <v>5.34</v>
          </cell>
          <cell r="AB467">
            <v>5.43</v>
          </cell>
          <cell r="AC467">
            <v>5.89</v>
          </cell>
          <cell r="AD467">
            <v>3.6150000000000002</v>
          </cell>
          <cell r="AE467">
            <v>3.49</v>
          </cell>
          <cell r="AF467">
            <v>5.99</v>
          </cell>
          <cell r="AG467">
            <v>6.85</v>
          </cell>
          <cell r="AH467">
            <v>7.38</v>
          </cell>
          <cell r="AI467">
            <v>7.24</v>
          </cell>
          <cell r="AJ467">
            <v>7.29</v>
          </cell>
          <cell r="AK467">
            <v>7.13</v>
          </cell>
          <cell r="AL467">
            <v>6.5</v>
          </cell>
          <cell r="AM467">
            <v>6.55</v>
          </cell>
          <cell r="AN467">
            <v>6.7</v>
          </cell>
          <cell r="AO467">
            <v>6.65</v>
          </cell>
          <cell r="AP467">
            <v>6.89</v>
          </cell>
          <cell r="AQ467">
            <v>7.71</v>
          </cell>
          <cell r="AR467">
            <v>3.97</v>
          </cell>
          <cell r="AS467">
            <v>5.24</v>
          </cell>
          <cell r="AT467">
            <v>5.43</v>
          </cell>
          <cell r="AU467">
            <v>5.39</v>
          </cell>
          <cell r="AV467">
            <v>5.77</v>
          </cell>
          <cell r="AW467">
            <v>5.9</v>
          </cell>
          <cell r="AX467">
            <v>5.55</v>
          </cell>
          <cell r="AY467">
            <v>5.42</v>
          </cell>
          <cell r="AZ467">
            <v>5.55</v>
          </cell>
          <cell r="BA467">
            <v>5.39</v>
          </cell>
          <cell r="BB467">
            <v>4.93</v>
          </cell>
          <cell r="BC467">
            <v>5.07</v>
          </cell>
        </row>
        <row r="468">
          <cell r="B468" t="str">
            <v>First of Month Price</v>
          </cell>
          <cell r="C468">
            <v>5.52</v>
          </cell>
          <cell r="D468">
            <v>5.2</v>
          </cell>
          <cell r="E468">
            <v>5.22</v>
          </cell>
          <cell r="F468">
            <v>4.3899999999999997</v>
          </cell>
          <cell r="G468">
            <v>4.42</v>
          </cell>
          <cell r="H468">
            <v>6.55</v>
          </cell>
          <cell r="I468">
            <v>5.91</v>
          </cell>
          <cell r="J468">
            <v>5.47</v>
          </cell>
          <cell r="K468">
            <v>5.32</v>
          </cell>
          <cell r="L468">
            <v>5.38</v>
          </cell>
          <cell r="M468">
            <v>6.02</v>
          </cell>
          <cell r="N468">
            <v>6.04</v>
          </cell>
          <cell r="O468">
            <v>5.24</v>
          </cell>
          <cell r="P468">
            <v>5.74</v>
          </cell>
          <cell r="Q468">
            <v>5.75</v>
          </cell>
          <cell r="R468">
            <v>7.64</v>
          </cell>
          <cell r="S468">
            <v>9.48</v>
          </cell>
          <cell r="T468">
            <v>10.210000000000001</v>
          </cell>
          <cell r="U468">
            <v>8.4600000000000009</v>
          </cell>
          <cell r="V468">
            <v>8.7799999999999994</v>
          </cell>
          <cell r="W468">
            <v>6.39</v>
          </cell>
          <cell r="X468">
            <v>5.81</v>
          </cell>
          <cell r="Y468">
            <v>5.32</v>
          </cell>
          <cell r="Z468">
            <v>5.39</v>
          </cell>
          <cell r="AA468">
            <v>4.53</v>
          </cell>
          <cell r="AB468">
            <v>4.75</v>
          </cell>
          <cell r="AC468">
            <v>5.5</v>
          </cell>
          <cell r="AD468">
            <v>4.12</v>
          </cell>
          <cell r="AE468">
            <v>2.42</v>
          </cell>
          <cell r="AF468">
            <v>5.8</v>
          </cell>
          <cell r="AG468">
            <v>5.54</v>
          </cell>
          <cell r="AH468">
            <v>3.71</v>
          </cell>
          <cell r="AI468">
            <v>6</v>
          </cell>
          <cell r="AJ468">
            <v>5.79</v>
          </cell>
          <cell r="AK468">
            <v>3.1</v>
          </cell>
          <cell r="AL468">
            <v>4.34</v>
          </cell>
          <cell r="AM468">
            <v>2.82</v>
          </cell>
          <cell r="AN468">
            <v>3.05</v>
          </cell>
          <cell r="AO468">
            <v>2.78</v>
          </cell>
          <cell r="AP468">
            <v>2</v>
          </cell>
          <cell r="AQ468">
            <v>1.36</v>
          </cell>
        </row>
      </sheetData>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sheetName val="Rates"/>
      <sheetName val="Gas Mgmt"/>
      <sheetName val="GSBill"/>
      <sheetName val="Impact 191 09-057-03"/>
    </sheetNames>
    <sheetDataSet>
      <sheetData sheetId="0">
        <row r="14">
          <cell r="S14">
            <v>4.6238549735916754</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3" tint="0.39997558519241921"/>
    <pageSetUpPr fitToPage="1"/>
  </sheetPr>
  <dimension ref="A1:S254"/>
  <sheetViews>
    <sheetView zoomScaleNormal="100" workbookViewId="0">
      <pane xSplit="2" ySplit="5" topLeftCell="I42" activePane="bottomRight" state="frozen"/>
      <selection pane="topRight" activeCell="C1" sqref="C1"/>
      <selection pane="bottomLeft" activeCell="A6" sqref="A6"/>
      <selection pane="bottomRight" activeCell="O64" sqref="O64"/>
    </sheetView>
  </sheetViews>
  <sheetFormatPr defaultRowHeight="12.75"/>
  <cols>
    <col min="1" max="1" width="4.33203125" style="406" customWidth="1"/>
    <col min="2" max="2" width="44" style="402" bestFit="1" customWidth="1"/>
    <col min="3" max="4" width="16.1640625" style="402" customWidth="1"/>
    <col min="5" max="5" width="15.6640625" style="402" bestFit="1" customWidth="1"/>
    <col min="6" max="6" width="17.1640625" style="402" customWidth="1"/>
    <col min="7" max="7" width="16.1640625" style="402" customWidth="1"/>
    <col min="8" max="8" width="14.83203125" style="402" customWidth="1"/>
    <col min="9" max="9" width="15.83203125" style="402" bestFit="1" customWidth="1"/>
    <col min="10" max="11" width="16" style="402" customWidth="1"/>
    <col min="12" max="14" width="14.83203125" style="402" customWidth="1"/>
    <col min="15" max="15" width="16.83203125" style="402" customWidth="1"/>
    <col min="16" max="16" width="18.5" style="402" customWidth="1"/>
    <col min="17" max="17" width="17" style="402" bestFit="1" customWidth="1"/>
    <col min="18" max="18" width="16" style="402" customWidth="1"/>
    <col min="19" max="16384" width="9.33203125" style="402"/>
  </cols>
  <sheetData>
    <row r="1" spans="1:16">
      <c r="A1" s="401" t="s">
        <v>343</v>
      </c>
      <c r="B1" s="401"/>
      <c r="P1" s="403"/>
    </row>
    <row r="2" spans="1:16">
      <c r="A2" s="404"/>
      <c r="B2" s="405"/>
    </row>
    <row r="3" spans="1:16">
      <c r="B3" s="407"/>
      <c r="C3" s="408"/>
      <c r="D3" s="986" t="s">
        <v>344</v>
      </c>
      <c r="E3" s="986"/>
      <c r="F3" s="986"/>
      <c r="G3" s="986"/>
      <c r="H3" s="986"/>
      <c r="I3" s="986"/>
      <c r="J3" s="986"/>
      <c r="K3" s="986"/>
      <c r="L3" s="986"/>
      <c r="M3" s="986"/>
      <c r="N3" s="986"/>
      <c r="O3" s="986"/>
      <c r="P3" s="986"/>
    </row>
    <row r="4" spans="1:16">
      <c r="B4" s="410"/>
      <c r="C4" s="410"/>
      <c r="D4" s="410" t="s">
        <v>345</v>
      </c>
      <c r="E4" s="410" t="s">
        <v>345</v>
      </c>
      <c r="F4" s="410" t="s">
        <v>345</v>
      </c>
      <c r="G4" s="410" t="s">
        <v>345</v>
      </c>
      <c r="H4" s="410" t="s">
        <v>345</v>
      </c>
      <c r="I4" s="410" t="s">
        <v>345</v>
      </c>
      <c r="J4" s="410" t="s">
        <v>345</v>
      </c>
      <c r="K4" s="410" t="s">
        <v>345</v>
      </c>
      <c r="L4" s="410" t="s">
        <v>345</v>
      </c>
      <c r="M4" s="410" t="s">
        <v>345</v>
      </c>
      <c r="N4" s="410" t="s">
        <v>345</v>
      </c>
      <c r="O4" s="410" t="s">
        <v>345</v>
      </c>
      <c r="P4" s="410" t="s">
        <v>346</v>
      </c>
    </row>
    <row r="5" spans="1:16" ht="13.5" thickBot="1">
      <c r="A5" s="987" t="s">
        <v>347</v>
      </c>
      <c r="B5" s="987"/>
      <c r="C5" s="411"/>
      <c r="D5" s="925">
        <v>41805</v>
      </c>
      <c r="E5" s="911">
        <f>D5+30.4166666</f>
        <v>41835.416666600002</v>
      </c>
      <c r="F5" s="911">
        <f t="shared" ref="F5:O5" si="0">E5+30.4166666</f>
        <v>41865.833333200004</v>
      </c>
      <c r="G5" s="911">
        <f t="shared" si="0"/>
        <v>41896.249999800006</v>
      </c>
      <c r="H5" s="911">
        <f t="shared" si="0"/>
        <v>41926.666666400008</v>
      </c>
      <c r="I5" s="911">
        <f t="shared" si="0"/>
        <v>41957.08333300001</v>
      </c>
      <c r="J5" s="911">
        <f t="shared" si="0"/>
        <v>41987.499999600012</v>
      </c>
      <c r="K5" s="911">
        <f t="shared" si="0"/>
        <v>42017.916666200013</v>
      </c>
      <c r="L5" s="911">
        <f t="shared" si="0"/>
        <v>42048.333332800015</v>
      </c>
      <c r="M5" s="911">
        <f t="shared" si="0"/>
        <v>42078.749999400017</v>
      </c>
      <c r="N5" s="911">
        <f t="shared" si="0"/>
        <v>42109.166666000019</v>
      </c>
      <c r="O5" s="911">
        <f t="shared" si="0"/>
        <v>42139.583332600021</v>
      </c>
      <c r="P5" s="412" t="s">
        <v>1</v>
      </c>
    </row>
    <row r="6" spans="1:16">
      <c r="A6" s="988" t="s">
        <v>3</v>
      </c>
      <c r="B6" s="988"/>
      <c r="C6" s="413"/>
      <c r="P6" s="413"/>
    </row>
    <row r="7" spans="1:16">
      <c r="B7" s="414" t="s">
        <v>348</v>
      </c>
      <c r="C7" s="415"/>
      <c r="D7" s="415">
        <f>+'[4]RevRun Fcst'!H$21</f>
        <v>2521104</v>
      </c>
      <c r="E7" s="415">
        <f>+'[4]RevRun Fcst'!I$21</f>
        <v>2187359</v>
      </c>
      <c r="F7" s="415">
        <f>+'[4]RevRun Fcst'!J$21</f>
        <v>2171705</v>
      </c>
      <c r="G7" s="415">
        <f>+'[4]RevRun Fcst'!K$21</f>
        <v>3234158</v>
      </c>
      <c r="H7" s="415">
        <f>+'[4]RevRun Fcst'!L$21</f>
        <v>5920023</v>
      </c>
      <c r="I7" s="415">
        <f>+'[4]RevRun Fcst'!M$21</f>
        <v>10566136</v>
      </c>
      <c r="J7" s="415">
        <f>+'[4]RevRun Fcst'!N$21</f>
        <v>16270023</v>
      </c>
      <c r="K7" s="415">
        <f>+'[4]RevRun Fcst'!O$21</f>
        <v>18228968</v>
      </c>
      <c r="L7" s="415">
        <f>+'[4]RevRun Fcst'!P$21</f>
        <v>14585640</v>
      </c>
      <c r="M7" s="415">
        <f>+'[4]RevRun Fcst'!Q$21</f>
        <v>10988206</v>
      </c>
      <c r="N7" s="415">
        <f>+'[4]RevRun Fcst'!R$21</f>
        <v>8132632</v>
      </c>
      <c r="O7" s="415">
        <f>+'[4]RevRun Fcst'!S$21</f>
        <v>3769679</v>
      </c>
      <c r="P7" s="416">
        <f t="shared" ref="P7:P12" si="1">SUM(D7:O7)</f>
        <v>98575633</v>
      </c>
    </row>
    <row r="8" spans="1:16">
      <c r="B8" s="406" t="s">
        <v>349</v>
      </c>
      <c r="C8" s="415"/>
      <c r="D8" s="415">
        <v>0</v>
      </c>
      <c r="E8" s="415">
        <v>0</v>
      </c>
      <c r="F8" s="415">
        <v>0</v>
      </c>
      <c r="G8" s="415">
        <v>0</v>
      </c>
      <c r="H8" s="415">
        <v>0</v>
      </c>
      <c r="I8" s="415">
        <v>0</v>
      </c>
      <c r="J8" s="415">
        <v>0</v>
      </c>
      <c r="K8" s="415">
        <v>0</v>
      </c>
      <c r="L8" s="415">
        <v>0</v>
      </c>
      <c r="M8" s="415">
        <v>0</v>
      </c>
      <c r="N8" s="415">
        <v>0</v>
      </c>
      <c r="O8" s="415">
        <v>0</v>
      </c>
      <c r="P8" s="416">
        <f t="shared" si="1"/>
        <v>0</v>
      </c>
    </row>
    <row r="9" spans="1:16">
      <c r="B9" s="414" t="s">
        <v>350</v>
      </c>
      <c r="C9" s="415"/>
      <c r="D9" s="415">
        <v>0</v>
      </c>
      <c r="E9" s="415">
        <v>0</v>
      </c>
      <c r="F9" s="415">
        <v>0</v>
      </c>
      <c r="G9" s="415">
        <v>0</v>
      </c>
      <c r="H9" s="415">
        <v>0</v>
      </c>
      <c r="I9" s="415">
        <v>0</v>
      </c>
      <c r="J9" s="415">
        <v>0</v>
      </c>
      <c r="K9" s="415">
        <v>0</v>
      </c>
      <c r="L9" s="415">
        <v>0</v>
      </c>
      <c r="M9" s="415">
        <v>0</v>
      </c>
      <c r="N9" s="415">
        <v>0</v>
      </c>
      <c r="O9" s="415">
        <v>0</v>
      </c>
      <c r="P9" s="416">
        <f t="shared" si="1"/>
        <v>0</v>
      </c>
    </row>
    <row r="10" spans="1:16">
      <c r="B10" s="406" t="s">
        <v>316</v>
      </c>
      <c r="C10" s="415"/>
      <c r="D10" s="415">
        <f>+'[4]RevRun Fcst'!H$48</f>
        <v>357065</v>
      </c>
      <c r="E10" s="415">
        <f>+'[4]RevRun Fcst'!I$48</f>
        <v>312294</v>
      </c>
      <c r="F10" s="415">
        <f>+'[4]RevRun Fcst'!J$48</f>
        <v>292504</v>
      </c>
      <c r="G10" s="415">
        <f>+'[4]RevRun Fcst'!K$48</f>
        <v>347360</v>
      </c>
      <c r="H10" s="415">
        <f>+'[4]RevRun Fcst'!L$48</f>
        <v>366583</v>
      </c>
      <c r="I10" s="415">
        <f>+'[4]RevRun Fcst'!M$48</f>
        <v>490676</v>
      </c>
      <c r="J10" s="415">
        <f>+'[4]RevRun Fcst'!N$48</f>
        <v>531054</v>
      </c>
      <c r="K10" s="415">
        <f>+'[4]RevRun Fcst'!O$48</f>
        <v>529877</v>
      </c>
      <c r="L10" s="415">
        <f>+'[4]RevRun Fcst'!P$48</f>
        <v>466603</v>
      </c>
      <c r="M10" s="415">
        <f>+'[4]RevRun Fcst'!Q$48</f>
        <v>431512</v>
      </c>
      <c r="N10" s="415">
        <f>+'[4]RevRun Fcst'!R$48</f>
        <v>399806</v>
      </c>
      <c r="O10" s="415">
        <f>+'[4]RevRun Fcst'!S$48</f>
        <v>338836</v>
      </c>
      <c r="P10" s="416">
        <f t="shared" si="1"/>
        <v>4864170</v>
      </c>
    </row>
    <row r="11" spans="1:16">
      <c r="B11" s="414" t="s">
        <v>141</v>
      </c>
      <c r="C11" s="415"/>
      <c r="D11" s="415">
        <v>0</v>
      </c>
      <c r="E11" s="415">
        <v>0</v>
      </c>
      <c r="F11" s="415">
        <v>0</v>
      </c>
      <c r="G11" s="415">
        <v>0</v>
      </c>
      <c r="H11" s="415">
        <v>0</v>
      </c>
      <c r="I11" s="415">
        <v>0</v>
      </c>
      <c r="J11" s="415">
        <v>0</v>
      </c>
      <c r="K11" s="415">
        <v>0</v>
      </c>
      <c r="L11" s="415">
        <v>0</v>
      </c>
      <c r="M11" s="415">
        <v>0</v>
      </c>
      <c r="N11" s="415">
        <v>0</v>
      </c>
      <c r="O11" s="415">
        <v>0</v>
      </c>
      <c r="P11" s="416">
        <f t="shared" si="1"/>
        <v>0</v>
      </c>
    </row>
    <row r="12" spans="1:16">
      <c r="B12" s="414" t="s">
        <v>143</v>
      </c>
      <c r="C12" s="415"/>
      <c r="D12" s="415">
        <f>+'[4]RevRun Fcst'!H$66</f>
        <v>39790</v>
      </c>
      <c r="E12" s="415">
        <f>+'[4]RevRun Fcst'!I$66</f>
        <v>53125</v>
      </c>
      <c r="F12" s="415">
        <f>+'[4]RevRun Fcst'!J$66</f>
        <v>63198</v>
      </c>
      <c r="G12" s="415">
        <f>+'[4]RevRun Fcst'!K$66</f>
        <v>53654</v>
      </c>
      <c r="H12" s="415">
        <f>+'[4]RevRun Fcst'!L$66</f>
        <v>59598</v>
      </c>
      <c r="I12" s="415">
        <f>+'[4]RevRun Fcst'!M$66</f>
        <v>61446</v>
      </c>
      <c r="J12" s="415">
        <f>+'[4]RevRun Fcst'!N$66</f>
        <v>53716</v>
      </c>
      <c r="K12" s="415">
        <f>+'[4]RevRun Fcst'!O$66</f>
        <v>60298</v>
      </c>
      <c r="L12" s="415">
        <f>+'[4]RevRun Fcst'!P$66</f>
        <v>53716</v>
      </c>
      <c r="M12" s="415">
        <f>+'[4]RevRun Fcst'!Q$66</f>
        <v>59262</v>
      </c>
      <c r="N12" s="415">
        <f>+'[4]RevRun Fcst'!R$66</f>
        <v>71589</v>
      </c>
      <c r="O12" s="415">
        <f>+'[4]RevRun Fcst'!S$66</f>
        <v>64159</v>
      </c>
      <c r="P12" s="416">
        <f t="shared" si="1"/>
        <v>693551</v>
      </c>
    </row>
    <row r="13" spans="1:16">
      <c r="A13" s="414" t="s">
        <v>352</v>
      </c>
      <c r="B13" s="414"/>
      <c r="C13" s="417"/>
      <c r="D13" s="417">
        <f t="shared" ref="D13:P13" si="2">SUM(D7:D12)</f>
        <v>2917959</v>
      </c>
      <c r="E13" s="417">
        <f t="shared" si="2"/>
        <v>2552778</v>
      </c>
      <c r="F13" s="417">
        <f>SUM(F7:F12)</f>
        <v>2527407</v>
      </c>
      <c r="G13" s="417">
        <f t="shared" si="2"/>
        <v>3635172</v>
      </c>
      <c r="H13" s="417">
        <f t="shared" si="2"/>
        <v>6346204</v>
      </c>
      <c r="I13" s="417">
        <f t="shared" si="2"/>
        <v>11118258</v>
      </c>
      <c r="J13" s="417">
        <f t="shared" si="2"/>
        <v>16854793</v>
      </c>
      <c r="K13" s="417">
        <f t="shared" si="2"/>
        <v>18819143</v>
      </c>
      <c r="L13" s="417">
        <f t="shared" si="2"/>
        <v>15105959</v>
      </c>
      <c r="M13" s="417">
        <f t="shared" si="2"/>
        <v>11478980</v>
      </c>
      <c r="N13" s="417">
        <f t="shared" si="2"/>
        <v>8604027</v>
      </c>
      <c r="O13" s="417">
        <f t="shared" si="2"/>
        <v>4172674</v>
      </c>
      <c r="P13" s="417">
        <f t="shared" si="2"/>
        <v>104133354</v>
      </c>
    </row>
    <row r="14" spans="1:16">
      <c r="A14" s="414"/>
      <c r="B14" s="414"/>
      <c r="C14" s="416"/>
      <c r="D14" s="416"/>
      <c r="E14" s="416"/>
      <c r="F14" s="416"/>
      <c r="G14" s="416"/>
      <c r="H14" s="416"/>
      <c r="I14" s="416"/>
      <c r="J14" s="416"/>
      <c r="K14" s="416"/>
      <c r="L14" s="416"/>
      <c r="M14" s="416"/>
      <c r="N14" s="416"/>
      <c r="O14" s="416"/>
      <c r="P14" s="416"/>
    </row>
    <row r="15" spans="1:16">
      <c r="B15" s="406" t="s">
        <v>335</v>
      </c>
      <c r="C15" s="415"/>
      <c r="D15" s="415">
        <f>+'[4]RevRun Fcst'!H$93</f>
        <v>247991</v>
      </c>
      <c r="E15" s="415">
        <f>+'[4]RevRun Fcst'!I$93</f>
        <v>223222</v>
      </c>
      <c r="F15" s="415">
        <f>+'[4]RevRun Fcst'!J$93</f>
        <v>234115</v>
      </c>
      <c r="G15" s="415">
        <f>+'[4]RevRun Fcst'!K$93</f>
        <v>230928</v>
      </c>
      <c r="H15" s="415">
        <f>+'[4]RevRun Fcst'!L$93</f>
        <v>204977</v>
      </c>
      <c r="I15" s="415">
        <f>+'[4]RevRun Fcst'!M$93</f>
        <v>241715</v>
      </c>
      <c r="J15" s="415">
        <f>+'[4]RevRun Fcst'!N$93</f>
        <v>214279</v>
      </c>
      <c r="K15" s="415">
        <f>+'[4]RevRun Fcst'!O$93</f>
        <v>233746</v>
      </c>
      <c r="L15" s="415">
        <f>+'[4]RevRun Fcst'!P$93</f>
        <v>205064</v>
      </c>
      <c r="M15" s="415">
        <f>+'[4]RevRun Fcst'!Q$93</f>
        <v>202331</v>
      </c>
      <c r="N15" s="415">
        <f>+'[4]RevRun Fcst'!R$93</f>
        <v>196821</v>
      </c>
      <c r="O15" s="415">
        <f>+'[4]RevRun Fcst'!S$93</f>
        <v>196258</v>
      </c>
      <c r="P15" s="416">
        <f>SUM(D15:O15)</f>
        <v>2631447</v>
      </c>
    </row>
    <row r="16" spans="1:16">
      <c r="B16" s="406" t="s">
        <v>353</v>
      </c>
      <c r="C16" s="415"/>
      <c r="D16" s="415">
        <f>'[3]RevRun Fcst'!G111</f>
        <v>0</v>
      </c>
      <c r="E16" s="415">
        <f>'[3]RevRun Fcst'!H111</f>
        <v>0</v>
      </c>
      <c r="F16" s="415">
        <f>'[3]RevRun Fcst'!I111</f>
        <v>0</v>
      </c>
      <c r="G16" s="415">
        <f>'[3]RevRun Fcst'!J111</f>
        <v>0</v>
      </c>
      <c r="H16" s="415">
        <f>'[3]RevRun Fcst'!K111</f>
        <v>0</v>
      </c>
      <c r="I16" s="415">
        <f>'[3]RevRun Fcst'!L111</f>
        <v>0</v>
      </c>
      <c r="J16" s="415">
        <f>'[3]RevRun Fcst'!M111</f>
        <v>0</v>
      </c>
      <c r="K16" s="415">
        <f>'[3]RevRun Fcst'!N111</f>
        <v>0</v>
      </c>
      <c r="L16" s="415">
        <f>'[3]RevRun Fcst'!O111</f>
        <v>0</v>
      </c>
      <c r="M16" s="415">
        <f>'[3]RevRun Fcst'!P111</f>
        <v>0</v>
      </c>
      <c r="N16" s="415">
        <f>'[3]RevRun Fcst'!Q111</f>
        <v>0</v>
      </c>
      <c r="O16" s="415">
        <f>'[3]RevRun Fcst'!R111</f>
        <v>0</v>
      </c>
      <c r="P16" s="416">
        <f>SUM(D16:O16)</f>
        <v>0</v>
      </c>
    </row>
    <row r="17" spans="1:19">
      <c r="A17" s="414" t="s">
        <v>354</v>
      </c>
      <c r="B17" s="414"/>
      <c r="C17" s="417"/>
      <c r="D17" s="417">
        <f t="shared" ref="D17:P17" si="3">SUM(D15:D16)</f>
        <v>247991</v>
      </c>
      <c r="E17" s="417">
        <f t="shared" si="3"/>
        <v>223222</v>
      </c>
      <c r="F17" s="417">
        <f t="shared" si="3"/>
        <v>234115</v>
      </c>
      <c r="G17" s="417">
        <f t="shared" si="3"/>
        <v>230928</v>
      </c>
      <c r="H17" s="417">
        <f t="shared" si="3"/>
        <v>204977</v>
      </c>
      <c r="I17" s="417">
        <f t="shared" si="3"/>
        <v>241715</v>
      </c>
      <c r="J17" s="417">
        <f t="shared" si="3"/>
        <v>214279</v>
      </c>
      <c r="K17" s="417">
        <f t="shared" si="3"/>
        <v>233746</v>
      </c>
      <c r="L17" s="417">
        <f t="shared" si="3"/>
        <v>205064</v>
      </c>
      <c r="M17" s="417">
        <f t="shared" si="3"/>
        <v>202331</v>
      </c>
      <c r="N17" s="417">
        <f t="shared" si="3"/>
        <v>196821</v>
      </c>
      <c r="O17" s="417">
        <f t="shared" si="3"/>
        <v>196258</v>
      </c>
      <c r="P17" s="417">
        <f t="shared" si="3"/>
        <v>2631447</v>
      </c>
    </row>
    <row r="18" spans="1:19" ht="13.5" thickBot="1">
      <c r="C18" s="418"/>
      <c r="D18" s="418"/>
      <c r="E18" s="418"/>
      <c r="F18" s="418"/>
      <c r="G18" s="418"/>
      <c r="H18" s="418"/>
      <c r="I18" s="418"/>
      <c r="J18" s="418"/>
      <c r="K18" s="418"/>
      <c r="L18" s="418"/>
      <c r="M18" s="418"/>
      <c r="N18" s="418"/>
      <c r="O18" s="418"/>
      <c r="P18" s="418"/>
    </row>
    <row r="19" spans="1:19">
      <c r="C19" s="419"/>
      <c r="D19" s="419"/>
      <c r="E19" s="419"/>
      <c r="F19" s="419"/>
      <c r="G19" s="419"/>
      <c r="H19" s="419"/>
      <c r="I19" s="419"/>
      <c r="J19" s="419"/>
      <c r="K19" s="419"/>
      <c r="L19" s="419"/>
      <c r="M19" s="419"/>
      <c r="N19" s="419"/>
      <c r="O19" s="419"/>
      <c r="P19" s="419"/>
    </row>
    <row r="20" spans="1:19">
      <c r="A20" s="406" t="s">
        <v>355</v>
      </c>
      <c r="C20" s="416"/>
      <c r="D20" s="416">
        <f t="shared" ref="D20:P20" si="4">+D13+D17</f>
        <v>3165950</v>
      </c>
      <c r="E20" s="416">
        <f t="shared" si="4"/>
        <v>2776000</v>
      </c>
      <c r="F20" s="416">
        <f>+F13+F17</f>
        <v>2761522</v>
      </c>
      <c r="G20" s="416">
        <f t="shared" si="4"/>
        <v>3866100</v>
      </c>
      <c r="H20" s="416">
        <f t="shared" si="4"/>
        <v>6551181</v>
      </c>
      <c r="I20" s="416">
        <f t="shared" si="4"/>
        <v>11359973</v>
      </c>
      <c r="J20" s="416">
        <f t="shared" si="4"/>
        <v>17069072</v>
      </c>
      <c r="K20" s="416">
        <f t="shared" si="4"/>
        <v>19052889</v>
      </c>
      <c r="L20" s="416">
        <f t="shared" si="4"/>
        <v>15311023</v>
      </c>
      <c r="M20" s="416">
        <f t="shared" si="4"/>
        <v>11681311</v>
      </c>
      <c r="N20" s="416">
        <f t="shared" si="4"/>
        <v>8800848</v>
      </c>
      <c r="O20" s="416">
        <f t="shared" si="4"/>
        <v>4368932</v>
      </c>
      <c r="P20" s="416">
        <f t="shared" si="4"/>
        <v>106764801</v>
      </c>
      <c r="R20" s="416">
        <f>D20+E20+F20+N20+O20</f>
        <v>21873252</v>
      </c>
      <c r="S20" s="402">
        <f>R20/P20</f>
        <v>0.20487325218730093</v>
      </c>
    </row>
    <row r="21" spans="1:19">
      <c r="C21" s="416"/>
      <c r="D21" s="416"/>
      <c r="E21" s="416"/>
      <c r="F21" s="416"/>
      <c r="G21" s="416"/>
      <c r="H21" s="416"/>
      <c r="I21" s="416"/>
      <c r="J21" s="416"/>
      <c r="K21" s="416"/>
      <c r="L21" s="416"/>
      <c r="M21" s="416"/>
      <c r="N21" s="416"/>
      <c r="O21" s="416"/>
      <c r="P21" s="416"/>
      <c r="R21" s="416"/>
    </row>
    <row r="22" spans="1:19">
      <c r="B22" s="402" t="s">
        <v>400</v>
      </c>
      <c r="C22" s="416"/>
      <c r="P22" s="416"/>
    </row>
    <row r="23" spans="1:19">
      <c r="B23" s="754" t="s">
        <v>401</v>
      </c>
      <c r="C23" s="416"/>
      <c r="D23" s="415">
        <f>+'[4]RevRun Fcst'!H$129</f>
        <v>715327</v>
      </c>
      <c r="E23" s="415">
        <f>+'[4]RevRun Fcst'!I$129</f>
        <v>871855</v>
      </c>
      <c r="F23" s="415">
        <f>+'[4]RevRun Fcst'!J$129</f>
        <v>930747</v>
      </c>
      <c r="G23" s="415">
        <f>+'[4]RevRun Fcst'!K$129</f>
        <v>635942</v>
      </c>
      <c r="H23" s="415">
        <f>+'[4]RevRun Fcst'!L$129</f>
        <v>596550</v>
      </c>
      <c r="I23" s="415">
        <f>+'[4]RevRun Fcst'!M$129</f>
        <v>549099</v>
      </c>
      <c r="J23" s="415">
        <f>+'[4]RevRun Fcst'!N$129</f>
        <v>398624</v>
      </c>
      <c r="K23" s="415">
        <f>+'[4]RevRun Fcst'!O$129</f>
        <v>341058</v>
      </c>
      <c r="L23" s="415">
        <f>+'[4]RevRun Fcst'!P$129</f>
        <v>307550</v>
      </c>
      <c r="M23" s="415">
        <f>+'[4]RevRun Fcst'!Q$129</f>
        <v>416357</v>
      </c>
      <c r="N23" s="415">
        <f>+'[4]RevRun Fcst'!R$129</f>
        <v>359127</v>
      </c>
      <c r="O23" s="415">
        <f>+'[4]RevRun Fcst'!S$129</f>
        <v>482832</v>
      </c>
      <c r="P23" s="416">
        <f t="shared" ref="P23:P28" si="5">SUM(D23:O23)</f>
        <v>6605068</v>
      </c>
    </row>
    <row r="24" spans="1:19">
      <c r="B24" s="754" t="s">
        <v>656</v>
      </c>
      <c r="C24" s="416"/>
      <c r="D24" s="415">
        <f>+'[4]RevRun Fcst'!H$156</f>
        <v>3645466</v>
      </c>
      <c r="E24" s="415">
        <f>+'[4]RevRun Fcst'!I$156</f>
        <v>3481866</v>
      </c>
      <c r="F24" s="415">
        <f>+'[4]RevRun Fcst'!J$156</f>
        <v>3685966</v>
      </c>
      <c r="G24" s="415">
        <f>+'[4]RevRun Fcst'!K$156</f>
        <v>3332290</v>
      </c>
      <c r="H24" s="415">
        <f>+'[4]RevRun Fcst'!L$156</f>
        <v>3649712</v>
      </c>
      <c r="I24" s="415">
        <f>+'[4]RevRun Fcst'!M$156</f>
        <v>3339493</v>
      </c>
      <c r="J24" s="415">
        <f>+'[4]RevRun Fcst'!N$156</f>
        <v>3556508</v>
      </c>
      <c r="K24" s="415">
        <f>+'[4]RevRun Fcst'!O$156</f>
        <v>3780979</v>
      </c>
      <c r="L24" s="415">
        <f>+'[4]RevRun Fcst'!P$156</f>
        <v>3893242</v>
      </c>
      <c r="M24" s="415">
        <f>+'[4]RevRun Fcst'!Q$156</f>
        <v>3593458</v>
      </c>
      <c r="N24" s="415">
        <f>+'[4]RevRun Fcst'!R$156</f>
        <v>3709201</v>
      </c>
      <c r="O24" s="415">
        <f>+'[4]RevRun Fcst'!S$156</f>
        <v>3696522</v>
      </c>
      <c r="P24" s="416">
        <f t="shared" si="5"/>
        <v>43364703</v>
      </c>
    </row>
    <row r="25" spans="1:19">
      <c r="B25" s="754" t="s">
        <v>402</v>
      </c>
      <c r="C25" s="416"/>
      <c r="D25" s="415">
        <f>+'[4]RevRun Fcst'!H$147</f>
        <v>1501</v>
      </c>
      <c r="E25" s="415">
        <f>+'[4]RevRun Fcst'!I$147</f>
        <v>1452</v>
      </c>
      <c r="F25" s="415">
        <f>+'[4]RevRun Fcst'!J$147</f>
        <v>1460</v>
      </c>
      <c r="G25" s="415">
        <f>+'[4]RevRun Fcst'!K$147</f>
        <v>1572</v>
      </c>
      <c r="H25" s="415">
        <f>+'[4]RevRun Fcst'!L$147</f>
        <v>1932</v>
      </c>
      <c r="I25" s="415">
        <f>+'[4]RevRun Fcst'!M$147</f>
        <v>2810</v>
      </c>
      <c r="J25" s="415">
        <f>+'[4]RevRun Fcst'!N$147</f>
        <v>5357</v>
      </c>
      <c r="K25" s="415">
        <f>+'[4]RevRun Fcst'!O$147</f>
        <v>4954</v>
      </c>
      <c r="L25" s="415">
        <f>+'[4]RevRun Fcst'!P$147</f>
        <v>4581</v>
      </c>
      <c r="M25" s="415">
        <f>+'[4]RevRun Fcst'!Q$147</f>
        <v>3436</v>
      </c>
      <c r="N25" s="415">
        <f>+'[4]RevRun Fcst'!R$147</f>
        <v>2308</v>
      </c>
      <c r="O25" s="415">
        <f>+'[4]RevRun Fcst'!S$147</f>
        <v>1707</v>
      </c>
      <c r="P25" s="416">
        <f t="shared" si="5"/>
        <v>33070</v>
      </c>
    </row>
    <row r="26" spans="1:19">
      <c r="B26" s="754" t="s">
        <v>655</v>
      </c>
      <c r="C26" s="416"/>
      <c r="D26" s="415">
        <f>+'[4]RevRun Fcst'!H$174</f>
        <v>45944</v>
      </c>
      <c r="E26" s="415">
        <f>+'[4]RevRun Fcst'!I$174</f>
        <v>60433</v>
      </c>
      <c r="F26" s="415">
        <f>+'[4]RevRun Fcst'!J$174</f>
        <v>56272</v>
      </c>
      <c r="G26" s="415">
        <f>+'[4]RevRun Fcst'!K$174</f>
        <v>41603</v>
      </c>
      <c r="H26" s="415">
        <f>+'[4]RevRun Fcst'!L$174</f>
        <v>61117</v>
      </c>
      <c r="I26" s="415">
        <f>+'[4]RevRun Fcst'!M$174</f>
        <v>58845</v>
      </c>
      <c r="J26" s="415">
        <f>+'[4]RevRun Fcst'!N$174</f>
        <v>71596</v>
      </c>
      <c r="K26" s="415">
        <f>+'[4]RevRun Fcst'!O$174</f>
        <v>73148</v>
      </c>
      <c r="L26" s="415">
        <f>+'[4]RevRun Fcst'!P$174</f>
        <v>58404</v>
      </c>
      <c r="M26" s="415">
        <f>+'[4]RevRun Fcst'!Q$174</f>
        <v>67039</v>
      </c>
      <c r="N26" s="415">
        <f>+'[4]RevRun Fcst'!R$174</f>
        <v>54637</v>
      </c>
      <c r="O26" s="415">
        <f>+'[4]RevRun Fcst'!S$174</f>
        <v>57615</v>
      </c>
      <c r="P26" s="416">
        <f t="shared" si="5"/>
        <v>706653</v>
      </c>
    </row>
    <row r="27" spans="1:19">
      <c r="B27" s="754" t="s">
        <v>403</v>
      </c>
      <c r="C27" s="416"/>
      <c r="D27" s="415">
        <f>+'[4]RevRun Fcst'!H$165</f>
        <v>2604505</v>
      </c>
      <c r="E27" s="415">
        <f>+'[4]RevRun Fcst'!I$165</f>
        <v>2483216</v>
      </c>
      <c r="F27" s="415">
        <f>+'[4]RevRun Fcst'!J$165</f>
        <v>2684619</v>
      </c>
      <c r="G27" s="415">
        <f>+'[4]RevRun Fcst'!K$165</f>
        <v>2471685</v>
      </c>
      <c r="H27" s="415">
        <f>+'[4]RevRun Fcst'!L$165</f>
        <v>2931958</v>
      </c>
      <c r="I27" s="415">
        <f>+'[4]RevRun Fcst'!M$165</f>
        <v>3106686</v>
      </c>
      <c r="J27" s="415">
        <f>+'[4]RevRun Fcst'!N$165</f>
        <v>3673878</v>
      </c>
      <c r="K27" s="415">
        <f>+'[4]RevRun Fcst'!O$165</f>
        <v>3489147</v>
      </c>
      <c r="L27" s="415">
        <f>+'[4]RevRun Fcst'!P$165</f>
        <v>3237201</v>
      </c>
      <c r="M27" s="415">
        <f>+'[4]RevRun Fcst'!Q$165</f>
        <v>2999509</v>
      </c>
      <c r="N27" s="415">
        <f>+'[4]RevRun Fcst'!R$165</f>
        <v>2681056</v>
      </c>
      <c r="O27" s="415">
        <f>+'[4]RevRun Fcst'!S$165</f>
        <v>3156764</v>
      </c>
      <c r="P27" s="416">
        <f t="shared" si="5"/>
        <v>35520224</v>
      </c>
    </row>
    <row r="28" spans="1:19">
      <c r="B28" s="402" t="s">
        <v>404</v>
      </c>
      <c r="C28" s="416"/>
      <c r="D28" s="415">
        <v>0</v>
      </c>
      <c r="E28" s="415">
        <v>0</v>
      </c>
      <c r="F28" s="415">
        <v>0</v>
      </c>
      <c r="G28" s="415">
        <v>0</v>
      </c>
      <c r="H28" s="415">
        <v>0</v>
      </c>
      <c r="I28" s="415">
        <v>0</v>
      </c>
      <c r="J28" s="415">
        <v>0</v>
      </c>
      <c r="K28" s="415">
        <v>0</v>
      </c>
      <c r="L28" s="415">
        <v>0</v>
      </c>
      <c r="M28" s="415">
        <v>0</v>
      </c>
      <c r="N28" s="415">
        <v>0</v>
      </c>
      <c r="O28" s="415">
        <v>0</v>
      </c>
      <c r="P28" s="416">
        <f t="shared" si="5"/>
        <v>0</v>
      </c>
    </row>
    <row r="29" spans="1:19">
      <c r="C29" s="416"/>
      <c r="D29" s="416"/>
      <c r="E29" s="416"/>
      <c r="F29" s="416"/>
      <c r="G29" s="416"/>
      <c r="H29" s="416"/>
      <c r="I29" s="416"/>
      <c r="J29" s="416"/>
      <c r="K29" s="416"/>
      <c r="L29" s="416"/>
      <c r="M29" s="416"/>
      <c r="N29" s="416"/>
      <c r="O29" s="416"/>
      <c r="P29" s="416"/>
    </row>
    <row r="30" spans="1:19">
      <c r="C30" s="416"/>
      <c r="D30" s="416"/>
      <c r="E30" s="416"/>
      <c r="F30" s="416"/>
      <c r="G30" s="416"/>
      <c r="H30" s="416"/>
      <c r="I30" s="416"/>
      <c r="J30" s="416"/>
      <c r="K30" s="416"/>
      <c r="L30" s="416"/>
      <c r="M30" s="416"/>
      <c r="N30" s="416"/>
      <c r="O30" s="416"/>
      <c r="P30" s="416"/>
    </row>
    <row r="31" spans="1:19">
      <c r="A31" s="755" t="s">
        <v>406</v>
      </c>
      <c r="B31" s="754"/>
      <c r="C31" s="415"/>
      <c r="D31" s="441">
        <f t="shared" ref="D31:P31" si="6">SUM(D23:D27)</f>
        <v>7012743</v>
      </c>
      <c r="E31" s="441">
        <f t="shared" si="6"/>
        <v>6898822</v>
      </c>
      <c r="F31" s="441">
        <f t="shared" si="6"/>
        <v>7359064</v>
      </c>
      <c r="G31" s="441">
        <f t="shared" si="6"/>
        <v>6483092</v>
      </c>
      <c r="H31" s="441">
        <f t="shared" si="6"/>
        <v>7241269</v>
      </c>
      <c r="I31" s="441">
        <f t="shared" si="6"/>
        <v>7056933</v>
      </c>
      <c r="J31" s="441">
        <f t="shared" si="6"/>
        <v>7705963</v>
      </c>
      <c r="K31" s="441">
        <f t="shared" si="6"/>
        <v>7689286</v>
      </c>
      <c r="L31" s="441">
        <f t="shared" si="6"/>
        <v>7500978</v>
      </c>
      <c r="M31" s="441">
        <f t="shared" si="6"/>
        <v>7079799</v>
      </c>
      <c r="N31" s="441">
        <f t="shared" si="6"/>
        <v>6806329</v>
      </c>
      <c r="O31" s="441">
        <f t="shared" si="6"/>
        <v>7395440</v>
      </c>
      <c r="P31" s="441">
        <f t="shared" si="6"/>
        <v>86229718</v>
      </c>
    </row>
    <row r="32" spans="1:19" ht="13.5" thickBot="1">
      <c r="C32" s="420"/>
      <c r="D32" s="420"/>
      <c r="E32" s="420"/>
      <c r="F32" s="420"/>
      <c r="G32" s="420"/>
      <c r="H32" s="420"/>
      <c r="I32" s="420"/>
      <c r="J32" s="420"/>
      <c r="K32" s="420"/>
      <c r="L32" s="420"/>
      <c r="M32" s="421"/>
      <c r="N32" s="421"/>
      <c r="O32" s="421"/>
      <c r="P32" s="420"/>
    </row>
    <row r="33" spans="1:18" ht="14.25" thickTop="1" thickBot="1">
      <c r="C33" s="416"/>
      <c r="D33" s="416"/>
      <c r="E33" s="416"/>
      <c r="F33" s="416"/>
      <c r="G33" s="416"/>
      <c r="H33" s="416"/>
      <c r="I33" s="416"/>
      <c r="J33" s="416"/>
      <c r="K33" s="416"/>
      <c r="L33" s="416"/>
      <c r="M33" s="416"/>
      <c r="N33" s="416"/>
      <c r="O33" s="416"/>
      <c r="P33" s="416"/>
    </row>
    <row r="34" spans="1:18" ht="13.5" thickBot="1">
      <c r="A34" s="401" t="s">
        <v>356</v>
      </c>
      <c r="B34" s="401"/>
      <c r="C34" s="416"/>
      <c r="D34" s="416">
        <f t="shared" ref="D34:P34" si="7">+D20+D31</f>
        <v>10178693</v>
      </c>
      <c r="E34" s="416">
        <f t="shared" si="7"/>
        <v>9674822</v>
      </c>
      <c r="F34" s="416">
        <f t="shared" si="7"/>
        <v>10120586</v>
      </c>
      <c r="G34" s="416">
        <f t="shared" si="7"/>
        <v>10349192</v>
      </c>
      <c r="H34" s="416">
        <f t="shared" si="7"/>
        <v>13792450</v>
      </c>
      <c r="I34" s="416">
        <f t="shared" si="7"/>
        <v>18416906</v>
      </c>
      <c r="J34" s="416">
        <f t="shared" si="7"/>
        <v>24775035</v>
      </c>
      <c r="K34" s="416">
        <f t="shared" si="7"/>
        <v>26742175</v>
      </c>
      <c r="L34" s="416">
        <f t="shared" si="7"/>
        <v>22812001</v>
      </c>
      <c r="M34" s="416">
        <f t="shared" si="7"/>
        <v>18761110</v>
      </c>
      <c r="N34" s="416">
        <f t="shared" si="7"/>
        <v>15607177</v>
      </c>
      <c r="O34" s="416">
        <f t="shared" si="7"/>
        <v>11764372</v>
      </c>
      <c r="P34" s="422">
        <f t="shared" si="7"/>
        <v>192994519</v>
      </c>
      <c r="Q34" s="912">
        <f>+P34-P35</f>
        <v>0</v>
      </c>
    </row>
    <row r="35" spans="1:18" ht="13.5" customHeight="1">
      <c r="C35" s="416"/>
      <c r="D35" s="416"/>
      <c r="E35" s="416"/>
      <c r="F35" s="416"/>
      <c r="G35" s="416"/>
      <c r="H35" s="416"/>
      <c r="I35" s="416"/>
      <c r="J35" s="416"/>
      <c r="K35" s="416"/>
      <c r="L35" s="416"/>
      <c r="M35" s="416"/>
      <c r="N35" s="416"/>
      <c r="O35" s="416" t="s">
        <v>428</v>
      </c>
      <c r="P35" s="416">
        <v>192994519</v>
      </c>
    </row>
    <row r="36" spans="1:18">
      <c r="A36" s="404" t="s">
        <v>2</v>
      </c>
      <c r="B36" s="405"/>
      <c r="C36" s="416"/>
      <c r="D36" s="416"/>
      <c r="E36" s="416"/>
      <c r="F36" s="416"/>
      <c r="G36" s="416"/>
      <c r="H36" s="416"/>
      <c r="I36" s="416"/>
      <c r="J36" s="416"/>
      <c r="K36" s="416"/>
      <c r="L36" s="416"/>
      <c r="M36" s="416"/>
      <c r="N36" s="416"/>
      <c r="O36" s="416"/>
      <c r="P36" s="416"/>
    </row>
    <row r="37" spans="1:18">
      <c r="A37" s="406" t="s">
        <v>357</v>
      </c>
      <c r="C37" s="415"/>
      <c r="D37" s="415">
        <f>+'[4]RevRun Fcst'!H$244</f>
        <v>95974</v>
      </c>
      <c r="E37" s="415">
        <f>+'[4]RevRun Fcst'!I$244</f>
        <v>56096</v>
      </c>
      <c r="F37" s="415">
        <f>+'[4]RevRun Fcst'!J$244</f>
        <v>62062</v>
      </c>
      <c r="G37" s="415">
        <f>+'[4]RevRun Fcst'!K$244</f>
        <v>127054</v>
      </c>
      <c r="H37" s="415">
        <f>+'[4]RevRun Fcst'!L$244</f>
        <v>184416</v>
      </c>
      <c r="I37" s="415">
        <f>+'[4]RevRun Fcst'!M$244</f>
        <v>377830</v>
      </c>
      <c r="J37" s="415">
        <f>+'[4]RevRun Fcst'!N$244</f>
        <v>523710</v>
      </c>
      <c r="K37" s="415">
        <f>+'[4]RevRun Fcst'!O$244</f>
        <v>663861</v>
      </c>
      <c r="L37" s="415">
        <f>+'[4]RevRun Fcst'!P$244</f>
        <v>559136</v>
      </c>
      <c r="M37" s="415">
        <f>+'[4]RevRun Fcst'!Q$244</f>
        <v>478460</v>
      </c>
      <c r="N37" s="415">
        <f>+'[4]RevRun Fcst'!R$244</f>
        <v>322019</v>
      </c>
      <c r="O37" s="415">
        <f>+'[4]RevRun Fcst'!S$244</f>
        <v>177264</v>
      </c>
      <c r="P37" s="416">
        <f>SUM(D37:O37)</f>
        <v>3627882</v>
      </c>
    </row>
    <row r="38" spans="1:18">
      <c r="A38" s="406" t="s">
        <v>358</v>
      </c>
      <c r="C38" s="415"/>
      <c r="D38" s="415">
        <v>0</v>
      </c>
      <c r="E38" s="415">
        <v>0</v>
      </c>
      <c r="F38" s="415">
        <v>0</v>
      </c>
      <c r="G38" s="415">
        <v>0</v>
      </c>
      <c r="H38" s="415">
        <v>0</v>
      </c>
      <c r="I38" s="415">
        <v>0</v>
      </c>
      <c r="J38" s="415">
        <v>0</v>
      </c>
      <c r="K38" s="415">
        <v>0</v>
      </c>
      <c r="L38" s="415">
        <v>0</v>
      </c>
      <c r="M38" s="415">
        <v>0</v>
      </c>
      <c r="N38" s="415">
        <v>0</v>
      </c>
      <c r="O38" s="415">
        <v>0</v>
      </c>
      <c r="P38" s="416">
        <f>SUM(D38:O38)</f>
        <v>0</v>
      </c>
    </row>
    <row r="39" spans="1:18">
      <c r="A39" s="406" t="s">
        <v>583</v>
      </c>
      <c r="C39" s="415"/>
      <c r="D39" s="415">
        <f>+'[4]RevRun Fcst'!H$253</f>
        <v>13723</v>
      </c>
      <c r="E39" s="415">
        <f>+'[4]RevRun Fcst'!I$253</f>
        <v>11406</v>
      </c>
      <c r="F39" s="415">
        <f>+'[4]RevRun Fcst'!J$253</f>
        <v>11284</v>
      </c>
      <c r="G39" s="415">
        <f>+'[4]RevRun Fcst'!K$253</f>
        <v>13193</v>
      </c>
      <c r="H39" s="415">
        <f>+'[4]RevRun Fcst'!L$253</f>
        <v>15437</v>
      </c>
      <c r="I39" s="415">
        <f>+'[4]RevRun Fcst'!M$253</f>
        <v>22037</v>
      </c>
      <c r="J39" s="415">
        <f>+'[4]RevRun Fcst'!N$253</f>
        <v>26354</v>
      </c>
      <c r="K39" s="415">
        <f>+'[4]RevRun Fcst'!O$253</f>
        <v>32327</v>
      </c>
      <c r="L39" s="415">
        <f>+'[4]RevRun Fcst'!P$253</f>
        <v>26756</v>
      </c>
      <c r="M39" s="415">
        <f>+'[4]RevRun Fcst'!Q$253</f>
        <v>25962</v>
      </c>
      <c r="N39" s="415">
        <f>+'[4]RevRun Fcst'!R$253</f>
        <v>21453</v>
      </c>
      <c r="O39" s="415">
        <f>+'[4]RevRun Fcst'!S$253</f>
        <v>15318</v>
      </c>
      <c r="P39" s="416">
        <f>SUM(D39:O39)</f>
        <v>235250</v>
      </c>
    </row>
    <row r="40" spans="1:18">
      <c r="A40" s="406" t="s">
        <v>359</v>
      </c>
      <c r="C40" s="415"/>
      <c r="D40" s="415">
        <f>+'[4]RevRun Fcst'!H$262</f>
        <v>1014</v>
      </c>
      <c r="E40" s="415">
        <f>+'[4]RevRun Fcst'!I$262</f>
        <v>1497</v>
      </c>
      <c r="F40" s="415">
        <f>+'[4]RevRun Fcst'!J$262</f>
        <v>1613</v>
      </c>
      <c r="G40" s="415">
        <f>+'[4]RevRun Fcst'!K$262</f>
        <v>1530</v>
      </c>
      <c r="H40" s="415">
        <f>+'[4]RevRun Fcst'!L$262</f>
        <v>1673</v>
      </c>
      <c r="I40" s="415">
        <f>+'[4]RevRun Fcst'!M$262</f>
        <v>1470</v>
      </c>
      <c r="J40" s="415">
        <f>+'[4]RevRun Fcst'!N$262</f>
        <v>1065</v>
      </c>
      <c r="K40" s="415">
        <f>+'[4]RevRun Fcst'!O$262</f>
        <v>675</v>
      </c>
      <c r="L40" s="415">
        <f>+'[4]RevRun Fcst'!P$262</f>
        <v>723</v>
      </c>
      <c r="M40" s="415">
        <f>+'[4]RevRun Fcst'!Q$262</f>
        <v>918</v>
      </c>
      <c r="N40" s="415">
        <f>+'[4]RevRun Fcst'!R$262</f>
        <v>1167</v>
      </c>
      <c r="O40" s="415">
        <f>+'[4]RevRun Fcst'!S$262</f>
        <v>1271</v>
      </c>
      <c r="P40" s="416">
        <f>SUM(D40:O40)</f>
        <v>14616</v>
      </c>
    </row>
    <row r="41" spans="1:18">
      <c r="A41" s="414" t="s">
        <v>352</v>
      </c>
      <c r="B41" s="414"/>
      <c r="C41" s="417"/>
      <c r="D41" s="417">
        <f t="shared" ref="D41:P41" si="8">SUM(D37:D40)</f>
        <v>110711</v>
      </c>
      <c r="E41" s="417">
        <f t="shared" si="8"/>
        <v>68999</v>
      </c>
      <c r="F41" s="417">
        <f t="shared" si="8"/>
        <v>74959</v>
      </c>
      <c r="G41" s="417">
        <f t="shared" si="8"/>
        <v>141777</v>
      </c>
      <c r="H41" s="417">
        <f t="shared" si="8"/>
        <v>201526</v>
      </c>
      <c r="I41" s="417">
        <f t="shared" si="8"/>
        <v>401337</v>
      </c>
      <c r="J41" s="417">
        <f t="shared" si="8"/>
        <v>551129</v>
      </c>
      <c r="K41" s="417">
        <f t="shared" si="8"/>
        <v>696863</v>
      </c>
      <c r="L41" s="417">
        <f t="shared" si="8"/>
        <v>586615</v>
      </c>
      <c r="M41" s="417">
        <f t="shared" si="8"/>
        <v>505340</v>
      </c>
      <c r="N41" s="417">
        <f t="shared" si="8"/>
        <v>344639</v>
      </c>
      <c r="O41" s="417">
        <f t="shared" si="8"/>
        <v>193853</v>
      </c>
      <c r="P41" s="417">
        <f t="shared" si="8"/>
        <v>3877748</v>
      </c>
    </row>
    <row r="42" spans="1:18">
      <c r="A42" s="414"/>
      <c r="B42" s="414"/>
      <c r="C42" s="416"/>
      <c r="D42" s="416"/>
      <c r="E42" s="416"/>
      <c r="F42" s="416"/>
      <c r="G42" s="416"/>
      <c r="H42" s="416"/>
      <c r="I42" s="416"/>
      <c r="J42" s="416"/>
      <c r="K42" s="416"/>
      <c r="L42" s="416"/>
      <c r="M42" s="416"/>
      <c r="N42" s="416"/>
      <c r="O42" s="416"/>
      <c r="P42" s="416"/>
    </row>
    <row r="43" spans="1:18">
      <c r="A43" s="406" t="s">
        <v>360</v>
      </c>
      <c r="C43" s="415"/>
      <c r="D43" s="415">
        <v>0</v>
      </c>
      <c r="E43" s="415">
        <v>0</v>
      </c>
      <c r="F43" s="415">
        <v>0</v>
      </c>
      <c r="G43" s="415">
        <v>0</v>
      </c>
      <c r="H43" s="415">
        <v>0</v>
      </c>
      <c r="I43" s="415">
        <v>0</v>
      </c>
      <c r="J43" s="415">
        <v>0</v>
      </c>
      <c r="K43" s="415">
        <v>0</v>
      </c>
      <c r="L43" s="415">
        <v>0</v>
      </c>
      <c r="M43" s="415">
        <v>0</v>
      </c>
      <c r="N43" s="415">
        <v>0</v>
      </c>
      <c r="O43" s="415">
        <v>0</v>
      </c>
      <c r="P43" s="416">
        <f>SUM(D43:O43)</f>
        <v>0</v>
      </c>
    </row>
    <row r="44" spans="1:18">
      <c r="A44" s="406" t="s">
        <v>335</v>
      </c>
      <c r="C44" s="415"/>
      <c r="D44" s="415">
        <f>+'[4]RevRun Fcst'!H$280</f>
        <v>6544</v>
      </c>
      <c r="E44" s="415">
        <f>+'[4]RevRun Fcst'!I$280</f>
        <v>6679</v>
      </c>
      <c r="F44" s="415">
        <f>+'[4]RevRun Fcst'!J$280</f>
        <v>7493</v>
      </c>
      <c r="G44" s="415">
        <f>+'[4]RevRun Fcst'!K$280</f>
        <v>7472</v>
      </c>
      <c r="H44" s="415">
        <f>+'[4]RevRun Fcst'!L$280</f>
        <v>10037</v>
      </c>
      <c r="I44" s="415">
        <f>+'[4]RevRun Fcst'!M$280</f>
        <v>13176</v>
      </c>
      <c r="J44" s="415">
        <f>+'[4]RevRun Fcst'!N$280</f>
        <v>17633</v>
      </c>
      <c r="K44" s="415">
        <f>+'[4]RevRun Fcst'!O$280</f>
        <v>16502</v>
      </c>
      <c r="L44" s="415">
        <f>+'[4]RevRun Fcst'!P$280</f>
        <v>17098</v>
      </c>
      <c r="M44" s="415">
        <f>+'[4]RevRun Fcst'!Q$280</f>
        <v>17180</v>
      </c>
      <c r="N44" s="415">
        <f>+'[4]RevRun Fcst'!R$280</f>
        <v>13922</v>
      </c>
      <c r="O44" s="415">
        <f>+'[4]RevRun Fcst'!S$280</f>
        <v>11281</v>
      </c>
      <c r="P44" s="416">
        <f>SUM(D44:O44)</f>
        <v>145017</v>
      </c>
    </row>
    <row r="45" spans="1:18">
      <c r="A45" s="414" t="s">
        <v>354</v>
      </c>
      <c r="B45" s="414"/>
      <c r="C45" s="417"/>
      <c r="D45" s="417">
        <f t="shared" ref="D45:P45" si="9">SUM(D43:D44)</f>
        <v>6544</v>
      </c>
      <c r="E45" s="417">
        <f t="shared" si="9"/>
        <v>6679</v>
      </c>
      <c r="F45" s="417">
        <f t="shared" si="9"/>
        <v>7493</v>
      </c>
      <c r="G45" s="417">
        <f t="shared" si="9"/>
        <v>7472</v>
      </c>
      <c r="H45" s="417">
        <f t="shared" si="9"/>
        <v>10037</v>
      </c>
      <c r="I45" s="417">
        <f t="shared" si="9"/>
        <v>13176</v>
      </c>
      <c r="J45" s="417">
        <f t="shared" si="9"/>
        <v>17633</v>
      </c>
      <c r="K45" s="417">
        <f t="shared" si="9"/>
        <v>16502</v>
      </c>
      <c r="L45" s="417">
        <f t="shared" si="9"/>
        <v>17098</v>
      </c>
      <c r="M45" s="417">
        <f t="shared" si="9"/>
        <v>17180</v>
      </c>
      <c r="N45" s="417">
        <f t="shared" si="9"/>
        <v>13922</v>
      </c>
      <c r="O45" s="417">
        <f t="shared" si="9"/>
        <v>11281</v>
      </c>
      <c r="P45" s="417">
        <f t="shared" si="9"/>
        <v>145017</v>
      </c>
    </row>
    <row r="46" spans="1:18" ht="13.5" thickBot="1">
      <c r="C46" s="418"/>
      <c r="D46" s="418"/>
      <c r="E46" s="418"/>
      <c r="F46" s="418"/>
      <c r="G46" s="418"/>
      <c r="H46" s="418"/>
      <c r="I46" s="418"/>
      <c r="J46" s="418"/>
      <c r="K46" s="418"/>
      <c r="L46" s="418"/>
      <c r="M46" s="418"/>
      <c r="N46" s="418"/>
      <c r="O46" s="418"/>
      <c r="P46" s="418"/>
    </row>
    <row r="47" spans="1:18">
      <c r="C47" s="419"/>
      <c r="D47" s="419"/>
      <c r="E47" s="419"/>
      <c r="F47" s="419"/>
      <c r="G47" s="419"/>
      <c r="H47" s="419"/>
      <c r="I47" s="419"/>
      <c r="J47" s="419"/>
      <c r="K47" s="419"/>
      <c r="L47" s="419"/>
      <c r="M47" s="419"/>
      <c r="N47" s="419"/>
      <c r="O47" s="419"/>
      <c r="P47" s="419"/>
    </row>
    <row r="48" spans="1:18">
      <c r="A48" s="414" t="s">
        <v>361</v>
      </c>
      <c r="B48" s="414"/>
      <c r="C48" s="416"/>
      <c r="D48" s="416">
        <f t="shared" ref="D48:P48" si="10">+D41+D45</f>
        <v>117255</v>
      </c>
      <c r="E48" s="416">
        <f t="shared" si="10"/>
        <v>75678</v>
      </c>
      <c r="F48" s="416">
        <f t="shared" si="10"/>
        <v>82452</v>
      </c>
      <c r="G48" s="416">
        <f t="shared" si="10"/>
        <v>149249</v>
      </c>
      <c r="H48" s="416">
        <f t="shared" si="10"/>
        <v>211563</v>
      </c>
      <c r="I48" s="416">
        <f t="shared" si="10"/>
        <v>414513</v>
      </c>
      <c r="J48" s="416">
        <f t="shared" si="10"/>
        <v>568762</v>
      </c>
      <c r="K48" s="416">
        <f t="shared" si="10"/>
        <v>713365</v>
      </c>
      <c r="L48" s="416">
        <f t="shared" si="10"/>
        <v>603713</v>
      </c>
      <c r="M48" s="416">
        <f t="shared" si="10"/>
        <v>522520</v>
      </c>
      <c r="N48" s="416">
        <f t="shared" si="10"/>
        <v>358561</v>
      </c>
      <c r="O48" s="416">
        <f t="shared" si="10"/>
        <v>205134</v>
      </c>
      <c r="P48" s="416">
        <f t="shared" si="10"/>
        <v>4022765</v>
      </c>
      <c r="R48" s="899">
        <f>P20+P48</f>
        <v>110787566</v>
      </c>
    </row>
    <row r="49" spans="1:17">
      <c r="C49" s="416"/>
      <c r="D49" s="416"/>
      <c r="E49" s="416"/>
      <c r="F49" s="416"/>
      <c r="G49" s="416"/>
      <c r="H49" s="416"/>
      <c r="I49" s="416"/>
      <c r="J49" s="416"/>
      <c r="K49" s="416"/>
      <c r="L49" s="416"/>
      <c r="M49" s="416"/>
      <c r="N49" s="416"/>
      <c r="O49" s="416"/>
      <c r="P49" s="416"/>
      <c r="Q49" s="416"/>
    </row>
    <row r="50" spans="1:17">
      <c r="B50" s="402" t="s">
        <v>555</v>
      </c>
      <c r="C50" s="416"/>
      <c r="D50" s="415">
        <f>+'[4]RevRun Fcst'!H$307</f>
        <v>6586</v>
      </c>
      <c r="E50" s="415">
        <f>+'[4]RevRun Fcst'!I$307</f>
        <v>4400</v>
      </c>
      <c r="F50" s="415">
        <f>+'[4]RevRun Fcst'!J$307</f>
        <v>7699</v>
      </c>
      <c r="G50" s="415">
        <f>+'[4]RevRun Fcst'!K$307</f>
        <v>9625</v>
      </c>
      <c r="H50" s="415">
        <f>+'[4]RevRun Fcst'!L$307</f>
        <v>15068</v>
      </c>
      <c r="I50" s="415">
        <f>+'[4]RevRun Fcst'!M$307</f>
        <v>17317</v>
      </c>
      <c r="J50" s="415">
        <f>+'[4]RevRun Fcst'!N$307</f>
        <v>13667</v>
      </c>
      <c r="K50" s="415">
        <f>+'[4]RevRun Fcst'!O$307</f>
        <v>23906</v>
      </c>
      <c r="L50" s="415">
        <f>+'[4]RevRun Fcst'!P$307</f>
        <v>22429</v>
      </c>
      <c r="M50" s="415">
        <f>+'[4]RevRun Fcst'!Q$307</f>
        <v>19207</v>
      </c>
      <c r="N50" s="415">
        <f>+'[4]RevRun Fcst'!R$307</f>
        <v>14168</v>
      </c>
      <c r="O50" s="415">
        <f>+'[4]RevRun Fcst'!S$307</f>
        <v>11147</v>
      </c>
      <c r="P50" s="416">
        <f>SUM(D50:O50)</f>
        <v>165219</v>
      </c>
      <c r="Q50" s="416"/>
    </row>
    <row r="51" spans="1:17">
      <c r="B51" s="402" t="s">
        <v>556</v>
      </c>
      <c r="C51" s="416"/>
      <c r="D51" s="415">
        <f>+'[4]RevRun Fcst'!H$316</f>
        <v>17001</v>
      </c>
      <c r="E51" s="415">
        <f>+'[4]RevRun Fcst'!I$316</f>
        <v>33683</v>
      </c>
      <c r="F51" s="415">
        <f>+'[4]RevRun Fcst'!J$316</f>
        <v>138470</v>
      </c>
      <c r="G51" s="415">
        <f>+'[4]RevRun Fcst'!K$316</f>
        <v>30060</v>
      </c>
      <c r="H51" s="415">
        <f>+'[4]RevRun Fcst'!L$316</f>
        <v>15161</v>
      </c>
      <c r="I51" s="415">
        <f>+'[4]RevRun Fcst'!M$316</f>
        <v>53225</v>
      </c>
      <c r="J51" s="415">
        <f>+'[4]RevRun Fcst'!N$316</f>
        <v>44689</v>
      </c>
      <c r="K51" s="415">
        <f>+'[4]RevRun Fcst'!O$316</f>
        <v>28472</v>
      </c>
      <c r="L51" s="415">
        <f>+'[4]RevRun Fcst'!P$316</f>
        <v>37220</v>
      </c>
      <c r="M51" s="415">
        <f>+'[4]RevRun Fcst'!Q$316</f>
        <v>39634</v>
      </c>
      <c r="N51" s="415">
        <f>+'[4]RevRun Fcst'!R$316</f>
        <v>19939</v>
      </c>
      <c r="O51" s="415">
        <f>+'[4]RevRun Fcst'!S$316</f>
        <v>35249</v>
      </c>
      <c r="P51" s="416">
        <f>SUM(D51:O51)</f>
        <v>492803</v>
      </c>
      <c r="Q51" s="416"/>
    </row>
    <row r="52" spans="1:17">
      <c r="C52" s="416"/>
      <c r="D52" s="416"/>
      <c r="E52" s="416"/>
      <c r="F52" s="416"/>
      <c r="G52" s="416"/>
      <c r="H52" s="416"/>
      <c r="I52" s="416"/>
      <c r="J52" s="416"/>
      <c r="K52" s="416"/>
      <c r="L52" s="416"/>
      <c r="M52" s="416"/>
      <c r="N52" s="416"/>
      <c r="O52" s="416"/>
      <c r="P52" s="416"/>
      <c r="Q52" s="416"/>
    </row>
    <row r="53" spans="1:17">
      <c r="A53" s="414" t="s">
        <v>362</v>
      </c>
      <c r="B53" s="414"/>
      <c r="C53" s="415"/>
      <c r="D53" s="441">
        <f>SUM(D50:D51)</f>
        <v>23587</v>
      </c>
      <c r="E53" s="441">
        <f t="shared" ref="E53:P53" si="11">SUM(E50:E51)</f>
        <v>38083</v>
      </c>
      <c r="F53" s="441">
        <f t="shared" si="11"/>
        <v>146169</v>
      </c>
      <c r="G53" s="441">
        <f t="shared" si="11"/>
        <v>39685</v>
      </c>
      <c r="H53" s="441">
        <f t="shared" si="11"/>
        <v>30229</v>
      </c>
      <c r="I53" s="441">
        <f t="shared" si="11"/>
        <v>70542</v>
      </c>
      <c r="J53" s="441">
        <f t="shared" si="11"/>
        <v>58356</v>
      </c>
      <c r="K53" s="441">
        <f t="shared" si="11"/>
        <v>52378</v>
      </c>
      <c r="L53" s="441">
        <f t="shared" si="11"/>
        <v>59649</v>
      </c>
      <c r="M53" s="441">
        <f t="shared" si="11"/>
        <v>58841</v>
      </c>
      <c r="N53" s="441">
        <f t="shared" si="11"/>
        <v>34107</v>
      </c>
      <c r="O53" s="441">
        <f t="shared" si="11"/>
        <v>46396</v>
      </c>
      <c r="P53" s="441">
        <f t="shared" si="11"/>
        <v>658022</v>
      </c>
    </row>
    <row r="54" spans="1:17" ht="13.5" thickBot="1">
      <c r="C54" s="420"/>
      <c r="D54" s="420"/>
      <c r="E54" s="420"/>
      <c r="F54" s="420"/>
      <c r="G54" s="420"/>
      <c r="H54" s="420"/>
      <c r="I54" s="420"/>
      <c r="J54" s="420"/>
      <c r="K54" s="420"/>
      <c r="L54" s="420"/>
      <c r="M54" s="421"/>
      <c r="N54" s="421"/>
      <c r="O54" s="421"/>
      <c r="P54" s="420"/>
    </row>
    <row r="55" spans="1:17" ht="14.25" thickTop="1" thickBot="1">
      <c r="C55" s="416"/>
      <c r="D55" s="416"/>
      <c r="E55" s="416"/>
      <c r="F55" s="416"/>
      <c r="G55" s="416"/>
      <c r="H55" s="416"/>
      <c r="I55" s="416"/>
      <c r="J55" s="416"/>
      <c r="K55" s="416"/>
      <c r="L55" s="416"/>
      <c r="M55" s="416"/>
      <c r="N55" s="416"/>
      <c r="O55" s="416"/>
      <c r="P55" s="416"/>
    </row>
    <row r="56" spans="1:17" ht="13.5" thickBot="1">
      <c r="A56" s="401" t="s">
        <v>363</v>
      </c>
      <c r="B56" s="401"/>
      <c r="C56" s="416"/>
      <c r="D56" s="416">
        <f t="shared" ref="D56:P56" si="12">+D48+D53</f>
        <v>140842</v>
      </c>
      <c r="E56" s="416">
        <f t="shared" si="12"/>
        <v>113761</v>
      </c>
      <c r="F56" s="416">
        <f t="shared" si="12"/>
        <v>228621</v>
      </c>
      <c r="G56" s="416">
        <f t="shared" si="12"/>
        <v>188934</v>
      </c>
      <c r="H56" s="416">
        <f t="shared" si="12"/>
        <v>241792</v>
      </c>
      <c r="I56" s="416">
        <f t="shared" si="12"/>
        <v>485055</v>
      </c>
      <c r="J56" s="416">
        <f t="shared" si="12"/>
        <v>627118</v>
      </c>
      <c r="K56" s="416">
        <f t="shared" si="12"/>
        <v>765743</v>
      </c>
      <c r="L56" s="416">
        <f t="shared" si="12"/>
        <v>663362</v>
      </c>
      <c r="M56" s="416">
        <f t="shared" si="12"/>
        <v>581361</v>
      </c>
      <c r="N56" s="416">
        <f t="shared" si="12"/>
        <v>392668</v>
      </c>
      <c r="O56" s="416">
        <f t="shared" si="12"/>
        <v>251530</v>
      </c>
      <c r="P56" s="422">
        <f t="shared" si="12"/>
        <v>4680787</v>
      </c>
    </row>
    <row r="57" spans="1:17" ht="13.5" thickBot="1">
      <c r="C57" s="420"/>
      <c r="D57" s="420"/>
      <c r="E57" s="420"/>
      <c r="F57" s="420"/>
      <c r="G57" s="420"/>
      <c r="H57" s="420"/>
      <c r="I57" s="420"/>
      <c r="J57" s="420"/>
      <c r="K57" s="420"/>
      <c r="L57" s="420"/>
      <c r="M57" s="421"/>
      <c r="N57" s="421"/>
      <c r="O57" s="421"/>
      <c r="P57" s="420"/>
    </row>
    <row r="58" spans="1:17" ht="14.25" thickTop="1" thickBot="1">
      <c r="C58" s="416"/>
      <c r="D58" s="416"/>
      <c r="E58" s="416"/>
      <c r="F58" s="416"/>
      <c r="G58" s="416"/>
      <c r="H58" s="416"/>
      <c r="I58" s="416"/>
      <c r="J58" s="416"/>
      <c r="K58" s="416"/>
      <c r="L58" s="416"/>
      <c r="M58" s="416"/>
      <c r="N58" s="416"/>
      <c r="O58" s="416"/>
      <c r="P58" s="416"/>
    </row>
    <row r="59" spans="1:17" ht="13.5" thickBot="1">
      <c r="A59" s="401" t="s">
        <v>364</v>
      </c>
      <c r="B59" s="401"/>
      <c r="C59" s="416"/>
      <c r="D59" s="416">
        <f t="shared" ref="D59:P59" si="13">+D34+D56</f>
        <v>10319535</v>
      </c>
      <c r="E59" s="416">
        <f t="shared" si="13"/>
        <v>9788583</v>
      </c>
      <c r="F59" s="416">
        <f t="shared" si="13"/>
        <v>10349207</v>
      </c>
      <c r="G59" s="416">
        <f t="shared" si="13"/>
        <v>10538126</v>
      </c>
      <c r="H59" s="416">
        <f t="shared" si="13"/>
        <v>14034242</v>
      </c>
      <c r="I59" s="416">
        <f t="shared" si="13"/>
        <v>18901961</v>
      </c>
      <c r="J59" s="416">
        <f t="shared" si="13"/>
        <v>25402153</v>
      </c>
      <c r="K59" s="416">
        <f t="shared" si="13"/>
        <v>27507918</v>
      </c>
      <c r="L59" s="416">
        <f t="shared" si="13"/>
        <v>23475363</v>
      </c>
      <c r="M59" s="416">
        <f t="shared" si="13"/>
        <v>19342471</v>
      </c>
      <c r="N59" s="416">
        <f t="shared" si="13"/>
        <v>15999845</v>
      </c>
      <c r="O59" s="416">
        <f>+O34+O56</f>
        <v>12015902</v>
      </c>
      <c r="P59" s="422">
        <f t="shared" si="13"/>
        <v>197675306</v>
      </c>
    </row>
    <row r="60" spans="1:17" ht="13.5" thickBot="1">
      <c r="A60" s="423"/>
      <c r="B60" s="423"/>
      <c r="C60" s="418"/>
      <c r="D60" s="418"/>
      <c r="E60" s="418"/>
      <c r="F60" s="418"/>
      <c r="G60" s="418"/>
      <c r="H60" s="418"/>
      <c r="I60" s="418"/>
      <c r="J60" s="418"/>
      <c r="K60" s="418"/>
      <c r="L60" s="418"/>
      <c r="M60" s="418"/>
      <c r="N60" s="418"/>
      <c r="O60" s="418" t="s">
        <v>428</v>
      </c>
      <c r="P60" s="418">
        <f>P35+P56</f>
        <v>197675306</v>
      </c>
    </row>
    <row r="61" spans="1:17">
      <c r="A61" s="794" t="s">
        <v>557</v>
      </c>
      <c r="B61" s="424"/>
    </row>
    <row r="62" spans="1:17">
      <c r="A62" s="425"/>
      <c r="B62" s="426"/>
      <c r="C62" s="405" t="s">
        <v>365</v>
      </c>
      <c r="D62" s="427">
        <f t="shared" ref="D62:O62" si="14">MONTH(D5)</f>
        <v>6</v>
      </c>
      <c r="E62" s="427">
        <f t="shared" si="14"/>
        <v>7</v>
      </c>
      <c r="F62" s="427">
        <f t="shared" si="14"/>
        <v>8</v>
      </c>
      <c r="G62" s="427">
        <f t="shared" si="14"/>
        <v>9</v>
      </c>
      <c r="H62" s="427">
        <f t="shared" si="14"/>
        <v>10</v>
      </c>
      <c r="I62" s="427">
        <f t="shared" si="14"/>
        <v>11</v>
      </c>
      <c r="J62" s="427">
        <f t="shared" si="14"/>
        <v>12</v>
      </c>
      <c r="K62" s="427">
        <f t="shared" si="14"/>
        <v>1</v>
      </c>
      <c r="L62" s="427">
        <f t="shared" si="14"/>
        <v>2</v>
      </c>
      <c r="M62" s="427">
        <f t="shared" si="14"/>
        <v>3</v>
      </c>
      <c r="N62" s="427">
        <f t="shared" si="14"/>
        <v>4</v>
      </c>
      <c r="O62" s="427">
        <f t="shared" si="14"/>
        <v>5</v>
      </c>
      <c r="P62" s="427"/>
    </row>
    <row r="63" spans="1:17" ht="13.5" thickBot="1">
      <c r="A63" s="404" t="s">
        <v>302</v>
      </c>
      <c r="B63" s="404"/>
      <c r="C63" s="409" t="s">
        <v>366</v>
      </c>
      <c r="D63" s="428">
        <f t="shared" ref="D63:O63" si="15">IF(D$62&lt;4,0,IF(D$62&gt;10,0,1))</f>
        <v>1</v>
      </c>
      <c r="E63" s="428">
        <f t="shared" si="15"/>
        <v>1</v>
      </c>
      <c r="F63" s="428">
        <f t="shared" si="15"/>
        <v>1</v>
      </c>
      <c r="G63" s="428">
        <f t="shared" si="15"/>
        <v>1</v>
      </c>
      <c r="H63" s="428">
        <f t="shared" si="15"/>
        <v>1</v>
      </c>
      <c r="I63" s="428">
        <f t="shared" si="15"/>
        <v>0</v>
      </c>
      <c r="J63" s="428">
        <f t="shared" si="15"/>
        <v>0</v>
      </c>
      <c r="K63" s="428">
        <f t="shared" si="15"/>
        <v>0</v>
      </c>
      <c r="L63" s="428">
        <f t="shared" si="15"/>
        <v>0</v>
      </c>
      <c r="M63" s="428">
        <f t="shared" si="15"/>
        <v>0</v>
      </c>
      <c r="N63" s="428">
        <f t="shared" si="15"/>
        <v>1</v>
      </c>
      <c r="O63" s="428">
        <f t="shared" si="15"/>
        <v>1</v>
      </c>
      <c r="P63" s="429" t="s">
        <v>1</v>
      </c>
    </row>
    <row r="64" spans="1:17">
      <c r="A64" s="401"/>
      <c r="B64" s="404" t="s">
        <v>134</v>
      </c>
      <c r="C64" s="416"/>
      <c r="D64" s="430">
        <f>IF(D63=0,D7+D8,0)</f>
        <v>0</v>
      </c>
      <c r="E64" s="430">
        <f t="shared" ref="E64:O64" si="16">IF(E63=0,E7+E8,0)</f>
        <v>0</v>
      </c>
      <c r="F64" s="430">
        <f t="shared" si="16"/>
        <v>0</v>
      </c>
      <c r="G64" s="430">
        <f t="shared" si="16"/>
        <v>0</v>
      </c>
      <c r="H64" s="430">
        <f t="shared" si="16"/>
        <v>0</v>
      </c>
      <c r="I64" s="430">
        <f t="shared" si="16"/>
        <v>10566136</v>
      </c>
      <c r="J64" s="430">
        <f t="shared" si="16"/>
        <v>16270023</v>
      </c>
      <c r="K64" s="430">
        <f t="shared" si="16"/>
        <v>18228968</v>
      </c>
      <c r="L64" s="430">
        <f t="shared" si="16"/>
        <v>14585640</v>
      </c>
      <c r="M64" s="430">
        <f t="shared" si="16"/>
        <v>10988206</v>
      </c>
      <c r="N64" s="430">
        <f t="shared" si="16"/>
        <v>0</v>
      </c>
      <c r="O64" s="430">
        <f t="shared" si="16"/>
        <v>0</v>
      </c>
      <c r="P64" s="416">
        <f>SUM(D64:O64)</f>
        <v>70638973</v>
      </c>
      <c r="Q64" s="416">
        <f>SUM(G64:I64)</f>
        <v>10566136</v>
      </c>
    </row>
    <row r="65" spans="1:17">
      <c r="A65" s="401"/>
      <c r="B65" s="404" t="s">
        <v>137</v>
      </c>
      <c r="C65" s="416"/>
      <c r="D65" s="430">
        <f t="shared" ref="D65:O65" si="17">IF(D63=1,D7+D8,0)</f>
        <v>2521104</v>
      </c>
      <c r="E65" s="430">
        <f t="shared" si="17"/>
        <v>2187359</v>
      </c>
      <c r="F65" s="430">
        <f t="shared" si="17"/>
        <v>2171705</v>
      </c>
      <c r="G65" s="430">
        <f t="shared" si="17"/>
        <v>3234158</v>
      </c>
      <c r="H65" s="430">
        <f t="shared" si="17"/>
        <v>5920023</v>
      </c>
      <c r="I65" s="430">
        <f t="shared" si="17"/>
        <v>0</v>
      </c>
      <c r="J65" s="430">
        <f t="shared" si="17"/>
        <v>0</v>
      </c>
      <c r="K65" s="430">
        <f t="shared" si="17"/>
        <v>0</v>
      </c>
      <c r="L65" s="430">
        <f t="shared" si="17"/>
        <v>0</v>
      </c>
      <c r="M65" s="430">
        <f t="shared" si="17"/>
        <v>0</v>
      </c>
      <c r="N65" s="430">
        <f t="shared" si="17"/>
        <v>8132632</v>
      </c>
      <c r="O65" s="430">
        <f t="shared" si="17"/>
        <v>3769679</v>
      </c>
      <c r="P65" s="416">
        <f>SUM(D65:O65)</f>
        <v>27936660</v>
      </c>
      <c r="Q65" s="416">
        <f>P65+E64+F64</f>
        <v>27936660</v>
      </c>
    </row>
    <row r="66" spans="1:17">
      <c r="A66" s="404"/>
      <c r="C66" s="416"/>
      <c r="D66" s="430"/>
      <c r="E66" s="430"/>
      <c r="F66" s="430"/>
      <c r="G66" s="430"/>
      <c r="H66" s="430"/>
      <c r="I66" s="430"/>
      <c r="J66" s="430"/>
      <c r="K66" s="430"/>
      <c r="L66" s="430"/>
      <c r="M66" s="430"/>
      <c r="N66" s="430"/>
      <c r="O66" s="430"/>
      <c r="P66" s="416">
        <f>P64+P65</f>
        <v>98575633</v>
      </c>
      <c r="Q66" s="416">
        <f>Q64+Q65</f>
        <v>38502796</v>
      </c>
    </row>
    <row r="67" spans="1:17">
      <c r="A67" s="401"/>
      <c r="B67" s="404"/>
      <c r="C67" s="416"/>
      <c r="D67" s="430"/>
      <c r="E67" s="430"/>
      <c r="F67" s="430"/>
      <c r="G67" s="430"/>
      <c r="H67" s="430"/>
      <c r="I67" s="430"/>
      <c r="J67" s="430"/>
      <c r="K67" s="430"/>
      <c r="L67" s="430"/>
      <c r="M67" s="430"/>
      <c r="N67" s="430"/>
      <c r="O67" s="430"/>
      <c r="P67" s="416"/>
    </row>
    <row r="68" spans="1:17">
      <c r="A68" s="401"/>
      <c r="B68" s="404"/>
      <c r="C68" s="416"/>
      <c r="D68" s="430"/>
      <c r="E68" s="430"/>
      <c r="F68" s="430"/>
      <c r="G68" s="430"/>
      <c r="H68" s="430"/>
      <c r="I68" s="430"/>
      <c r="J68" s="430"/>
      <c r="K68" s="430"/>
      <c r="L68" s="430"/>
      <c r="M68" s="430"/>
      <c r="N68" s="430"/>
      <c r="O68" s="430"/>
      <c r="P68" s="416"/>
    </row>
    <row r="69" spans="1:17">
      <c r="A69" s="404" t="s">
        <v>351</v>
      </c>
      <c r="B69" s="401"/>
      <c r="C69" s="416"/>
      <c r="D69" s="430"/>
      <c r="E69" s="430"/>
      <c r="F69" s="430"/>
      <c r="G69" s="430"/>
      <c r="H69" s="430"/>
      <c r="I69" s="430"/>
      <c r="J69" s="430"/>
      <c r="K69" s="430"/>
      <c r="L69" s="430"/>
      <c r="M69" s="430"/>
      <c r="N69" s="430"/>
      <c r="O69" s="430"/>
      <c r="P69" s="416"/>
    </row>
    <row r="70" spans="1:17">
      <c r="A70" s="401"/>
      <c r="B70" s="404" t="s">
        <v>134</v>
      </c>
      <c r="C70" s="416"/>
      <c r="D70" s="430">
        <f t="shared" ref="D70:O70" si="18">IF(D63=0,D10,0)</f>
        <v>0</v>
      </c>
      <c r="E70" s="430">
        <f t="shared" si="18"/>
        <v>0</v>
      </c>
      <c r="F70" s="430">
        <f t="shared" si="18"/>
        <v>0</v>
      </c>
      <c r="G70" s="430">
        <f t="shared" si="18"/>
        <v>0</v>
      </c>
      <c r="H70" s="430">
        <f t="shared" si="18"/>
        <v>0</v>
      </c>
      <c r="I70" s="430">
        <f t="shared" si="18"/>
        <v>490676</v>
      </c>
      <c r="J70" s="430">
        <f t="shared" si="18"/>
        <v>531054</v>
      </c>
      <c r="K70" s="430">
        <f t="shared" si="18"/>
        <v>529877</v>
      </c>
      <c r="L70" s="430">
        <f t="shared" si="18"/>
        <v>466603</v>
      </c>
      <c r="M70" s="430">
        <f t="shared" si="18"/>
        <v>431512</v>
      </c>
      <c r="N70" s="430">
        <f t="shared" si="18"/>
        <v>0</v>
      </c>
      <c r="O70" s="430">
        <f t="shared" si="18"/>
        <v>0</v>
      </c>
      <c r="P70" s="416">
        <f>SUM(D70:O70)</f>
        <v>2449722</v>
      </c>
      <c r="Q70" s="416">
        <f>SUM(G70:I70)</f>
        <v>490676</v>
      </c>
    </row>
    <row r="71" spans="1:17">
      <c r="A71" s="401"/>
      <c r="B71" s="404" t="s">
        <v>137</v>
      </c>
      <c r="C71" s="416"/>
      <c r="D71" s="430">
        <f t="shared" ref="D71:O71" si="19">IF(D63=1,D10,0)</f>
        <v>357065</v>
      </c>
      <c r="E71" s="430">
        <f t="shared" si="19"/>
        <v>312294</v>
      </c>
      <c r="F71" s="430">
        <f t="shared" si="19"/>
        <v>292504</v>
      </c>
      <c r="G71" s="430">
        <f t="shared" si="19"/>
        <v>347360</v>
      </c>
      <c r="H71" s="430">
        <f t="shared" si="19"/>
        <v>366583</v>
      </c>
      <c r="I71" s="430">
        <f t="shared" si="19"/>
        <v>0</v>
      </c>
      <c r="J71" s="430">
        <f t="shared" si="19"/>
        <v>0</v>
      </c>
      <c r="K71" s="430">
        <f t="shared" si="19"/>
        <v>0</v>
      </c>
      <c r="L71" s="430">
        <f t="shared" si="19"/>
        <v>0</v>
      </c>
      <c r="M71" s="430">
        <f t="shared" si="19"/>
        <v>0</v>
      </c>
      <c r="N71" s="430">
        <f t="shared" si="19"/>
        <v>399806</v>
      </c>
      <c r="O71" s="430">
        <f t="shared" si="19"/>
        <v>338836</v>
      </c>
      <c r="P71" s="416">
        <f>SUM(D71:O71)</f>
        <v>2414448</v>
      </c>
      <c r="Q71" s="416">
        <f>P71+E70+F70</f>
        <v>2414448</v>
      </c>
    </row>
    <row r="72" spans="1:17">
      <c r="A72" s="756"/>
      <c r="B72" s="756"/>
      <c r="C72" s="419"/>
      <c r="D72" s="419"/>
      <c r="E72" s="419"/>
      <c r="F72" s="419"/>
      <c r="G72" s="419"/>
      <c r="H72" s="419"/>
      <c r="I72" s="419"/>
      <c r="J72" s="419"/>
      <c r="K72" s="419"/>
      <c r="L72" s="419"/>
      <c r="M72" s="419"/>
      <c r="N72" s="419"/>
      <c r="O72" s="419"/>
      <c r="P72" s="416">
        <f>P70+P71</f>
        <v>4864170</v>
      </c>
      <c r="Q72" s="416">
        <f>Q70+Q71</f>
        <v>2905124</v>
      </c>
    </row>
    <row r="73" spans="1:17" s="758" customFormat="1">
      <c r="A73" s="757"/>
    </row>
    <row r="74" spans="1:17" s="758" customFormat="1">
      <c r="A74" s="757"/>
      <c r="B74" s="759"/>
      <c r="C74" s="425"/>
      <c r="E74" s="426"/>
      <c r="F74" s="426"/>
      <c r="G74" s="426"/>
      <c r="H74" s="426"/>
      <c r="I74" s="426"/>
      <c r="J74" s="426"/>
      <c r="K74" s="426"/>
      <c r="L74" s="426"/>
      <c r="M74" s="426"/>
      <c r="N74" s="426"/>
      <c r="O74" s="426"/>
      <c r="P74" s="426"/>
    </row>
    <row r="75" spans="1:17" s="758" customFormat="1">
      <c r="A75" s="757"/>
      <c r="B75" s="413"/>
      <c r="C75" s="413"/>
      <c r="D75" s="413"/>
      <c r="E75" s="413"/>
      <c r="F75" s="413"/>
      <c r="G75" s="413"/>
      <c r="H75" s="413"/>
      <c r="I75" s="413"/>
      <c r="J75" s="413"/>
      <c r="K75" s="413"/>
      <c r="L75" s="413"/>
      <c r="M75" s="413"/>
      <c r="N75" s="413"/>
      <c r="O75" s="413"/>
      <c r="P75" s="413"/>
    </row>
    <row r="76" spans="1:17" s="758" customFormat="1">
      <c r="A76" s="760"/>
      <c r="B76" s="746"/>
      <c r="C76" s="431"/>
      <c r="D76" s="761"/>
      <c r="E76" s="761"/>
      <c r="F76" s="761"/>
      <c r="G76" s="761"/>
      <c r="H76" s="761"/>
      <c r="I76" s="761"/>
      <c r="J76" s="761"/>
      <c r="K76" s="761"/>
      <c r="L76" s="761"/>
      <c r="M76" s="761"/>
      <c r="N76" s="761"/>
      <c r="O76" s="761"/>
      <c r="P76" s="413"/>
    </row>
    <row r="77" spans="1:17" s="758" customFormat="1">
      <c r="A77" s="756"/>
      <c r="B77" s="756"/>
      <c r="C77" s="762"/>
      <c r="D77" s="762"/>
      <c r="E77" s="762"/>
      <c r="F77" s="762"/>
      <c r="G77" s="762"/>
      <c r="H77" s="762"/>
      <c r="I77" s="762"/>
      <c r="J77" s="762"/>
      <c r="K77" s="762"/>
      <c r="L77" s="762"/>
      <c r="M77" s="762"/>
      <c r="N77" s="762"/>
      <c r="O77" s="762"/>
      <c r="P77" s="762"/>
    </row>
    <row r="78" spans="1:17" s="758" customFormat="1">
      <c r="A78" s="756"/>
      <c r="B78" s="756"/>
      <c r="C78" s="762"/>
      <c r="D78" s="762"/>
      <c r="E78" s="762"/>
      <c r="F78" s="762"/>
      <c r="G78" s="762"/>
      <c r="H78" s="762"/>
      <c r="I78" s="762"/>
      <c r="J78" s="762"/>
      <c r="K78" s="762"/>
      <c r="L78" s="762"/>
      <c r="M78" s="762"/>
      <c r="N78" s="762"/>
      <c r="O78" s="762"/>
      <c r="P78" s="763"/>
      <c r="Q78" s="764"/>
    </row>
    <row r="79" spans="1:17" s="758" customFormat="1">
      <c r="A79" s="760"/>
      <c r="B79" s="756"/>
      <c r="C79" s="762"/>
      <c r="D79" s="762"/>
      <c r="E79" s="762"/>
      <c r="F79" s="762"/>
      <c r="G79" s="762"/>
      <c r="H79" s="762"/>
      <c r="I79" s="762"/>
      <c r="J79" s="762"/>
      <c r="K79" s="762"/>
      <c r="L79" s="762"/>
      <c r="M79" s="762"/>
      <c r="N79" s="762"/>
      <c r="O79" s="762"/>
      <c r="P79" s="762"/>
      <c r="Q79" s="765"/>
    </row>
    <row r="80" spans="1:17" s="758" customFormat="1">
      <c r="A80" s="756"/>
      <c r="B80" s="756"/>
      <c r="C80" s="764"/>
      <c r="D80" s="766"/>
      <c r="E80" s="764"/>
      <c r="F80" s="764"/>
      <c r="G80" s="764"/>
      <c r="H80" s="764"/>
      <c r="I80" s="764"/>
      <c r="J80" s="764"/>
      <c r="K80" s="764"/>
      <c r="L80" s="764"/>
      <c r="M80" s="764"/>
      <c r="N80" s="764"/>
      <c r="O80" s="764"/>
      <c r="Q80" s="765"/>
    </row>
    <row r="81" spans="1:17" s="758" customFormat="1">
      <c r="A81" s="756"/>
      <c r="B81" s="756"/>
      <c r="C81" s="764"/>
      <c r="D81" s="766"/>
      <c r="E81" s="764"/>
      <c r="F81" s="764"/>
      <c r="G81" s="764"/>
      <c r="H81" s="764"/>
      <c r="I81" s="764"/>
      <c r="J81" s="764"/>
      <c r="K81" s="764"/>
      <c r="L81" s="764"/>
      <c r="M81" s="764"/>
      <c r="N81" s="764"/>
      <c r="O81" s="764"/>
    </row>
    <row r="82" spans="1:17" s="758" customFormat="1">
      <c r="A82" s="756"/>
      <c r="B82" s="756"/>
      <c r="C82" s="419"/>
      <c r="D82" s="419"/>
      <c r="E82" s="419"/>
      <c r="F82" s="419"/>
      <c r="G82" s="419"/>
      <c r="H82" s="419"/>
      <c r="I82" s="419"/>
      <c r="J82" s="419"/>
      <c r="K82" s="419"/>
      <c r="L82" s="419"/>
      <c r="M82" s="419"/>
      <c r="N82" s="419"/>
      <c r="O82" s="419"/>
      <c r="P82" s="419"/>
      <c r="Q82" s="767"/>
    </row>
    <row r="83" spans="1:17" s="758" customFormat="1">
      <c r="A83" s="757"/>
    </row>
    <row r="84" spans="1:17" s="758" customFormat="1">
      <c r="A84" s="757"/>
      <c r="B84" s="746"/>
      <c r="C84" s="746"/>
      <c r="D84" s="746"/>
      <c r="E84" s="746"/>
      <c r="F84" s="746"/>
      <c r="G84" s="746"/>
      <c r="H84" s="746"/>
      <c r="I84" s="746"/>
    </row>
    <row r="85" spans="1:17" s="758" customFormat="1">
      <c r="A85" s="757"/>
      <c r="D85" s="746"/>
      <c r="E85" s="746"/>
      <c r="G85" s="746"/>
      <c r="H85" s="746"/>
      <c r="I85" s="746"/>
    </row>
    <row r="86" spans="1:17" s="758" customFormat="1">
      <c r="A86" s="757"/>
      <c r="C86" s="419"/>
      <c r="D86" s="419"/>
      <c r="E86" s="768"/>
      <c r="G86" s="769"/>
      <c r="H86" s="419"/>
      <c r="I86" s="768"/>
    </row>
    <row r="87" spans="1:17" s="758" customFormat="1">
      <c r="A87" s="757"/>
      <c r="C87" s="419"/>
      <c r="D87" s="419"/>
      <c r="E87" s="768"/>
      <c r="G87" s="769"/>
      <c r="H87" s="419"/>
      <c r="I87" s="768"/>
    </row>
    <row r="88" spans="1:17" s="758" customFormat="1">
      <c r="A88" s="757"/>
      <c r="C88" s="419"/>
      <c r="D88" s="419"/>
      <c r="E88" s="768"/>
      <c r="G88" s="769"/>
      <c r="H88" s="419"/>
      <c r="I88" s="768"/>
    </row>
    <row r="89" spans="1:17" s="758" customFormat="1">
      <c r="A89" s="756"/>
      <c r="B89" s="756"/>
      <c r="C89" s="419"/>
      <c r="D89" s="419"/>
      <c r="E89" s="419"/>
      <c r="F89" s="419"/>
      <c r="G89" s="419"/>
      <c r="H89" s="419"/>
      <c r="I89" s="419"/>
      <c r="J89" s="419"/>
      <c r="K89" s="419"/>
      <c r="L89" s="419"/>
      <c r="M89" s="419"/>
      <c r="N89" s="419"/>
      <c r="O89" s="419"/>
      <c r="P89" s="419"/>
    </row>
    <row r="90" spans="1:17" s="758" customFormat="1">
      <c r="A90" s="757"/>
    </row>
    <row r="91" spans="1:17" s="758" customFormat="1">
      <c r="A91" s="757"/>
      <c r="D91" s="426"/>
      <c r="E91" s="426"/>
      <c r="F91" s="426"/>
      <c r="G91" s="426"/>
      <c r="H91" s="426"/>
      <c r="I91" s="426"/>
      <c r="J91" s="426"/>
      <c r="K91" s="426"/>
      <c r="L91" s="426"/>
      <c r="M91" s="426"/>
      <c r="N91" s="426"/>
      <c r="O91" s="426"/>
      <c r="P91" s="426"/>
    </row>
    <row r="92" spans="1:17" s="758" customFormat="1">
      <c r="A92" s="757"/>
      <c r="B92" s="413"/>
      <c r="C92" s="413"/>
      <c r="D92" s="413"/>
      <c r="E92" s="413"/>
      <c r="F92" s="413"/>
      <c r="G92" s="413"/>
      <c r="H92" s="413"/>
      <c r="I92" s="413"/>
      <c r="J92" s="413"/>
      <c r="K92" s="413"/>
      <c r="L92" s="413"/>
      <c r="M92" s="413"/>
      <c r="N92" s="413"/>
      <c r="O92" s="413"/>
      <c r="P92" s="413"/>
    </row>
    <row r="93" spans="1:17" s="758" customFormat="1">
      <c r="A93" s="760"/>
      <c r="B93" s="746"/>
      <c r="C93" s="770"/>
      <c r="D93" s="761"/>
      <c r="E93" s="761"/>
      <c r="F93" s="761"/>
      <c r="G93" s="761"/>
      <c r="H93" s="761"/>
      <c r="I93" s="761"/>
      <c r="J93" s="761"/>
      <c r="K93" s="761"/>
      <c r="L93" s="761"/>
      <c r="M93" s="761"/>
      <c r="N93" s="761"/>
      <c r="O93" s="761"/>
      <c r="P93" s="413"/>
    </row>
    <row r="94" spans="1:17" s="758" customFormat="1">
      <c r="A94" s="760"/>
    </row>
    <row r="95" spans="1:17" s="758" customFormat="1">
      <c r="A95" s="757"/>
      <c r="B95" s="756"/>
      <c r="C95" s="419"/>
      <c r="D95" s="419"/>
      <c r="E95" s="419"/>
      <c r="F95" s="419"/>
      <c r="G95" s="419"/>
      <c r="H95" s="419"/>
      <c r="I95" s="419"/>
      <c r="J95" s="419"/>
      <c r="K95" s="419"/>
      <c r="L95" s="419"/>
      <c r="M95" s="419"/>
      <c r="N95" s="419"/>
      <c r="O95" s="419"/>
      <c r="P95" s="419"/>
    </row>
    <row r="96" spans="1:17" s="758" customFormat="1">
      <c r="A96" s="757"/>
      <c r="B96" s="771"/>
    </row>
    <row r="97" spans="1:17" s="758" customFormat="1">
      <c r="A97" s="757"/>
      <c r="B97" s="772"/>
    </row>
    <row r="98" spans="1:17" s="758" customFormat="1">
      <c r="A98" s="757"/>
      <c r="B98" s="772"/>
      <c r="C98" s="762"/>
      <c r="D98" s="762"/>
      <c r="E98" s="762"/>
      <c r="F98" s="762"/>
      <c r="G98" s="762"/>
      <c r="H98" s="762"/>
      <c r="I98" s="762"/>
      <c r="J98" s="762"/>
      <c r="K98" s="762"/>
      <c r="L98" s="762"/>
      <c r="M98" s="762"/>
      <c r="N98" s="762"/>
      <c r="O98" s="762"/>
      <c r="P98" s="762"/>
    </row>
    <row r="99" spans="1:17" s="758" customFormat="1">
      <c r="A99" s="757"/>
      <c r="B99" s="756"/>
      <c r="C99" s="762"/>
      <c r="D99" s="762"/>
      <c r="E99" s="762"/>
      <c r="F99" s="762"/>
      <c r="G99" s="762"/>
      <c r="H99" s="762"/>
      <c r="I99" s="762"/>
      <c r="J99" s="762"/>
      <c r="K99" s="762"/>
      <c r="L99" s="762"/>
      <c r="M99" s="762"/>
      <c r="N99" s="762"/>
      <c r="O99" s="762"/>
      <c r="P99" s="762"/>
      <c r="Q99" s="756"/>
    </row>
    <row r="100" spans="1:17" s="758" customFormat="1">
      <c r="A100" s="757"/>
      <c r="B100" s="772"/>
      <c r="C100" s="762"/>
      <c r="D100" s="762"/>
      <c r="E100" s="762"/>
      <c r="F100" s="762"/>
      <c r="G100" s="762"/>
      <c r="H100" s="762"/>
      <c r="I100" s="762"/>
      <c r="J100" s="762"/>
      <c r="K100" s="762"/>
      <c r="L100" s="762"/>
      <c r="M100" s="762"/>
      <c r="N100" s="762"/>
      <c r="O100" s="762"/>
      <c r="P100" s="762"/>
      <c r="Q100" s="756"/>
    </row>
    <row r="101" spans="1:17" s="758" customFormat="1">
      <c r="A101" s="757"/>
      <c r="B101" s="772"/>
      <c r="C101" s="762"/>
      <c r="D101" s="762"/>
      <c r="E101" s="762"/>
      <c r="F101" s="762"/>
      <c r="G101" s="762"/>
      <c r="H101" s="762"/>
      <c r="I101" s="762"/>
      <c r="J101" s="762"/>
      <c r="K101" s="762"/>
      <c r="L101" s="762"/>
      <c r="M101" s="762"/>
      <c r="N101" s="762"/>
      <c r="O101" s="762"/>
      <c r="P101" s="762"/>
      <c r="Q101" s="756"/>
    </row>
    <row r="102" spans="1:17" s="758" customFormat="1">
      <c r="A102" s="757"/>
      <c r="B102" s="772"/>
      <c r="C102" s="762"/>
      <c r="D102" s="762"/>
      <c r="E102" s="762"/>
      <c r="F102" s="762"/>
      <c r="G102" s="762"/>
      <c r="H102" s="762"/>
      <c r="I102" s="762"/>
      <c r="J102" s="762"/>
      <c r="K102" s="762"/>
      <c r="L102" s="762"/>
      <c r="M102" s="762"/>
      <c r="N102" s="762"/>
      <c r="O102" s="762"/>
      <c r="P102" s="762"/>
      <c r="Q102" s="756"/>
    </row>
    <row r="103" spans="1:17" s="758" customFormat="1">
      <c r="A103" s="757"/>
      <c r="B103" s="771"/>
      <c r="C103" s="762"/>
      <c r="D103" s="762"/>
      <c r="E103" s="762"/>
      <c r="F103" s="762"/>
      <c r="G103" s="762"/>
      <c r="H103" s="762"/>
      <c r="I103" s="762"/>
      <c r="J103" s="762"/>
      <c r="K103" s="762"/>
      <c r="L103" s="762"/>
      <c r="M103" s="762"/>
      <c r="N103" s="762"/>
      <c r="O103" s="762"/>
      <c r="P103" s="762"/>
      <c r="Q103" s="756"/>
    </row>
    <row r="104" spans="1:17" s="758" customFormat="1">
      <c r="A104" s="757"/>
      <c r="B104" s="772"/>
      <c r="C104" s="762"/>
      <c r="D104" s="762"/>
      <c r="E104" s="762"/>
      <c r="F104" s="762"/>
      <c r="G104" s="762"/>
      <c r="H104" s="762"/>
      <c r="I104" s="762"/>
      <c r="J104" s="762"/>
      <c r="K104" s="762"/>
      <c r="L104" s="762"/>
      <c r="M104" s="762"/>
      <c r="N104" s="762"/>
      <c r="O104" s="762"/>
      <c r="P104" s="762"/>
      <c r="Q104" s="757"/>
    </row>
    <row r="105" spans="1:17" s="758" customFormat="1">
      <c r="A105" s="757"/>
      <c r="B105" s="772"/>
      <c r="C105" s="762"/>
      <c r="D105" s="762"/>
      <c r="E105" s="762"/>
      <c r="F105" s="762"/>
      <c r="G105" s="762"/>
      <c r="H105" s="762"/>
      <c r="I105" s="762"/>
      <c r="J105" s="762"/>
      <c r="K105" s="762"/>
      <c r="L105" s="762"/>
      <c r="M105" s="762"/>
      <c r="N105" s="762"/>
      <c r="O105" s="762"/>
      <c r="P105" s="762"/>
      <c r="Q105" s="756"/>
    </row>
    <row r="106" spans="1:17" s="758" customFormat="1">
      <c r="A106" s="757"/>
      <c r="B106" s="772"/>
      <c r="C106" s="762"/>
      <c r="D106" s="762"/>
      <c r="E106" s="762"/>
      <c r="F106" s="762"/>
      <c r="G106" s="762"/>
      <c r="H106" s="762"/>
      <c r="I106" s="762"/>
      <c r="J106" s="762"/>
      <c r="K106" s="762"/>
      <c r="L106" s="762"/>
      <c r="M106" s="762"/>
      <c r="N106" s="762"/>
      <c r="O106" s="762"/>
      <c r="P106" s="762"/>
      <c r="Q106" s="756"/>
    </row>
    <row r="107" spans="1:17" s="758" customFormat="1">
      <c r="A107" s="757"/>
      <c r="B107" s="771"/>
      <c r="C107" s="762"/>
      <c r="D107" s="762"/>
      <c r="E107" s="762"/>
      <c r="F107" s="762"/>
      <c r="G107" s="762"/>
      <c r="H107" s="762"/>
      <c r="I107" s="762"/>
      <c r="J107" s="762"/>
      <c r="K107" s="762"/>
      <c r="L107" s="762"/>
      <c r="M107" s="762"/>
      <c r="N107" s="762"/>
      <c r="O107" s="762"/>
      <c r="Q107" s="756"/>
    </row>
    <row r="108" spans="1:17" s="758" customFormat="1">
      <c r="A108" s="757"/>
      <c r="B108" s="413"/>
      <c r="C108" s="769"/>
      <c r="D108" s="413"/>
      <c r="E108" s="413"/>
      <c r="F108" s="413"/>
      <c r="G108" s="413"/>
      <c r="H108" s="413"/>
      <c r="I108" s="413"/>
      <c r="J108" s="413"/>
      <c r="K108" s="413"/>
      <c r="L108" s="413"/>
      <c r="M108" s="413"/>
      <c r="N108" s="413"/>
      <c r="O108" s="413"/>
      <c r="P108" s="413"/>
    </row>
    <row r="109" spans="1:17" s="758" customFormat="1">
      <c r="A109" s="760"/>
      <c r="B109" s="746"/>
      <c r="C109" s="773"/>
      <c r="D109" s="761"/>
      <c r="E109" s="761"/>
      <c r="F109" s="761"/>
      <c r="G109" s="761"/>
      <c r="H109" s="761"/>
      <c r="I109" s="761"/>
      <c r="J109" s="761"/>
      <c r="K109" s="761"/>
      <c r="L109" s="761"/>
      <c r="M109" s="761"/>
      <c r="N109" s="761"/>
      <c r="O109" s="761"/>
      <c r="P109" s="413"/>
    </row>
    <row r="110" spans="1:17" s="758" customFormat="1">
      <c r="A110" s="425"/>
      <c r="B110" s="756"/>
      <c r="C110" s="762"/>
      <c r="D110" s="762"/>
      <c r="E110" s="762"/>
      <c r="F110" s="762"/>
      <c r="G110" s="762"/>
      <c r="H110" s="762"/>
      <c r="I110" s="762"/>
      <c r="J110" s="762"/>
      <c r="K110" s="762"/>
      <c r="L110" s="762"/>
      <c r="M110" s="762"/>
      <c r="N110" s="762"/>
      <c r="O110" s="762"/>
      <c r="P110" s="762"/>
    </row>
    <row r="111" spans="1:17" s="758" customFormat="1">
      <c r="A111" s="757"/>
      <c r="B111" s="757"/>
      <c r="C111" s="419"/>
      <c r="D111" s="419"/>
      <c r="E111" s="419"/>
      <c r="F111" s="419"/>
      <c r="G111" s="419"/>
      <c r="H111" s="419"/>
      <c r="I111" s="419"/>
      <c r="J111" s="419"/>
      <c r="K111" s="419"/>
      <c r="L111" s="419"/>
      <c r="M111" s="419"/>
      <c r="N111" s="419"/>
      <c r="O111" s="419"/>
      <c r="P111" s="762"/>
      <c r="Q111" s="756"/>
    </row>
    <row r="112" spans="1:17" s="758" customFormat="1">
      <c r="A112" s="757"/>
      <c r="B112" s="756"/>
      <c r="C112" s="419"/>
      <c r="D112" s="419"/>
      <c r="E112" s="419"/>
      <c r="F112" s="419"/>
      <c r="G112" s="419"/>
      <c r="H112" s="419"/>
      <c r="I112" s="419"/>
      <c r="J112" s="419"/>
      <c r="K112" s="419"/>
      <c r="L112" s="419"/>
      <c r="M112" s="419"/>
      <c r="N112" s="419"/>
      <c r="O112" s="419"/>
      <c r="P112" s="419"/>
    </row>
    <row r="113" spans="1:16" s="758" customFormat="1">
      <c r="A113" s="757"/>
      <c r="B113" s="756"/>
      <c r="C113" s="419"/>
      <c r="D113" s="419"/>
      <c r="E113" s="419"/>
      <c r="F113" s="419"/>
      <c r="G113" s="419"/>
      <c r="H113" s="419"/>
      <c r="I113" s="419"/>
      <c r="J113" s="419"/>
      <c r="K113" s="419"/>
      <c r="L113" s="419"/>
      <c r="M113" s="419"/>
      <c r="N113" s="419"/>
      <c r="O113" s="419"/>
      <c r="P113" s="419"/>
    </row>
    <row r="114" spans="1:16" s="758" customFormat="1">
      <c r="A114" s="757"/>
      <c r="B114" s="756"/>
      <c r="C114" s="419"/>
      <c r="D114" s="419"/>
      <c r="E114" s="419"/>
      <c r="F114" s="419"/>
      <c r="G114" s="419"/>
      <c r="H114" s="419"/>
      <c r="I114" s="419"/>
      <c r="J114" s="419"/>
      <c r="K114" s="419"/>
      <c r="L114" s="419"/>
      <c r="M114" s="419"/>
      <c r="N114" s="419"/>
      <c r="O114" s="419"/>
      <c r="P114" s="419"/>
    </row>
    <row r="115" spans="1:16" s="758" customFormat="1">
      <c r="A115" s="757"/>
      <c r="B115" s="756"/>
      <c r="C115" s="419"/>
      <c r="D115" s="419"/>
      <c r="E115" s="419"/>
      <c r="F115" s="419"/>
      <c r="G115" s="419"/>
      <c r="H115" s="419"/>
      <c r="I115" s="419"/>
      <c r="J115" s="419"/>
      <c r="K115" s="419"/>
      <c r="L115" s="419"/>
      <c r="M115" s="419"/>
      <c r="N115" s="419"/>
      <c r="O115" s="419"/>
      <c r="P115" s="419"/>
    </row>
    <row r="116" spans="1:16" s="758" customFormat="1">
      <c r="A116" s="757"/>
      <c r="B116" s="756"/>
      <c r="C116" s="419"/>
      <c r="D116" s="419"/>
      <c r="E116" s="419"/>
      <c r="F116" s="419"/>
      <c r="G116" s="419"/>
      <c r="H116" s="419"/>
      <c r="I116" s="419"/>
      <c r="J116" s="419"/>
      <c r="K116" s="419"/>
      <c r="L116" s="419"/>
      <c r="M116" s="419"/>
      <c r="N116" s="419"/>
      <c r="O116" s="419"/>
      <c r="P116" s="419"/>
    </row>
    <row r="117" spans="1:16" s="758" customFormat="1">
      <c r="A117" s="757"/>
      <c r="B117" s="756"/>
      <c r="C117" s="419"/>
      <c r="D117" s="419"/>
      <c r="E117" s="419"/>
      <c r="F117" s="419"/>
      <c r="G117" s="419"/>
      <c r="H117" s="419"/>
      <c r="I117" s="419"/>
      <c r="J117" s="419"/>
      <c r="K117" s="419"/>
      <c r="L117" s="419"/>
      <c r="M117" s="419"/>
      <c r="N117" s="419"/>
      <c r="O117" s="419"/>
      <c r="P117" s="419"/>
    </row>
    <row r="118" spans="1:16" s="758" customFormat="1">
      <c r="A118" s="756"/>
      <c r="B118" s="756"/>
      <c r="C118" s="762"/>
      <c r="D118" s="762"/>
      <c r="E118" s="762"/>
      <c r="F118" s="762"/>
      <c r="G118" s="762"/>
      <c r="H118" s="762"/>
      <c r="I118" s="762"/>
      <c r="J118" s="762"/>
      <c r="K118" s="762"/>
      <c r="L118" s="762"/>
      <c r="M118" s="762"/>
      <c r="N118" s="762"/>
      <c r="O118" s="762"/>
      <c r="P118" s="762"/>
    </row>
    <row r="119" spans="1:16" s="758" customFormat="1">
      <c r="A119" s="757"/>
      <c r="C119" s="762"/>
      <c r="D119" s="774"/>
      <c r="E119" s="762"/>
      <c r="F119" s="762"/>
      <c r="G119" s="762"/>
      <c r="H119" s="775"/>
      <c r="I119" s="775"/>
      <c r="J119" s="776"/>
      <c r="K119" s="776"/>
      <c r="L119" s="775"/>
      <c r="M119" s="775"/>
      <c r="N119" s="775"/>
      <c r="O119" s="762"/>
      <c r="P119" s="762"/>
    </row>
    <row r="120" spans="1:16" s="758" customFormat="1">
      <c r="A120" s="757"/>
      <c r="B120" s="777"/>
      <c r="C120" s="762"/>
      <c r="D120" s="762"/>
      <c r="E120" s="762"/>
      <c r="F120" s="762"/>
      <c r="G120" s="762"/>
      <c r="H120" s="762"/>
      <c r="I120" s="762"/>
      <c r="J120" s="762"/>
      <c r="K120" s="762"/>
      <c r="L120" s="762"/>
      <c r="M120" s="762"/>
      <c r="N120" s="762"/>
      <c r="O120" s="762"/>
      <c r="P120" s="762"/>
    </row>
    <row r="121" spans="1:16" s="758" customFormat="1">
      <c r="A121" s="757"/>
      <c r="B121" s="777"/>
      <c r="C121" s="762"/>
      <c r="D121" s="419"/>
      <c r="E121" s="762"/>
      <c r="F121" s="778"/>
      <c r="H121" s="762"/>
      <c r="I121" s="762"/>
      <c r="J121" s="762"/>
      <c r="K121" s="762"/>
      <c r="L121" s="762"/>
      <c r="M121" s="762"/>
      <c r="N121" s="762"/>
      <c r="O121" s="762"/>
      <c r="P121" s="762"/>
    </row>
    <row r="122" spans="1:16" s="758" customFormat="1">
      <c r="A122" s="757"/>
      <c r="B122" s="771"/>
      <c r="C122" s="762"/>
      <c r="D122" s="419"/>
      <c r="E122" s="762"/>
      <c r="F122" s="762"/>
      <c r="G122" s="762"/>
      <c r="H122" s="762"/>
      <c r="I122" s="762"/>
      <c r="J122" s="762"/>
      <c r="K122" s="762"/>
      <c r="L122" s="762"/>
      <c r="M122" s="762"/>
      <c r="O122" s="762"/>
      <c r="P122" s="762"/>
    </row>
    <row r="123" spans="1:16" s="758" customFormat="1">
      <c r="A123" s="757"/>
      <c r="B123" s="771"/>
      <c r="C123" s="762"/>
      <c r="D123" s="762"/>
      <c r="E123" s="762"/>
      <c r="F123" s="762"/>
      <c r="G123" s="762"/>
      <c r="H123" s="762"/>
      <c r="I123" s="762"/>
      <c r="J123" s="762"/>
      <c r="K123" s="762"/>
      <c r="L123" s="762"/>
      <c r="M123" s="779"/>
      <c r="N123" s="762"/>
      <c r="O123" s="762"/>
      <c r="P123" s="762"/>
    </row>
    <row r="124" spans="1:16" s="758" customFormat="1">
      <c r="A124" s="756"/>
      <c r="B124" s="756"/>
      <c r="C124" s="419"/>
      <c r="D124" s="419"/>
      <c r="E124" s="419"/>
      <c r="F124" s="419"/>
      <c r="G124" s="419"/>
      <c r="H124" s="419"/>
      <c r="I124" s="419"/>
      <c r="J124" s="419"/>
      <c r="K124" s="419"/>
      <c r="L124" s="419"/>
      <c r="M124" s="779"/>
      <c r="N124" s="762"/>
      <c r="O124" s="419"/>
      <c r="P124" s="419"/>
    </row>
    <row r="125" spans="1:16" s="758" customFormat="1">
      <c r="A125" s="757"/>
    </row>
    <row r="126" spans="1:16" s="758" customFormat="1">
      <c r="A126" s="760"/>
      <c r="B126" s="780"/>
      <c r="P126" s="413"/>
    </row>
    <row r="127" spans="1:16" s="758" customFormat="1">
      <c r="A127" s="757"/>
      <c r="B127" s="413"/>
      <c r="C127" s="431"/>
      <c r="D127" s="761"/>
      <c r="E127" s="761"/>
      <c r="F127" s="761"/>
      <c r="G127" s="761"/>
      <c r="H127" s="761"/>
      <c r="I127" s="761"/>
      <c r="J127" s="761"/>
      <c r="K127" s="761"/>
      <c r="L127" s="761"/>
      <c r="M127" s="761"/>
      <c r="N127" s="761"/>
      <c r="O127" s="761"/>
      <c r="P127" s="413"/>
    </row>
    <row r="128" spans="1:16" s="758" customFormat="1">
      <c r="A128" s="760"/>
      <c r="B128" s="413"/>
      <c r="C128" s="431"/>
      <c r="D128" s="431"/>
      <c r="E128" s="431"/>
      <c r="F128" s="431"/>
      <c r="G128" s="431"/>
      <c r="H128" s="431"/>
      <c r="I128" s="431"/>
      <c r="J128" s="431"/>
      <c r="K128" s="431"/>
      <c r="L128" s="431"/>
      <c r="M128" s="431"/>
      <c r="N128" s="431"/>
      <c r="O128" s="431"/>
      <c r="P128" s="413"/>
    </row>
    <row r="129" spans="1:16" s="758" customFormat="1">
      <c r="A129" s="757"/>
      <c r="B129" s="771"/>
      <c r="C129" s="781"/>
      <c r="D129" s="781"/>
      <c r="E129" s="781"/>
      <c r="F129" s="781"/>
      <c r="G129" s="781"/>
      <c r="H129" s="781"/>
      <c r="I129" s="781"/>
      <c r="J129" s="781"/>
      <c r="K129" s="781"/>
      <c r="L129" s="781"/>
      <c r="M129" s="781"/>
      <c r="N129" s="781"/>
      <c r="O129" s="781"/>
      <c r="P129" s="419"/>
    </row>
    <row r="130" spans="1:16" s="758" customFormat="1">
      <c r="A130" s="757"/>
      <c r="B130" s="771"/>
      <c r="C130" s="781"/>
      <c r="D130" s="781"/>
      <c r="E130" s="781"/>
      <c r="F130" s="781"/>
      <c r="G130" s="781"/>
      <c r="H130" s="781"/>
      <c r="I130" s="781"/>
      <c r="J130" s="781"/>
      <c r="K130" s="781"/>
      <c r="L130" s="781"/>
      <c r="M130" s="781"/>
      <c r="N130" s="781"/>
      <c r="O130" s="781"/>
      <c r="P130" s="419"/>
    </row>
    <row r="131" spans="1:16" s="758" customFormat="1">
      <c r="A131" s="757"/>
      <c r="B131" s="756"/>
      <c r="C131" s="781"/>
      <c r="D131" s="781"/>
      <c r="E131" s="781"/>
      <c r="F131" s="781"/>
      <c r="G131" s="781"/>
      <c r="H131" s="781"/>
      <c r="I131" s="781"/>
      <c r="J131" s="781"/>
      <c r="K131" s="781"/>
      <c r="L131" s="781"/>
      <c r="M131" s="781"/>
      <c r="N131" s="781"/>
      <c r="O131" s="781"/>
      <c r="P131" s="419"/>
    </row>
    <row r="132" spans="1:16" s="758" customFormat="1">
      <c r="A132" s="757"/>
      <c r="B132" s="771"/>
      <c r="C132" s="419"/>
      <c r="D132" s="419"/>
      <c r="E132" s="419"/>
      <c r="F132" s="419"/>
      <c r="G132" s="419"/>
      <c r="H132" s="419"/>
      <c r="I132" s="419"/>
      <c r="J132" s="419"/>
      <c r="K132" s="419"/>
      <c r="L132" s="419"/>
      <c r="M132" s="419"/>
      <c r="N132" s="419"/>
      <c r="O132" s="419"/>
      <c r="P132" s="419"/>
    </row>
    <row r="133" spans="1:16" s="758" customFormat="1">
      <c r="A133" s="757"/>
      <c r="C133" s="419"/>
      <c r="D133" s="419"/>
      <c r="E133" s="419"/>
      <c r="F133" s="419"/>
      <c r="G133" s="419"/>
      <c r="H133" s="419"/>
      <c r="I133" s="419"/>
      <c r="J133" s="419"/>
      <c r="K133" s="419"/>
      <c r="L133" s="419"/>
      <c r="M133" s="419"/>
      <c r="N133" s="419"/>
      <c r="O133" s="419"/>
      <c r="P133" s="419"/>
    </row>
    <row r="134" spans="1:16" s="758" customFormat="1">
      <c r="A134" s="425"/>
      <c r="B134" s="413"/>
      <c r="C134" s="419"/>
      <c r="D134" s="419"/>
      <c r="E134" s="419"/>
      <c r="F134" s="419"/>
      <c r="G134" s="419"/>
      <c r="H134" s="419"/>
      <c r="I134" s="419"/>
      <c r="J134" s="419"/>
      <c r="K134" s="419"/>
      <c r="L134" s="419"/>
      <c r="M134" s="419"/>
      <c r="N134" s="419"/>
      <c r="O134" s="419"/>
      <c r="P134" s="419"/>
    </row>
    <row r="135" spans="1:16" s="758" customFormat="1">
      <c r="A135" s="757"/>
      <c r="B135" s="771"/>
      <c r="C135" s="781"/>
      <c r="D135" s="781"/>
      <c r="E135" s="781"/>
      <c r="F135" s="781"/>
      <c r="G135" s="781"/>
      <c r="H135" s="781"/>
      <c r="I135" s="781"/>
      <c r="J135" s="781"/>
      <c r="K135" s="781"/>
      <c r="L135" s="781"/>
      <c r="M135" s="781"/>
      <c r="N135" s="781"/>
      <c r="O135" s="781"/>
      <c r="P135" s="419"/>
    </row>
    <row r="136" spans="1:16" s="758" customFormat="1">
      <c r="A136" s="757"/>
      <c r="B136" s="771"/>
      <c r="C136" s="781"/>
      <c r="D136" s="781"/>
      <c r="E136" s="781"/>
      <c r="F136" s="781"/>
      <c r="G136" s="781"/>
      <c r="H136" s="781"/>
      <c r="I136" s="781"/>
      <c r="J136" s="781"/>
      <c r="K136" s="781"/>
      <c r="L136" s="781"/>
      <c r="M136" s="781"/>
      <c r="N136" s="781"/>
      <c r="O136" s="781"/>
      <c r="P136" s="419"/>
    </row>
    <row r="137" spans="1:16" s="758" customFormat="1">
      <c r="A137" s="757"/>
      <c r="B137" s="771"/>
      <c r="C137" s="781"/>
      <c r="D137" s="781"/>
      <c r="E137" s="781"/>
      <c r="F137" s="781"/>
      <c r="G137" s="781"/>
      <c r="H137" s="781"/>
      <c r="I137" s="781"/>
      <c r="J137" s="781"/>
      <c r="K137" s="781"/>
      <c r="L137" s="781"/>
      <c r="M137" s="781"/>
      <c r="N137" s="781"/>
      <c r="O137" s="781"/>
      <c r="P137" s="419"/>
    </row>
    <row r="138" spans="1:16" s="758" customFormat="1">
      <c r="A138" s="757"/>
      <c r="B138" s="756"/>
      <c r="C138" s="419"/>
      <c r="D138" s="419"/>
      <c r="E138" s="419"/>
      <c r="F138" s="419"/>
      <c r="G138" s="419"/>
      <c r="H138" s="419"/>
      <c r="I138" s="419"/>
      <c r="J138" s="419"/>
      <c r="K138" s="419"/>
      <c r="L138" s="419"/>
      <c r="M138" s="419"/>
      <c r="N138" s="419"/>
      <c r="O138" s="419"/>
      <c r="P138" s="419"/>
    </row>
    <row r="139" spans="1:16" s="758" customFormat="1">
      <c r="A139" s="757"/>
      <c r="B139" s="756"/>
      <c r="C139" s="781"/>
      <c r="D139" s="781"/>
      <c r="E139" s="781"/>
      <c r="F139" s="781"/>
      <c r="G139" s="781"/>
      <c r="H139" s="781"/>
      <c r="I139" s="781"/>
      <c r="J139" s="781"/>
      <c r="K139" s="781"/>
      <c r="L139" s="781"/>
      <c r="M139" s="781"/>
      <c r="N139" s="781"/>
      <c r="O139" s="781"/>
      <c r="P139" s="419"/>
    </row>
    <row r="140" spans="1:16" s="758" customFormat="1">
      <c r="A140" s="757"/>
      <c r="B140" s="425"/>
      <c r="C140" s="419"/>
      <c r="D140" s="419"/>
      <c r="E140" s="419"/>
      <c r="F140" s="419"/>
      <c r="G140" s="419"/>
      <c r="H140" s="419"/>
      <c r="I140" s="419"/>
      <c r="J140" s="419"/>
      <c r="K140" s="419"/>
      <c r="L140" s="419"/>
      <c r="M140" s="419"/>
      <c r="N140" s="419"/>
      <c r="O140" s="419"/>
      <c r="P140" s="419"/>
    </row>
    <row r="141" spans="1:16" s="758" customFormat="1">
      <c r="A141" s="760"/>
      <c r="C141" s="419"/>
      <c r="D141" s="419"/>
      <c r="E141" s="419"/>
      <c r="F141" s="419"/>
      <c r="G141" s="419"/>
      <c r="H141" s="419"/>
      <c r="I141" s="419"/>
      <c r="J141" s="419"/>
      <c r="K141" s="419"/>
      <c r="L141" s="419"/>
      <c r="M141" s="419"/>
      <c r="N141" s="419"/>
      <c r="O141" s="419"/>
      <c r="P141" s="419"/>
    </row>
    <row r="142" spans="1:16" s="758" customFormat="1">
      <c r="A142" s="757"/>
      <c r="B142" s="771"/>
      <c r="C142" s="781"/>
      <c r="D142" s="781"/>
      <c r="E142" s="781"/>
      <c r="F142" s="781"/>
      <c r="G142" s="781"/>
      <c r="H142" s="781"/>
      <c r="I142" s="781"/>
      <c r="J142" s="781"/>
      <c r="K142" s="781"/>
      <c r="L142" s="781"/>
      <c r="M142" s="781"/>
      <c r="N142" s="781"/>
      <c r="O142" s="781"/>
      <c r="P142" s="419"/>
    </row>
    <row r="143" spans="1:16" s="758" customFormat="1">
      <c r="A143" s="757"/>
      <c r="B143" s="771"/>
      <c r="C143" s="781"/>
      <c r="D143" s="781"/>
      <c r="E143" s="781"/>
      <c r="F143" s="781"/>
      <c r="G143" s="781"/>
      <c r="H143" s="781"/>
      <c r="I143" s="781"/>
      <c r="J143" s="781"/>
      <c r="K143" s="781"/>
      <c r="L143" s="781"/>
      <c r="M143" s="781"/>
      <c r="N143" s="781"/>
      <c r="O143" s="781"/>
      <c r="P143" s="419"/>
    </row>
    <row r="144" spans="1:16" s="758" customFormat="1">
      <c r="A144" s="757"/>
      <c r="B144" s="771"/>
      <c r="C144" s="781"/>
      <c r="D144" s="781"/>
      <c r="E144" s="781"/>
      <c r="F144" s="781"/>
      <c r="G144" s="781"/>
      <c r="H144" s="781"/>
      <c r="I144" s="781"/>
      <c r="J144" s="781"/>
      <c r="K144" s="781"/>
      <c r="L144" s="781"/>
      <c r="M144" s="781"/>
      <c r="N144" s="781"/>
      <c r="O144" s="781"/>
      <c r="P144" s="419"/>
    </row>
    <row r="145" spans="1:17" s="758" customFormat="1">
      <c r="A145" s="757"/>
      <c r="B145" s="756"/>
      <c r="C145" s="419"/>
      <c r="D145" s="419"/>
      <c r="E145" s="419"/>
      <c r="F145" s="419"/>
      <c r="G145" s="419"/>
      <c r="H145" s="419"/>
      <c r="I145" s="419"/>
      <c r="J145" s="419"/>
      <c r="K145" s="419"/>
      <c r="L145" s="419"/>
      <c r="M145" s="419"/>
      <c r="N145" s="419"/>
      <c r="O145" s="419"/>
      <c r="P145" s="419"/>
    </row>
    <row r="146" spans="1:17" s="758" customFormat="1">
      <c r="A146" s="757"/>
      <c r="B146" s="756"/>
      <c r="C146" s="781"/>
      <c r="D146" s="781"/>
      <c r="E146" s="781"/>
      <c r="F146" s="781"/>
      <c r="G146" s="781"/>
      <c r="H146" s="781"/>
      <c r="I146" s="781"/>
      <c r="J146" s="781"/>
      <c r="K146" s="781"/>
      <c r="L146" s="781"/>
      <c r="M146" s="781"/>
      <c r="N146" s="781"/>
      <c r="O146" s="781"/>
      <c r="P146" s="419"/>
    </row>
    <row r="147" spans="1:17" s="758" customFormat="1">
      <c r="A147" s="757"/>
      <c r="B147" s="425"/>
      <c r="C147" s="419"/>
      <c r="D147" s="419"/>
      <c r="E147" s="419"/>
      <c r="F147" s="419"/>
      <c r="G147" s="419"/>
      <c r="H147" s="419"/>
      <c r="I147" s="419"/>
      <c r="J147" s="419"/>
      <c r="K147" s="419"/>
      <c r="L147" s="419"/>
      <c r="M147" s="419"/>
      <c r="N147" s="419"/>
      <c r="O147" s="419"/>
      <c r="P147" s="419"/>
    </row>
    <row r="148" spans="1:17" s="758" customFormat="1">
      <c r="A148" s="757"/>
      <c r="Q148" s="419"/>
    </row>
    <row r="149" spans="1:17" s="758" customFormat="1">
      <c r="A149" s="425"/>
    </row>
    <row r="150" spans="1:17" s="758" customFormat="1">
      <c r="A150" s="425"/>
      <c r="B150" s="746"/>
      <c r="C150" s="413"/>
      <c r="D150" s="413"/>
      <c r="E150" s="413"/>
      <c r="F150" s="413"/>
      <c r="G150" s="413"/>
      <c r="H150" s="413"/>
      <c r="I150" s="413"/>
      <c r="J150" s="413"/>
      <c r="K150" s="413"/>
      <c r="L150" s="413"/>
      <c r="M150" s="413"/>
      <c r="N150" s="413"/>
      <c r="O150" s="413"/>
      <c r="P150" s="413"/>
    </row>
    <row r="151" spans="1:17" s="758" customFormat="1">
      <c r="A151" s="760"/>
      <c r="B151" s="413"/>
      <c r="C151" s="413"/>
      <c r="D151" s="761"/>
      <c r="E151" s="761"/>
      <c r="F151" s="761"/>
      <c r="G151" s="761"/>
      <c r="H151" s="761"/>
      <c r="I151" s="761"/>
      <c r="J151" s="761"/>
      <c r="K151" s="761"/>
      <c r="L151" s="761"/>
      <c r="M151" s="761"/>
      <c r="N151" s="761"/>
      <c r="O151" s="761"/>
      <c r="P151" s="761"/>
    </row>
    <row r="152" spans="1:17" s="758" customFormat="1">
      <c r="A152" s="757"/>
    </row>
    <row r="153" spans="1:17" s="758" customFormat="1">
      <c r="A153" s="756"/>
      <c r="B153" s="756"/>
      <c r="D153" s="419"/>
      <c r="E153" s="419"/>
      <c r="F153" s="419"/>
      <c r="G153" s="419"/>
      <c r="H153" s="419"/>
      <c r="I153" s="419"/>
      <c r="J153" s="419"/>
      <c r="K153" s="419"/>
      <c r="L153" s="419"/>
      <c r="M153" s="419"/>
      <c r="N153" s="419"/>
      <c r="O153" s="419"/>
      <c r="P153" s="419"/>
    </row>
    <row r="154" spans="1:17" s="758" customFormat="1">
      <c r="A154" s="756"/>
      <c r="B154" s="756"/>
      <c r="C154" s="419"/>
      <c r="D154" s="419"/>
      <c r="E154" s="419"/>
      <c r="F154" s="419"/>
      <c r="G154" s="419"/>
      <c r="H154" s="419"/>
      <c r="I154" s="419"/>
      <c r="J154" s="419"/>
      <c r="K154" s="419"/>
      <c r="L154" s="419"/>
      <c r="M154" s="419"/>
      <c r="N154" s="419"/>
      <c r="O154" s="419"/>
      <c r="P154" s="419"/>
    </row>
    <row r="155" spans="1:17" s="758" customFormat="1">
      <c r="A155" s="757"/>
      <c r="C155" s="419"/>
      <c r="D155" s="419"/>
      <c r="E155" s="419"/>
      <c r="F155" s="419"/>
      <c r="G155" s="419"/>
      <c r="H155" s="419"/>
      <c r="I155" s="419"/>
      <c r="J155" s="419"/>
      <c r="K155" s="419"/>
      <c r="L155" s="419"/>
      <c r="M155" s="419"/>
      <c r="N155" s="419"/>
      <c r="O155" s="419"/>
      <c r="P155" s="419"/>
    </row>
    <row r="156" spans="1:17" s="758" customFormat="1">
      <c r="A156" s="756"/>
      <c r="B156" s="756"/>
      <c r="C156" s="419"/>
      <c r="D156" s="419"/>
      <c r="E156" s="419"/>
      <c r="F156" s="419"/>
      <c r="G156" s="419"/>
      <c r="H156" s="419"/>
      <c r="I156" s="419"/>
      <c r="J156" s="419"/>
      <c r="K156" s="419"/>
      <c r="L156" s="419"/>
      <c r="M156" s="419"/>
      <c r="N156" s="419"/>
      <c r="O156" s="419"/>
      <c r="P156" s="419"/>
    </row>
    <row r="157" spans="1:17" s="758" customFormat="1">
      <c r="A157" s="756"/>
      <c r="B157" s="756"/>
      <c r="C157" s="782"/>
      <c r="D157" s="419"/>
      <c r="E157" s="419"/>
      <c r="F157" s="419"/>
      <c r="G157" s="419"/>
      <c r="H157" s="419"/>
      <c r="I157" s="419"/>
      <c r="J157" s="419"/>
      <c r="K157" s="419"/>
      <c r="L157" s="419"/>
      <c r="M157" s="419"/>
      <c r="N157" s="419"/>
      <c r="O157" s="419"/>
      <c r="P157" s="419"/>
    </row>
    <row r="158" spans="1:17" s="758" customFormat="1">
      <c r="A158" s="756"/>
      <c r="B158" s="756"/>
      <c r="C158" s="419"/>
      <c r="D158" s="419"/>
      <c r="E158" s="419"/>
      <c r="F158" s="419"/>
      <c r="G158" s="419"/>
      <c r="H158" s="419"/>
      <c r="I158" s="419"/>
      <c r="J158" s="419"/>
      <c r="K158" s="419"/>
      <c r="L158" s="419"/>
      <c r="M158" s="419"/>
      <c r="N158" s="419"/>
      <c r="O158" s="419"/>
      <c r="P158" s="419"/>
    </row>
    <row r="159" spans="1:17" s="758" customFormat="1">
      <c r="A159" s="757"/>
    </row>
    <row r="160" spans="1:17" s="758" customFormat="1">
      <c r="A160" s="757"/>
      <c r="C160" s="419"/>
      <c r="D160" s="419"/>
      <c r="E160" s="419"/>
      <c r="F160" s="419"/>
      <c r="G160" s="419"/>
      <c r="H160" s="419"/>
      <c r="I160" s="419"/>
      <c r="J160" s="419"/>
      <c r="K160" s="419"/>
      <c r="L160" s="419"/>
      <c r="M160" s="419"/>
      <c r="N160" s="419"/>
      <c r="O160" s="419"/>
      <c r="P160" s="419"/>
    </row>
    <row r="161" spans="1:16" s="758" customFormat="1">
      <c r="A161" s="757"/>
    </row>
    <row r="162" spans="1:16" s="758" customFormat="1">
      <c r="A162" s="756"/>
      <c r="B162" s="756"/>
      <c r="C162" s="419"/>
      <c r="D162" s="419"/>
      <c r="E162" s="419"/>
      <c r="F162" s="419"/>
      <c r="G162" s="419"/>
      <c r="H162" s="419"/>
      <c r="I162" s="419"/>
      <c r="J162" s="419"/>
      <c r="K162" s="419"/>
      <c r="L162" s="419"/>
      <c r="M162" s="419"/>
      <c r="N162" s="419"/>
      <c r="O162" s="419"/>
      <c r="P162" s="419"/>
    </row>
    <row r="163" spans="1:16" s="758" customFormat="1">
      <c r="A163" s="756"/>
      <c r="B163" s="756"/>
      <c r="C163" s="419"/>
      <c r="D163" s="419"/>
      <c r="E163" s="419"/>
      <c r="F163" s="419"/>
      <c r="G163" s="419"/>
      <c r="H163" s="419"/>
      <c r="I163" s="419"/>
      <c r="J163" s="419"/>
      <c r="K163" s="419"/>
      <c r="L163" s="419"/>
      <c r="M163" s="419"/>
      <c r="N163" s="419"/>
      <c r="O163" s="419"/>
      <c r="P163" s="419"/>
    </row>
    <row r="164" spans="1:16" s="758" customFormat="1">
      <c r="A164" s="757"/>
      <c r="B164" s="756"/>
      <c r="C164" s="419"/>
      <c r="D164" s="419"/>
      <c r="E164" s="419"/>
      <c r="F164" s="419"/>
      <c r="G164" s="419"/>
      <c r="H164" s="419"/>
      <c r="I164" s="419"/>
      <c r="J164" s="419"/>
      <c r="K164" s="419"/>
      <c r="L164" s="419"/>
      <c r="M164" s="419"/>
      <c r="N164" s="419"/>
      <c r="O164" s="419"/>
      <c r="P164" s="419"/>
    </row>
    <row r="165" spans="1:16" s="758" customFormat="1">
      <c r="A165" s="760"/>
      <c r="B165" s="780"/>
      <c r="C165" s="783"/>
      <c r="D165" s="783"/>
      <c r="E165" s="783"/>
      <c r="F165" s="783"/>
      <c r="G165" s="783"/>
      <c r="H165" s="783"/>
      <c r="I165" s="783"/>
      <c r="J165" s="783"/>
      <c r="K165" s="783"/>
      <c r="L165" s="783"/>
      <c r="M165" s="783"/>
      <c r="N165" s="783"/>
      <c r="O165" s="783"/>
      <c r="P165" s="783"/>
    </row>
    <row r="166" spans="1:16" s="758" customFormat="1">
      <c r="A166" s="756"/>
      <c r="B166" s="756"/>
      <c r="C166" s="419"/>
      <c r="D166" s="419"/>
      <c r="E166" s="419"/>
      <c r="F166" s="419"/>
      <c r="G166" s="419"/>
      <c r="H166" s="419"/>
      <c r="I166" s="419"/>
      <c r="J166" s="419"/>
      <c r="K166" s="419"/>
      <c r="L166" s="419"/>
      <c r="M166" s="419"/>
      <c r="N166" s="419"/>
      <c r="O166" s="419"/>
      <c r="P166" s="419"/>
    </row>
    <row r="167" spans="1:16" s="758" customFormat="1">
      <c r="A167" s="425"/>
      <c r="B167" s="756"/>
      <c r="C167" s="419"/>
      <c r="D167" s="419"/>
      <c r="E167" s="419"/>
      <c r="F167" s="419"/>
      <c r="G167" s="419"/>
      <c r="H167" s="419"/>
      <c r="I167" s="419"/>
      <c r="J167" s="419"/>
      <c r="K167" s="419"/>
      <c r="L167" s="419"/>
      <c r="M167" s="419"/>
      <c r="N167" s="419"/>
      <c r="O167" s="419"/>
      <c r="P167" s="419"/>
    </row>
    <row r="168" spans="1:16" s="758" customFormat="1">
      <c r="A168" s="756"/>
      <c r="B168" s="756"/>
      <c r="C168" s="419"/>
      <c r="D168" s="419"/>
      <c r="E168" s="419"/>
      <c r="F168" s="419"/>
      <c r="G168" s="419"/>
      <c r="H168" s="419"/>
      <c r="I168" s="419"/>
      <c r="J168" s="419"/>
      <c r="K168" s="419"/>
      <c r="L168" s="419"/>
      <c r="M168" s="419"/>
      <c r="N168" s="419"/>
      <c r="O168" s="419"/>
      <c r="P168" s="419"/>
    </row>
    <row r="169" spans="1:16" s="758" customFormat="1">
      <c r="A169" s="756"/>
      <c r="B169" s="756"/>
      <c r="C169" s="419"/>
      <c r="D169" s="419"/>
      <c r="E169" s="419"/>
      <c r="F169" s="419"/>
      <c r="G169" s="419"/>
      <c r="H169" s="419"/>
      <c r="I169" s="419"/>
      <c r="J169" s="419"/>
      <c r="K169" s="419"/>
      <c r="L169" s="419"/>
      <c r="M169" s="419"/>
      <c r="N169" s="419"/>
      <c r="O169" s="419"/>
      <c r="P169" s="419"/>
    </row>
    <row r="170" spans="1:16" s="758" customFormat="1">
      <c r="A170" s="757"/>
      <c r="C170" s="419"/>
      <c r="D170" s="419"/>
      <c r="E170" s="419"/>
      <c r="F170" s="419"/>
      <c r="G170" s="419"/>
      <c r="H170" s="419"/>
      <c r="I170" s="419"/>
      <c r="J170" s="419"/>
      <c r="K170" s="419"/>
      <c r="L170" s="419"/>
      <c r="M170" s="419"/>
      <c r="N170" s="419"/>
      <c r="O170" s="419"/>
      <c r="P170" s="419"/>
    </row>
    <row r="171" spans="1:16" s="758" customFormat="1">
      <c r="A171" s="756"/>
      <c r="B171" s="756"/>
      <c r="C171" s="419"/>
      <c r="D171" s="419"/>
      <c r="E171" s="419"/>
      <c r="F171" s="419"/>
      <c r="G171" s="419"/>
      <c r="H171" s="419"/>
      <c r="I171" s="419"/>
      <c r="J171" s="419"/>
      <c r="K171" s="419"/>
      <c r="L171" s="419"/>
      <c r="M171" s="419"/>
      <c r="N171" s="419"/>
      <c r="O171" s="419"/>
      <c r="P171" s="419"/>
    </row>
    <row r="172" spans="1:16" s="758" customFormat="1">
      <c r="A172" s="756"/>
      <c r="B172" s="756"/>
      <c r="C172" s="419"/>
      <c r="D172" s="419"/>
      <c r="E172" s="419"/>
      <c r="F172" s="419"/>
      <c r="G172" s="419"/>
      <c r="H172" s="419"/>
      <c r="I172" s="419"/>
      <c r="J172" s="419"/>
      <c r="K172" s="419"/>
      <c r="L172" s="419"/>
      <c r="M172" s="419"/>
      <c r="N172" s="419"/>
      <c r="O172" s="419"/>
      <c r="P172" s="419"/>
    </row>
    <row r="173" spans="1:16" s="758" customFormat="1">
      <c r="A173" s="756"/>
      <c r="B173" s="756"/>
      <c r="C173" s="419"/>
      <c r="D173" s="419"/>
      <c r="E173" s="419"/>
      <c r="F173" s="419"/>
      <c r="G173" s="419"/>
      <c r="H173" s="419"/>
      <c r="I173" s="419"/>
      <c r="J173" s="419"/>
      <c r="K173" s="419"/>
      <c r="L173" s="419"/>
      <c r="M173" s="419"/>
      <c r="N173" s="419"/>
      <c r="O173" s="419"/>
      <c r="P173" s="419"/>
    </row>
    <row r="174" spans="1:16" s="758" customFormat="1">
      <c r="A174" s="757"/>
      <c r="B174" s="756"/>
      <c r="C174" s="419"/>
      <c r="D174" s="419"/>
      <c r="E174" s="419"/>
      <c r="F174" s="419"/>
      <c r="G174" s="419"/>
      <c r="H174" s="419"/>
      <c r="I174" s="419"/>
      <c r="J174" s="419"/>
      <c r="K174" s="419"/>
      <c r="L174" s="419"/>
      <c r="M174" s="419"/>
      <c r="N174" s="419"/>
      <c r="O174" s="419"/>
      <c r="P174" s="419"/>
    </row>
    <row r="175" spans="1:16" s="758" customFormat="1">
      <c r="A175" s="757"/>
      <c r="B175" s="756"/>
      <c r="C175" s="419"/>
      <c r="D175" s="419"/>
      <c r="E175" s="419"/>
      <c r="F175" s="419"/>
      <c r="G175" s="419"/>
      <c r="H175" s="419"/>
      <c r="I175" s="419"/>
      <c r="J175" s="419"/>
      <c r="K175" s="419"/>
      <c r="L175" s="419"/>
      <c r="M175" s="419"/>
      <c r="N175" s="419"/>
      <c r="O175" s="419"/>
      <c r="P175" s="419"/>
    </row>
    <row r="176" spans="1:16" s="758" customFormat="1">
      <c r="A176" s="757"/>
      <c r="B176" s="756"/>
      <c r="C176" s="419"/>
      <c r="D176" s="419"/>
      <c r="E176" s="419"/>
      <c r="F176" s="419"/>
      <c r="G176" s="419"/>
      <c r="H176" s="419"/>
      <c r="I176" s="419"/>
      <c r="J176" s="419"/>
      <c r="K176" s="419"/>
      <c r="L176" s="419"/>
      <c r="M176" s="419"/>
      <c r="N176" s="419"/>
      <c r="O176" s="419"/>
      <c r="P176" s="419"/>
    </row>
    <row r="177" spans="1:17" s="758" customFormat="1">
      <c r="A177" s="757"/>
      <c r="B177" s="756"/>
      <c r="C177" s="419"/>
      <c r="D177" s="419"/>
      <c r="E177" s="419"/>
      <c r="F177" s="419"/>
      <c r="G177" s="419"/>
      <c r="H177" s="419"/>
      <c r="I177" s="419"/>
      <c r="J177" s="419"/>
      <c r="K177" s="419"/>
      <c r="L177" s="419"/>
      <c r="M177" s="419"/>
      <c r="N177" s="419"/>
      <c r="O177" s="419"/>
      <c r="P177" s="419"/>
    </row>
    <row r="178" spans="1:17" s="758" customFormat="1">
      <c r="A178" s="757"/>
      <c r="C178" s="419"/>
      <c r="D178" s="419"/>
      <c r="E178" s="419"/>
      <c r="F178" s="419"/>
      <c r="G178" s="419"/>
      <c r="H178" s="419"/>
      <c r="I178" s="419"/>
      <c r="J178" s="419"/>
      <c r="K178" s="419"/>
      <c r="L178" s="419"/>
      <c r="M178" s="419"/>
      <c r="N178" s="419"/>
      <c r="O178" s="419"/>
      <c r="P178" s="419"/>
    </row>
    <row r="179" spans="1:17" s="758" customFormat="1">
      <c r="A179" s="757"/>
      <c r="C179" s="419"/>
      <c r="D179" s="419"/>
      <c r="E179" s="419"/>
      <c r="F179" s="419"/>
      <c r="G179" s="419"/>
      <c r="H179" s="419"/>
      <c r="I179" s="419"/>
      <c r="J179" s="419"/>
      <c r="K179" s="419"/>
      <c r="L179" s="419"/>
      <c r="M179" s="419"/>
      <c r="N179" s="419"/>
      <c r="O179" s="419"/>
      <c r="P179" s="419"/>
    </row>
    <row r="180" spans="1:17" s="758" customFormat="1">
      <c r="A180" s="756"/>
      <c r="B180" s="756"/>
      <c r="C180" s="419"/>
      <c r="D180" s="419"/>
      <c r="E180" s="419"/>
      <c r="F180" s="419"/>
      <c r="G180" s="419"/>
      <c r="H180" s="419"/>
      <c r="I180" s="419"/>
      <c r="J180" s="419"/>
      <c r="K180" s="419"/>
      <c r="L180" s="419"/>
      <c r="M180" s="419"/>
      <c r="N180" s="419"/>
      <c r="O180" s="419"/>
      <c r="P180" s="419"/>
    </row>
    <row r="181" spans="1:17" s="758" customFormat="1">
      <c r="A181" s="756"/>
      <c r="B181" s="756"/>
      <c r="C181" s="419"/>
      <c r="D181" s="419"/>
      <c r="E181" s="419"/>
      <c r="F181" s="419"/>
      <c r="G181" s="419"/>
      <c r="H181" s="419"/>
      <c r="I181" s="419"/>
      <c r="J181" s="419"/>
      <c r="K181" s="419"/>
      <c r="L181" s="419"/>
      <c r="M181" s="419"/>
      <c r="N181" s="419"/>
      <c r="O181" s="419"/>
      <c r="P181" s="419"/>
    </row>
    <row r="182" spans="1:17" s="758" customFormat="1">
      <c r="A182" s="760"/>
      <c r="B182" s="780"/>
      <c r="C182" s="783"/>
      <c r="D182" s="783"/>
      <c r="E182" s="783"/>
      <c r="F182" s="783"/>
      <c r="G182" s="783"/>
      <c r="H182" s="783"/>
      <c r="I182" s="783"/>
      <c r="J182" s="783"/>
      <c r="K182" s="783"/>
      <c r="L182" s="783"/>
      <c r="M182" s="783"/>
      <c r="N182" s="783"/>
      <c r="O182" s="783"/>
      <c r="P182" s="784"/>
    </row>
    <row r="183" spans="1:17" s="758" customFormat="1">
      <c r="A183" s="757"/>
      <c r="C183" s="419"/>
      <c r="D183" s="419"/>
      <c r="E183" s="419"/>
      <c r="F183" s="419"/>
      <c r="G183" s="419"/>
      <c r="H183" s="419"/>
      <c r="I183" s="419"/>
      <c r="J183" s="419"/>
      <c r="K183" s="419"/>
      <c r="L183" s="419"/>
      <c r="M183" s="419"/>
      <c r="N183" s="419"/>
      <c r="O183" s="419"/>
      <c r="P183" s="419"/>
    </row>
    <row r="184" spans="1:17" s="758" customFormat="1">
      <c r="A184" s="757"/>
      <c r="C184" s="785"/>
      <c r="D184" s="419"/>
      <c r="E184" s="419"/>
      <c r="F184" s="419"/>
      <c r="G184" s="419"/>
      <c r="H184" s="419"/>
      <c r="I184" s="419"/>
      <c r="J184" s="419"/>
      <c r="K184" s="419"/>
      <c r="L184" s="419"/>
      <c r="M184" s="419"/>
      <c r="N184" s="419"/>
      <c r="O184" s="419"/>
      <c r="P184" s="419"/>
      <c r="Q184" s="419"/>
    </row>
    <row r="185" spans="1:17" s="758" customFormat="1">
      <c r="A185" s="757"/>
      <c r="C185" s="419"/>
      <c r="D185" s="419"/>
      <c r="E185" s="419"/>
      <c r="F185" s="419"/>
      <c r="G185" s="419"/>
      <c r="H185" s="419"/>
      <c r="I185" s="419"/>
      <c r="J185" s="419"/>
      <c r="K185" s="419"/>
      <c r="L185" s="419"/>
      <c r="M185" s="419"/>
      <c r="N185" s="419"/>
      <c r="O185" s="419"/>
      <c r="P185" s="419"/>
      <c r="Q185" s="419"/>
    </row>
    <row r="186" spans="1:17" s="758" customFormat="1">
      <c r="A186" s="757"/>
      <c r="C186" s="419"/>
      <c r="D186" s="432"/>
      <c r="E186" s="432"/>
      <c r="F186" s="432"/>
      <c r="G186" s="432"/>
      <c r="H186" s="432"/>
      <c r="I186" s="432"/>
      <c r="J186" s="432"/>
      <c r="K186" s="432"/>
      <c r="L186" s="432"/>
      <c r="M186" s="432"/>
      <c r="N186" s="432"/>
      <c r="O186" s="432"/>
      <c r="P186" s="432"/>
    </row>
    <row r="187" spans="1:17" s="758" customFormat="1">
      <c r="A187" s="757"/>
      <c r="C187" s="419"/>
      <c r="D187" s="419"/>
      <c r="E187" s="419"/>
      <c r="F187" s="419"/>
      <c r="G187" s="419"/>
      <c r="H187" s="419"/>
      <c r="I187" s="419"/>
      <c r="J187" s="419"/>
      <c r="K187" s="419"/>
      <c r="L187" s="419"/>
      <c r="M187" s="419"/>
      <c r="N187" s="419"/>
      <c r="O187" s="419"/>
      <c r="P187" s="419"/>
    </row>
    <row r="188" spans="1:17" s="758" customFormat="1">
      <c r="A188" s="760"/>
      <c r="B188" s="413"/>
    </row>
    <row r="189" spans="1:17" s="758" customFormat="1">
      <c r="A189" s="757"/>
      <c r="C189" s="419"/>
      <c r="D189" s="419"/>
      <c r="E189" s="419"/>
      <c r="F189" s="419"/>
      <c r="G189" s="419"/>
      <c r="H189" s="419"/>
      <c r="I189" s="419"/>
      <c r="J189" s="419"/>
      <c r="K189" s="419"/>
      <c r="L189" s="419"/>
      <c r="M189" s="419"/>
      <c r="N189" s="419"/>
      <c r="O189" s="419"/>
      <c r="P189" s="419"/>
    </row>
    <row r="190" spans="1:17" s="758" customFormat="1">
      <c r="A190" s="757"/>
      <c r="B190" s="756"/>
      <c r="C190" s="762"/>
      <c r="D190" s="762"/>
      <c r="E190" s="762"/>
      <c r="F190" s="762"/>
      <c r="G190" s="762"/>
      <c r="H190" s="762"/>
      <c r="I190" s="762"/>
      <c r="J190" s="762"/>
      <c r="K190" s="762"/>
      <c r="L190" s="762"/>
      <c r="M190" s="762"/>
      <c r="N190" s="762"/>
      <c r="O190" s="762"/>
      <c r="P190" s="762"/>
    </row>
    <row r="191" spans="1:17" s="758" customFormat="1">
      <c r="A191" s="757"/>
    </row>
    <row r="192" spans="1:17" s="758" customFormat="1">
      <c r="A192" s="756"/>
      <c r="C192" s="419"/>
      <c r="D192" s="419"/>
      <c r="E192" s="419"/>
      <c r="F192" s="419"/>
      <c r="G192" s="419"/>
      <c r="H192" s="419"/>
      <c r="I192" s="419"/>
      <c r="J192" s="419"/>
      <c r="K192" s="419"/>
      <c r="L192" s="419"/>
      <c r="M192" s="419"/>
      <c r="N192" s="419"/>
      <c r="O192" s="419"/>
      <c r="P192" s="419"/>
    </row>
    <row r="193" spans="1:17" s="758" customFormat="1">
      <c r="A193" s="756"/>
      <c r="B193" s="756"/>
      <c r="C193" s="762"/>
      <c r="D193" s="762"/>
      <c r="E193" s="762"/>
      <c r="F193" s="762"/>
      <c r="G193" s="762"/>
      <c r="H193" s="762"/>
      <c r="I193" s="762"/>
      <c r="J193" s="762"/>
      <c r="K193" s="762"/>
      <c r="L193" s="762"/>
      <c r="M193" s="762"/>
      <c r="N193" s="762"/>
      <c r="O193" s="762"/>
      <c r="P193" s="762"/>
      <c r="Q193" s="762"/>
    </row>
    <row r="194" spans="1:17" s="758" customFormat="1">
      <c r="A194" s="757"/>
      <c r="Q194" s="762"/>
    </row>
    <row r="195" spans="1:17" s="758" customFormat="1">
      <c r="A195" s="756"/>
      <c r="C195" s="419"/>
      <c r="D195" s="419"/>
      <c r="E195" s="419"/>
      <c r="F195" s="419"/>
      <c r="G195" s="419"/>
      <c r="H195" s="419"/>
      <c r="I195" s="419"/>
      <c r="J195" s="419"/>
      <c r="K195" s="419"/>
      <c r="L195" s="419"/>
      <c r="M195" s="419"/>
      <c r="N195" s="419"/>
      <c r="O195" s="419"/>
      <c r="P195" s="419"/>
      <c r="Q195" s="419"/>
    </row>
    <row r="196" spans="1:17" s="758" customFormat="1">
      <c r="A196" s="756"/>
      <c r="B196" s="756"/>
      <c r="C196" s="762"/>
      <c r="D196" s="762"/>
      <c r="E196" s="762"/>
      <c r="F196" s="762"/>
      <c r="G196" s="762"/>
      <c r="H196" s="762"/>
      <c r="I196" s="762"/>
      <c r="J196" s="762"/>
      <c r="K196" s="762"/>
      <c r="L196" s="762"/>
      <c r="M196" s="762"/>
      <c r="N196" s="762"/>
      <c r="O196" s="762"/>
      <c r="P196" s="762"/>
      <c r="Q196" s="419"/>
    </row>
    <row r="197" spans="1:17" s="758" customFormat="1">
      <c r="A197" s="757"/>
    </row>
    <row r="198" spans="1:17" s="758" customFormat="1">
      <c r="A198" s="757"/>
      <c r="C198" s="419"/>
      <c r="D198" s="419"/>
      <c r="E198" s="419"/>
      <c r="F198" s="419"/>
      <c r="G198" s="419"/>
      <c r="H198" s="419"/>
      <c r="I198" s="419"/>
      <c r="J198" s="419"/>
      <c r="K198" s="419"/>
      <c r="L198" s="419"/>
      <c r="M198" s="419"/>
      <c r="N198" s="419"/>
      <c r="O198" s="419"/>
      <c r="P198" s="419"/>
    </row>
    <row r="199" spans="1:17" s="758" customFormat="1">
      <c r="A199" s="786"/>
      <c r="B199" s="786"/>
      <c r="C199" s="762"/>
      <c r="D199" s="762"/>
      <c r="E199" s="762"/>
      <c r="F199" s="762"/>
      <c r="G199" s="762"/>
      <c r="H199" s="762"/>
      <c r="I199" s="762"/>
      <c r="J199" s="762"/>
      <c r="K199" s="762"/>
      <c r="L199" s="762"/>
      <c r="M199" s="762"/>
      <c r="N199" s="762"/>
      <c r="O199" s="762"/>
      <c r="P199" s="762"/>
    </row>
    <row r="200" spans="1:17" s="758" customFormat="1">
      <c r="A200" s="757"/>
    </row>
    <row r="201" spans="1:17" s="758" customFormat="1">
      <c r="A201" s="757"/>
      <c r="C201" s="762"/>
      <c r="D201" s="762"/>
      <c r="E201" s="762"/>
      <c r="F201" s="762"/>
      <c r="G201" s="762"/>
      <c r="H201" s="762"/>
      <c r="I201" s="762"/>
      <c r="J201" s="762"/>
      <c r="K201" s="762"/>
      <c r="L201" s="762"/>
      <c r="M201" s="762"/>
      <c r="N201" s="762"/>
      <c r="O201" s="762"/>
      <c r="P201" s="762"/>
    </row>
    <row r="202" spans="1:17" s="758" customFormat="1">
      <c r="A202" s="757"/>
      <c r="C202" s="787"/>
      <c r="D202" s="787"/>
      <c r="E202" s="787"/>
      <c r="F202" s="787"/>
      <c r="G202" s="787"/>
      <c r="H202" s="787"/>
      <c r="I202" s="787"/>
      <c r="J202" s="787"/>
      <c r="K202" s="787"/>
      <c r="L202" s="787"/>
      <c r="M202" s="787"/>
      <c r="N202" s="787"/>
      <c r="O202" s="787"/>
    </row>
    <row r="203" spans="1:17" s="758" customFormat="1">
      <c r="A203" s="757"/>
      <c r="B203" s="413"/>
      <c r="C203" s="787"/>
      <c r="D203" s="787"/>
      <c r="E203" s="787"/>
      <c r="F203" s="787"/>
      <c r="G203" s="787"/>
      <c r="H203" s="787"/>
      <c r="I203" s="787"/>
      <c r="J203" s="787"/>
      <c r="K203" s="787"/>
      <c r="L203" s="787"/>
      <c r="M203" s="787"/>
      <c r="N203" s="787"/>
      <c r="O203" s="787"/>
    </row>
    <row r="204" spans="1:17" s="758" customFormat="1">
      <c r="A204" s="788"/>
      <c r="B204" s="789"/>
      <c r="C204" s="787"/>
      <c r="D204" s="787"/>
      <c r="E204" s="787"/>
      <c r="F204" s="787"/>
      <c r="G204" s="787"/>
      <c r="H204" s="787"/>
      <c r="I204" s="787"/>
      <c r="J204" s="787"/>
      <c r="K204" s="787"/>
      <c r="L204" s="787"/>
      <c r="M204" s="787"/>
      <c r="N204" s="787"/>
      <c r="O204" s="787"/>
    </row>
    <row r="205" spans="1:17" s="758" customFormat="1">
      <c r="A205" s="786"/>
      <c r="B205" s="786"/>
      <c r="C205" s="787"/>
      <c r="D205" s="790"/>
      <c r="E205" s="787"/>
      <c r="F205" s="787"/>
      <c r="G205" s="787"/>
      <c r="H205" s="787"/>
      <c r="I205" s="787"/>
      <c r="J205" s="787"/>
      <c r="K205" s="787"/>
      <c r="L205" s="787"/>
      <c r="M205" s="787"/>
      <c r="N205" s="787"/>
      <c r="O205" s="787"/>
      <c r="Q205" s="419"/>
    </row>
    <row r="206" spans="1:17" s="758" customFormat="1">
      <c r="A206" s="756"/>
      <c r="B206" s="756"/>
      <c r="C206" s="787"/>
      <c r="D206" s="787"/>
      <c r="E206" s="787"/>
      <c r="F206" s="787"/>
      <c r="G206" s="787"/>
      <c r="H206" s="787"/>
      <c r="I206" s="787"/>
      <c r="J206" s="787"/>
      <c r="K206" s="787"/>
      <c r="L206" s="787"/>
      <c r="M206" s="787"/>
      <c r="N206" s="787"/>
      <c r="O206" s="787"/>
      <c r="Q206" s="762"/>
    </row>
    <row r="207" spans="1:17" s="758" customFormat="1">
      <c r="A207" s="757"/>
      <c r="C207" s="787"/>
      <c r="D207" s="787"/>
      <c r="E207" s="787"/>
      <c r="F207" s="787"/>
      <c r="G207" s="787"/>
      <c r="H207" s="787"/>
      <c r="I207" s="787"/>
      <c r="J207" s="787"/>
      <c r="K207" s="787"/>
      <c r="L207" s="787"/>
      <c r="M207" s="787"/>
      <c r="N207" s="787"/>
      <c r="O207" s="787"/>
      <c r="Q207" s="762"/>
    </row>
    <row r="208" spans="1:17" s="758" customFormat="1">
      <c r="A208" s="757"/>
      <c r="C208" s="419"/>
      <c r="D208" s="419"/>
      <c r="E208" s="419"/>
      <c r="F208" s="419"/>
      <c r="G208" s="419"/>
      <c r="H208" s="419"/>
      <c r="I208" s="419"/>
      <c r="J208" s="419"/>
      <c r="K208" s="419"/>
      <c r="L208" s="419"/>
      <c r="M208" s="419"/>
      <c r="N208" s="419"/>
      <c r="O208" s="419"/>
      <c r="P208" s="419"/>
    </row>
    <row r="209" spans="1:17" s="758" customFormat="1">
      <c r="A209" s="757"/>
      <c r="C209" s="419"/>
      <c r="D209" s="419"/>
      <c r="E209" s="419"/>
      <c r="F209" s="419"/>
      <c r="G209" s="419"/>
      <c r="H209" s="419"/>
      <c r="I209" s="419"/>
      <c r="J209" s="419"/>
      <c r="K209" s="419"/>
      <c r="L209" s="419"/>
      <c r="M209" s="419"/>
      <c r="N209" s="419"/>
      <c r="O209" s="419"/>
      <c r="P209" s="419"/>
      <c r="Q209" s="419"/>
    </row>
    <row r="210" spans="1:17" s="758" customFormat="1">
      <c r="A210" s="756"/>
      <c r="C210" s="419"/>
      <c r="D210" s="419"/>
      <c r="E210" s="419"/>
      <c r="F210" s="419"/>
      <c r="G210" s="419"/>
      <c r="H210" s="419"/>
      <c r="I210" s="419"/>
      <c r="J210" s="419"/>
      <c r="K210" s="419"/>
      <c r="L210" s="419"/>
      <c r="M210" s="419"/>
      <c r="N210" s="419"/>
      <c r="O210" s="419"/>
      <c r="P210" s="419"/>
      <c r="Q210" s="419"/>
    </row>
    <row r="211" spans="1:17" s="758" customFormat="1">
      <c r="A211" s="757"/>
      <c r="C211" s="419"/>
      <c r="D211" s="419"/>
      <c r="E211" s="419"/>
      <c r="F211" s="419"/>
      <c r="G211" s="419"/>
      <c r="H211" s="419"/>
      <c r="I211" s="419"/>
      <c r="J211" s="419"/>
      <c r="K211" s="419"/>
      <c r="L211" s="419"/>
      <c r="M211" s="419"/>
      <c r="N211" s="419"/>
      <c r="O211" s="419"/>
      <c r="P211" s="419"/>
      <c r="Q211" s="419"/>
    </row>
    <row r="212" spans="1:17" s="758" customFormat="1">
      <c r="A212" s="757"/>
      <c r="Q212" s="419"/>
    </row>
    <row r="213" spans="1:17" s="758" customFormat="1">
      <c r="A213" s="756"/>
      <c r="B213" s="756"/>
      <c r="C213" s="419"/>
      <c r="D213" s="419"/>
      <c r="E213" s="419"/>
      <c r="F213" s="419"/>
      <c r="G213" s="419"/>
      <c r="H213" s="419"/>
      <c r="I213" s="419"/>
      <c r="J213" s="419"/>
      <c r="K213" s="419"/>
      <c r="L213" s="419"/>
      <c r="M213" s="419"/>
      <c r="N213" s="419"/>
      <c r="O213" s="419"/>
      <c r="P213" s="419"/>
      <c r="Q213" s="419"/>
    </row>
    <row r="214" spans="1:17" s="758" customFormat="1">
      <c r="A214" s="756"/>
      <c r="B214" s="756"/>
      <c r="C214" s="419"/>
      <c r="D214" s="419"/>
      <c r="E214" s="419"/>
      <c r="F214" s="419"/>
      <c r="G214" s="419"/>
      <c r="H214" s="419"/>
      <c r="I214" s="419"/>
      <c r="J214" s="419"/>
      <c r="K214" s="419"/>
      <c r="L214" s="419"/>
      <c r="M214" s="419"/>
      <c r="N214" s="419"/>
      <c r="O214" s="419"/>
      <c r="P214" s="419"/>
      <c r="Q214" s="419"/>
    </row>
    <row r="215" spans="1:17" s="758" customFormat="1">
      <c r="A215" s="756"/>
      <c r="B215" s="756"/>
      <c r="C215" s="419"/>
      <c r="D215" s="419"/>
      <c r="E215" s="419"/>
      <c r="F215" s="419"/>
      <c r="G215" s="419"/>
      <c r="H215" s="419"/>
      <c r="I215" s="419"/>
      <c r="J215" s="419"/>
      <c r="K215" s="419"/>
      <c r="L215" s="419"/>
      <c r="M215" s="419"/>
      <c r="N215" s="419"/>
      <c r="O215" s="419"/>
      <c r="P215" s="419"/>
      <c r="Q215" s="419"/>
    </row>
    <row r="216" spans="1:17" s="758" customFormat="1">
      <c r="A216" s="756"/>
      <c r="B216" s="756"/>
      <c r="C216" s="419"/>
      <c r="D216" s="419"/>
      <c r="E216" s="419"/>
      <c r="F216" s="419"/>
      <c r="G216" s="419"/>
      <c r="H216" s="419"/>
      <c r="I216" s="419"/>
      <c r="J216" s="419"/>
      <c r="K216" s="419"/>
      <c r="L216" s="419"/>
      <c r="M216" s="419"/>
      <c r="N216" s="419"/>
      <c r="O216" s="419"/>
      <c r="P216" s="419"/>
      <c r="Q216" s="419"/>
    </row>
    <row r="217" spans="1:17" s="758" customFormat="1">
      <c r="A217" s="757"/>
      <c r="Q217" s="419"/>
    </row>
    <row r="218" spans="1:17" s="758" customFormat="1">
      <c r="A218" s="756"/>
      <c r="B218" s="756"/>
      <c r="C218" s="419"/>
      <c r="D218" s="419"/>
      <c r="E218" s="419"/>
      <c r="F218" s="419"/>
      <c r="G218" s="419"/>
      <c r="H218" s="419"/>
      <c r="I218" s="419"/>
      <c r="J218" s="419"/>
      <c r="K218" s="419"/>
      <c r="L218" s="419"/>
      <c r="M218" s="419"/>
      <c r="N218" s="419"/>
      <c r="O218" s="419"/>
      <c r="P218" s="419"/>
      <c r="Q218" s="419"/>
    </row>
    <row r="219" spans="1:17" s="758" customFormat="1">
      <c r="A219" s="756"/>
      <c r="B219" s="756"/>
      <c r="C219" s="419"/>
      <c r="D219" s="419"/>
      <c r="E219" s="419"/>
      <c r="F219" s="419"/>
      <c r="G219" s="419"/>
      <c r="H219" s="419"/>
      <c r="I219" s="419"/>
      <c r="J219" s="419"/>
      <c r="K219" s="419"/>
      <c r="L219" s="419"/>
      <c r="M219" s="419"/>
      <c r="N219" s="419"/>
      <c r="O219" s="419"/>
      <c r="P219" s="419"/>
      <c r="Q219" s="419"/>
    </row>
    <row r="220" spans="1:17" s="758" customFormat="1">
      <c r="A220" s="756"/>
      <c r="B220" s="756"/>
      <c r="C220" s="419"/>
      <c r="D220" s="419"/>
      <c r="E220" s="419"/>
      <c r="F220" s="419"/>
      <c r="G220" s="419"/>
      <c r="H220" s="419"/>
      <c r="I220" s="419"/>
      <c r="J220" s="419"/>
      <c r="K220" s="419"/>
      <c r="L220" s="419"/>
      <c r="M220" s="419"/>
      <c r="N220" s="419"/>
      <c r="O220" s="419"/>
      <c r="P220" s="419"/>
      <c r="Q220" s="419"/>
    </row>
    <row r="221" spans="1:17" s="758" customFormat="1">
      <c r="A221" s="756"/>
      <c r="B221" s="756"/>
      <c r="C221" s="419"/>
      <c r="D221" s="419"/>
      <c r="E221" s="419"/>
      <c r="F221" s="419"/>
      <c r="G221" s="419"/>
      <c r="H221" s="419"/>
      <c r="I221" s="419"/>
      <c r="J221" s="419"/>
      <c r="K221" s="419"/>
      <c r="L221" s="419"/>
      <c r="M221" s="419"/>
      <c r="N221" s="419"/>
      <c r="O221" s="419"/>
      <c r="P221" s="419"/>
      <c r="Q221" s="419"/>
    </row>
    <row r="222" spans="1:17" s="758" customFormat="1">
      <c r="A222" s="756"/>
      <c r="B222" s="756"/>
      <c r="C222" s="419"/>
      <c r="D222" s="419"/>
      <c r="E222" s="419"/>
      <c r="F222" s="419"/>
      <c r="G222" s="419"/>
      <c r="H222" s="419"/>
      <c r="I222" s="419"/>
      <c r="J222" s="419"/>
      <c r="K222" s="419"/>
      <c r="L222" s="419"/>
      <c r="M222" s="419"/>
      <c r="N222" s="419"/>
      <c r="O222" s="419"/>
      <c r="P222" s="419"/>
      <c r="Q222" s="419"/>
    </row>
    <row r="223" spans="1:17" s="758" customFormat="1">
      <c r="A223" s="757"/>
      <c r="Q223" s="419"/>
    </row>
    <row r="224" spans="1:17" s="758" customFormat="1">
      <c r="A224" s="760"/>
      <c r="Q224" s="419"/>
    </row>
    <row r="225" spans="1:19" s="758" customFormat="1">
      <c r="A225" s="760"/>
      <c r="Q225" s="419"/>
    </row>
    <row r="226" spans="1:19" s="758" customFormat="1">
      <c r="A226" s="757"/>
      <c r="B226" s="756"/>
      <c r="D226" s="419"/>
      <c r="E226" s="419"/>
      <c r="F226" s="419"/>
      <c r="G226" s="419"/>
      <c r="H226" s="419"/>
      <c r="I226" s="419"/>
      <c r="J226" s="419"/>
      <c r="K226" s="419"/>
      <c r="L226" s="419"/>
      <c r="M226" s="419"/>
      <c r="N226" s="419"/>
      <c r="O226" s="419"/>
      <c r="P226" s="419"/>
      <c r="Q226" s="419"/>
    </row>
    <row r="227" spans="1:19" s="758" customFormat="1">
      <c r="A227" s="757"/>
      <c r="D227" s="419"/>
      <c r="E227" s="419"/>
      <c r="F227" s="419"/>
      <c r="G227" s="419"/>
      <c r="H227" s="419"/>
      <c r="I227" s="419"/>
      <c r="J227" s="419"/>
      <c r="K227" s="419"/>
      <c r="L227" s="419"/>
      <c r="M227" s="419"/>
      <c r="N227" s="419"/>
      <c r="O227" s="419"/>
      <c r="P227" s="419"/>
    </row>
    <row r="228" spans="1:19" s="758" customFormat="1">
      <c r="A228" s="757"/>
      <c r="D228" s="419"/>
      <c r="E228" s="419"/>
      <c r="F228" s="419"/>
      <c r="G228" s="419"/>
      <c r="H228" s="419"/>
      <c r="I228" s="419"/>
      <c r="J228" s="419"/>
      <c r="K228" s="419"/>
      <c r="L228" s="419"/>
      <c r="M228" s="419"/>
      <c r="N228" s="419"/>
      <c r="O228" s="419"/>
      <c r="P228" s="419"/>
    </row>
    <row r="229" spans="1:19" s="758" customFormat="1">
      <c r="A229" s="757"/>
    </row>
    <row r="230" spans="1:19" s="758" customFormat="1">
      <c r="A230" s="757"/>
      <c r="D230" s="791"/>
      <c r="E230" s="791"/>
      <c r="F230" s="791"/>
      <c r="G230" s="791"/>
      <c r="H230" s="791"/>
      <c r="I230" s="791"/>
      <c r="J230" s="791"/>
      <c r="K230" s="791"/>
      <c r="L230" s="791"/>
      <c r="M230" s="791"/>
      <c r="N230" s="791"/>
      <c r="O230" s="791"/>
    </row>
    <row r="231" spans="1:19" s="758" customFormat="1">
      <c r="A231" s="757"/>
      <c r="D231" s="791"/>
      <c r="E231" s="791"/>
      <c r="F231" s="791"/>
      <c r="G231" s="791"/>
      <c r="H231" s="791"/>
      <c r="I231" s="791"/>
      <c r="J231" s="791"/>
      <c r="K231" s="791"/>
      <c r="L231" s="791"/>
      <c r="M231" s="791"/>
      <c r="N231" s="791"/>
      <c r="O231" s="791"/>
      <c r="P231" s="791"/>
    </row>
    <row r="232" spans="1:19" s="758" customFormat="1">
      <c r="A232" s="757"/>
      <c r="P232" s="787"/>
    </row>
    <row r="233" spans="1:19" s="758" customFormat="1">
      <c r="A233" s="757"/>
      <c r="P233" s="768"/>
    </row>
    <row r="234" spans="1:19" s="758" customFormat="1">
      <c r="A234" s="757"/>
      <c r="P234" s="768"/>
    </row>
    <row r="235" spans="1:19" s="758" customFormat="1">
      <c r="A235" s="757"/>
      <c r="P235" s="787"/>
    </row>
    <row r="236" spans="1:19" s="758" customFormat="1">
      <c r="A236" s="760"/>
    </row>
    <row r="237" spans="1:19" s="758" customFormat="1">
      <c r="A237" s="757"/>
      <c r="B237" s="756"/>
      <c r="D237" s="419"/>
      <c r="E237" s="419"/>
      <c r="F237" s="419"/>
      <c r="G237" s="419"/>
      <c r="H237" s="419"/>
      <c r="I237" s="419"/>
      <c r="J237" s="419"/>
      <c r="K237" s="419"/>
      <c r="L237" s="419"/>
      <c r="M237" s="419"/>
      <c r="N237" s="419"/>
      <c r="O237" s="419"/>
      <c r="P237" s="419"/>
    </row>
    <row r="238" spans="1:19" s="758" customFormat="1">
      <c r="A238" s="757"/>
      <c r="D238" s="791"/>
      <c r="E238" s="791"/>
      <c r="F238" s="791"/>
      <c r="G238" s="791"/>
      <c r="H238" s="791"/>
      <c r="I238" s="791"/>
      <c r="J238" s="791"/>
      <c r="K238" s="791"/>
      <c r="L238" s="791"/>
      <c r="M238" s="791"/>
      <c r="N238" s="791"/>
      <c r="O238" s="791"/>
    </row>
    <row r="239" spans="1:19" s="758" customFormat="1">
      <c r="A239" s="792"/>
      <c r="B239" s="793"/>
      <c r="C239" s="793"/>
      <c r="D239" s="793"/>
      <c r="E239" s="793"/>
      <c r="F239" s="793"/>
      <c r="G239" s="793"/>
      <c r="H239" s="793"/>
      <c r="I239" s="793"/>
      <c r="J239" s="793"/>
      <c r="K239" s="793"/>
      <c r="L239" s="793"/>
      <c r="M239" s="793"/>
      <c r="N239" s="793"/>
      <c r="O239" s="793"/>
      <c r="P239" s="793"/>
    </row>
    <row r="240" spans="1:19" s="758" customFormat="1">
      <c r="A240" s="757"/>
      <c r="P240" s="787"/>
      <c r="Q240" s="793"/>
      <c r="R240" s="793"/>
      <c r="S240" s="793"/>
    </row>
    <row r="241" spans="1:19" s="793" customFormat="1">
      <c r="A241" s="757"/>
      <c r="B241" s="758"/>
      <c r="C241" s="758"/>
      <c r="D241" s="758"/>
      <c r="E241" s="758"/>
      <c r="F241" s="758"/>
      <c r="G241" s="758"/>
      <c r="H241" s="758"/>
      <c r="I241" s="758"/>
      <c r="J241" s="758"/>
      <c r="K241" s="758"/>
      <c r="L241" s="758"/>
      <c r="M241" s="758"/>
      <c r="N241" s="758"/>
      <c r="O241" s="758"/>
      <c r="P241" s="768"/>
      <c r="Q241" s="758"/>
      <c r="R241" s="758"/>
      <c r="S241" s="758"/>
    </row>
    <row r="242" spans="1:19" s="758" customFormat="1">
      <c r="A242" s="757"/>
      <c r="P242" s="768"/>
    </row>
    <row r="243" spans="1:19" s="758" customFormat="1">
      <c r="A243" s="757"/>
    </row>
    <row r="244" spans="1:19" s="758" customFormat="1">
      <c r="A244" s="757"/>
      <c r="P244" s="787"/>
    </row>
    <row r="245" spans="1:19" s="758" customFormat="1">
      <c r="A245" s="757"/>
    </row>
    <row r="246" spans="1:19" s="758" customFormat="1">
      <c r="A246" s="757"/>
    </row>
    <row r="247" spans="1:19" s="758" customFormat="1">
      <c r="A247" s="757"/>
      <c r="D247" s="773"/>
      <c r="E247" s="773"/>
      <c r="F247" s="773"/>
      <c r="G247" s="773"/>
      <c r="H247" s="773"/>
      <c r="I247" s="773"/>
      <c r="J247" s="773"/>
      <c r="K247" s="773"/>
      <c r="L247" s="773"/>
      <c r="M247" s="773"/>
      <c r="N247" s="773"/>
      <c r="O247" s="773"/>
    </row>
    <row r="248" spans="1:19" s="758" customFormat="1">
      <c r="A248" s="757"/>
    </row>
    <row r="249" spans="1:19" s="758" customFormat="1">
      <c r="A249" s="757"/>
    </row>
    <row r="250" spans="1:19" s="758" customFormat="1">
      <c r="A250" s="757"/>
    </row>
    <row r="251" spans="1:19" s="758" customFormat="1">
      <c r="A251" s="757"/>
    </row>
    <row r="252" spans="1:19" s="758" customFormat="1">
      <c r="A252" s="757"/>
      <c r="B252" s="757"/>
      <c r="C252" s="757"/>
      <c r="D252" s="757"/>
      <c r="E252" s="757"/>
      <c r="F252" s="757"/>
      <c r="G252" s="757"/>
      <c r="H252" s="757"/>
      <c r="I252" s="757"/>
      <c r="J252" s="757"/>
      <c r="K252" s="757"/>
      <c r="L252" s="757"/>
      <c r="M252" s="757"/>
      <c r="N252" s="757"/>
      <c r="O252" s="757"/>
    </row>
    <row r="253" spans="1:19" s="758" customFormat="1">
      <c r="A253" s="757"/>
      <c r="B253" s="757"/>
      <c r="C253" s="757"/>
      <c r="D253" s="757"/>
      <c r="E253" s="757"/>
      <c r="F253" s="757"/>
      <c r="G253" s="757"/>
      <c r="H253" s="757"/>
      <c r="I253" s="757"/>
      <c r="J253" s="757"/>
      <c r="K253" s="757"/>
      <c r="L253" s="757"/>
      <c r="M253" s="757"/>
      <c r="N253" s="757"/>
      <c r="O253" s="757"/>
    </row>
    <row r="254" spans="1:19" s="758" customFormat="1">
      <c r="A254" s="757"/>
    </row>
  </sheetData>
  <mergeCells count="3">
    <mergeCell ref="D3:P3"/>
    <mergeCell ref="A5:B5"/>
    <mergeCell ref="A6:B6"/>
  </mergeCells>
  <conditionalFormatting sqref="D198:O198">
    <cfRule type="cellIs" dxfId="9" priority="1" stopIfTrue="1" operator="lessThan">
      <formula>0</formula>
    </cfRule>
  </conditionalFormatting>
  <pageMargins left="0.2" right="0.2" top="0.34" bottom="0.5" header="0.17" footer="0.5"/>
  <pageSetup scale="63" orientation="landscape" horizontalDpi="1200" verticalDpi="1200" r:id="rId1"/>
  <headerFooter alignWithMargins="0"/>
  <rowBreaks count="3" manualBreakCount="3">
    <brk id="83" max="15" man="1"/>
    <brk id="155" max="15" man="1"/>
    <brk id="223"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T23"/>
  <sheetViews>
    <sheetView workbookViewId="0">
      <pane xSplit="2" ySplit="5" topLeftCell="C6" activePane="bottomRight" state="frozen"/>
      <selection pane="topRight" activeCell="C1" sqref="C1"/>
      <selection pane="bottomLeft" activeCell="A6" sqref="A6"/>
      <selection pane="bottomRight" activeCell="BK10" sqref="BK10:BO10"/>
    </sheetView>
  </sheetViews>
  <sheetFormatPr defaultRowHeight="11.25" outlineLevelCol="1"/>
  <cols>
    <col min="1" max="1" width="9.33203125" style="433"/>
    <col min="2" max="2" width="16.83203125" style="433" customWidth="1"/>
    <col min="3" max="3" width="10.6640625" style="433" bestFit="1" customWidth="1"/>
    <col min="4" max="4" width="10.5" style="433" customWidth="1"/>
    <col min="5" max="6" width="9.33203125" style="433" hidden="1" customWidth="1" outlineLevel="1"/>
    <col min="7" max="7" width="3.33203125" style="433" customWidth="1" collapsed="1"/>
    <col min="8" max="9" width="10.6640625" style="433" bestFit="1" customWidth="1"/>
    <col min="10" max="11" width="0" style="433" hidden="1" customWidth="1" outlineLevel="1"/>
    <col min="12" max="12" width="7.83203125" style="891" customWidth="1" collapsed="1"/>
    <col min="13" max="15" width="10" style="433" bestFit="1" customWidth="1"/>
    <col min="16" max="16" width="0" style="433" hidden="1" customWidth="1" outlineLevel="1"/>
    <col min="17" max="17" width="5" style="433" customWidth="1" collapsed="1"/>
    <col min="18" max="20" width="10" style="433" bestFit="1" customWidth="1"/>
    <col min="21" max="21" width="0" style="433" hidden="1" customWidth="1" outlineLevel="1"/>
    <col min="22" max="22" width="9.33203125" style="891" collapsed="1"/>
    <col min="23" max="23" width="10.6640625" style="433" customWidth="1"/>
    <col min="24" max="26" width="0" style="433" hidden="1" customWidth="1" outlineLevel="1"/>
    <col min="27" max="27" width="4.83203125" style="433" customWidth="1" collapsed="1"/>
    <col min="28" max="28" width="11.1640625" style="433" customWidth="1"/>
    <col min="29" max="31" width="0" style="433" hidden="1" customWidth="1" outlineLevel="1"/>
    <col min="32" max="32" width="9.33203125" style="891" collapsed="1"/>
    <col min="33" max="35" width="10" style="433" bestFit="1" customWidth="1"/>
    <col min="36" max="36" width="0" style="433" hidden="1" customWidth="1" outlineLevel="1"/>
    <col min="37" max="37" width="5.1640625" style="433" customWidth="1" collapsed="1"/>
    <col min="38" max="40" width="10" style="433" bestFit="1" customWidth="1"/>
    <col min="41" max="41" width="0" style="433" hidden="1" customWidth="1" outlineLevel="1"/>
    <col min="42" max="42" width="9.33203125" style="891" collapsed="1"/>
    <col min="43" max="45" width="10" style="433" bestFit="1" customWidth="1"/>
    <col min="46" max="46" width="10.1640625" style="433" customWidth="1"/>
    <col min="47" max="47" width="4.83203125" style="433" customWidth="1"/>
    <col min="48" max="50" width="10" style="433" bestFit="1" customWidth="1"/>
    <col min="51" max="51" width="10.5" style="433" customWidth="1"/>
    <col min="52" max="52" width="9.33203125" style="891"/>
    <col min="53" max="53" width="10" style="433" bestFit="1" customWidth="1"/>
    <col min="54" max="56" width="0" style="433" hidden="1" customWidth="1" outlineLevel="1"/>
    <col min="57" max="57" width="4.83203125" style="433" customWidth="1" collapsed="1"/>
    <col min="58" max="58" width="10" style="433" bestFit="1" customWidth="1"/>
    <col min="59" max="61" width="0" style="433" hidden="1" customWidth="1" outlineLevel="1"/>
    <col min="62" max="62" width="9.33203125" style="891" collapsed="1"/>
    <col min="63" max="71" width="10" style="433" bestFit="1" customWidth="1"/>
    <col min="72" max="16384" width="9.33203125" style="433"/>
  </cols>
  <sheetData>
    <row r="2" spans="1:72">
      <c r="G2" s="433" t="s">
        <v>231</v>
      </c>
      <c r="Q2" s="433" t="s">
        <v>316</v>
      </c>
      <c r="AA2" s="433" t="s">
        <v>143</v>
      </c>
      <c r="AK2" s="433" t="s">
        <v>335</v>
      </c>
      <c r="AU2" s="433" t="s">
        <v>401</v>
      </c>
      <c r="BE2" s="433" t="s">
        <v>402</v>
      </c>
      <c r="BO2" s="433" t="s">
        <v>403</v>
      </c>
    </row>
    <row r="4" spans="1:72">
      <c r="D4" s="433" t="s">
        <v>137</v>
      </c>
      <c r="I4" s="433" t="s">
        <v>134</v>
      </c>
      <c r="N4" s="433" t="s">
        <v>137</v>
      </c>
      <c r="S4" s="433" t="s">
        <v>134</v>
      </c>
      <c r="X4" s="433" t="s">
        <v>137</v>
      </c>
      <c r="AC4" s="433" t="s">
        <v>134</v>
      </c>
      <c r="AH4" s="433" t="s">
        <v>137</v>
      </c>
      <c r="AM4" s="433" t="s">
        <v>134</v>
      </c>
      <c r="AR4" s="433" t="s">
        <v>137</v>
      </c>
      <c r="AW4" s="433" t="s">
        <v>134</v>
      </c>
      <c r="BB4" s="433" t="s">
        <v>137</v>
      </c>
      <c r="BG4" s="433" t="s">
        <v>134</v>
      </c>
      <c r="BL4" s="433" t="s">
        <v>137</v>
      </c>
      <c r="BQ4" s="433" t="s">
        <v>134</v>
      </c>
    </row>
    <row r="5" spans="1:72">
      <c r="C5" t="s">
        <v>618</v>
      </c>
      <c r="D5" t="s">
        <v>619</v>
      </c>
      <c r="E5" t="s">
        <v>620</v>
      </c>
      <c r="F5" t="s">
        <v>621</v>
      </c>
      <c r="H5" t="s">
        <v>618</v>
      </c>
      <c r="I5" t="s">
        <v>619</v>
      </c>
      <c r="J5" t="s">
        <v>620</v>
      </c>
      <c r="K5" t="s">
        <v>621</v>
      </c>
      <c r="M5" t="s">
        <v>618</v>
      </c>
      <c r="N5" t="s">
        <v>619</v>
      </c>
      <c r="O5" t="s">
        <v>620</v>
      </c>
      <c r="P5" t="s">
        <v>621</v>
      </c>
      <c r="R5" t="s">
        <v>618</v>
      </c>
      <c r="S5" t="s">
        <v>619</v>
      </c>
      <c r="T5" t="s">
        <v>620</v>
      </c>
      <c r="U5" t="s">
        <v>621</v>
      </c>
      <c r="W5" t="s">
        <v>618</v>
      </c>
      <c r="X5" t="s">
        <v>619</v>
      </c>
      <c r="Y5" t="s">
        <v>620</v>
      </c>
      <c r="Z5" t="s">
        <v>621</v>
      </c>
      <c r="AB5" t="s">
        <v>618</v>
      </c>
      <c r="AC5" t="s">
        <v>619</v>
      </c>
      <c r="AD5" t="s">
        <v>620</v>
      </c>
      <c r="AE5" t="s">
        <v>621</v>
      </c>
      <c r="AG5" t="s">
        <v>618</v>
      </c>
      <c r="AH5" t="s">
        <v>619</v>
      </c>
      <c r="AI5" t="s">
        <v>620</v>
      </c>
      <c r="AJ5" t="s">
        <v>621</v>
      </c>
      <c r="AL5" t="s">
        <v>618</v>
      </c>
      <c r="AM5" t="s">
        <v>619</v>
      </c>
      <c r="AN5" t="s">
        <v>620</v>
      </c>
      <c r="AO5" t="s">
        <v>621</v>
      </c>
      <c r="AQ5" t="s">
        <v>618</v>
      </c>
      <c r="AR5" t="s">
        <v>619</v>
      </c>
      <c r="AS5" t="s">
        <v>620</v>
      </c>
      <c r="AT5" t="s">
        <v>621</v>
      </c>
      <c r="AV5" t="s">
        <v>618</v>
      </c>
      <c r="AW5" t="s">
        <v>619</v>
      </c>
      <c r="AX5" t="s">
        <v>620</v>
      </c>
      <c r="AY5" t="s">
        <v>621</v>
      </c>
      <c r="BA5" t="s">
        <v>618</v>
      </c>
      <c r="BB5" t="s">
        <v>619</v>
      </c>
      <c r="BC5" t="s">
        <v>620</v>
      </c>
      <c r="BD5" t="s">
        <v>621</v>
      </c>
      <c r="BF5" t="s">
        <v>618</v>
      </c>
      <c r="BG5" t="s">
        <v>619</v>
      </c>
      <c r="BH5" t="s">
        <v>620</v>
      </c>
      <c r="BI5" t="s">
        <v>621</v>
      </c>
      <c r="BK5" t="s">
        <v>618</v>
      </c>
      <c r="BL5" t="s">
        <v>619</v>
      </c>
      <c r="BM5" t="s">
        <v>620</v>
      </c>
      <c r="BN5" t="s">
        <v>621</v>
      </c>
      <c r="BP5" t="s">
        <v>618</v>
      </c>
      <c r="BQ5" t="s">
        <v>619</v>
      </c>
      <c r="BR5" t="s">
        <v>620</v>
      </c>
      <c r="BS5" t="s">
        <v>621</v>
      </c>
    </row>
    <row r="6" spans="1:72">
      <c r="B6" s="433" t="s">
        <v>622</v>
      </c>
      <c r="C6" s="890">
        <v>1.877667</v>
      </c>
      <c r="D6" s="890">
        <v>0.69703999999999999</v>
      </c>
      <c r="E6" s="889"/>
      <c r="F6" s="889"/>
      <c r="G6" s="889"/>
      <c r="H6" s="890">
        <v>2.2293799999999999</v>
      </c>
      <c r="I6" s="890">
        <v>0.92556700000000003</v>
      </c>
      <c r="J6" s="889"/>
      <c r="K6" s="889"/>
      <c r="L6" s="892"/>
      <c r="M6" s="890">
        <v>0.65959999999999996</v>
      </c>
      <c r="N6" s="890">
        <v>0.51587000000000005</v>
      </c>
      <c r="O6" s="890">
        <v>0.44824999999999998</v>
      </c>
      <c r="P6" s="889"/>
      <c r="Q6" s="889"/>
      <c r="R6" s="890">
        <v>0.73760999999999999</v>
      </c>
      <c r="S6" s="890">
        <v>0.59009</v>
      </c>
      <c r="T6" s="890">
        <v>0.53108999999999995</v>
      </c>
      <c r="U6" s="889"/>
      <c r="V6" s="892"/>
      <c r="W6" s="890">
        <v>5.0114099999999997</v>
      </c>
      <c r="X6" s="889"/>
      <c r="Y6" s="889"/>
      <c r="Z6" s="889"/>
      <c r="AA6" s="889"/>
      <c r="AB6" s="889">
        <f>W6</f>
        <v>5.0114099999999997</v>
      </c>
      <c r="AC6" s="889"/>
      <c r="AD6" s="889"/>
      <c r="AE6" s="889"/>
      <c r="AF6" s="892"/>
      <c r="AG6" s="890">
        <v>0.23780999999999999</v>
      </c>
      <c r="AH6" s="890">
        <v>0.21878</v>
      </c>
      <c r="AI6" s="890">
        <v>0.20128499999999999</v>
      </c>
      <c r="AJ6" s="889"/>
      <c r="AK6" s="889"/>
      <c r="AL6" s="889">
        <f>AG6</f>
        <v>0.23780999999999999</v>
      </c>
      <c r="AM6" s="889">
        <f t="shared" ref="AM6:AN6" si="0">AH6</f>
        <v>0.21878</v>
      </c>
      <c r="AN6" s="889">
        <f t="shared" si="0"/>
        <v>0.20128499999999999</v>
      </c>
      <c r="AO6" s="889"/>
      <c r="AP6" s="892"/>
      <c r="AQ6" s="890">
        <v>0.20574999999999999</v>
      </c>
      <c r="AR6" s="890">
        <v>0.19081999999999999</v>
      </c>
      <c r="AS6" s="890">
        <v>0.12687999999999999</v>
      </c>
      <c r="AT6" s="890">
        <v>2.8029999999999999E-2</v>
      </c>
      <c r="AU6" s="889"/>
      <c r="AV6" s="889">
        <f>AQ6</f>
        <v>0.20574999999999999</v>
      </c>
      <c r="AW6" s="889">
        <f t="shared" ref="AW6:AY6" si="1">AR6</f>
        <v>0.19081999999999999</v>
      </c>
      <c r="AX6" s="889">
        <f t="shared" si="1"/>
        <v>0.12687999999999999</v>
      </c>
      <c r="AY6" s="889">
        <f t="shared" si="1"/>
        <v>2.8029999999999999E-2</v>
      </c>
      <c r="AZ6" s="892"/>
      <c r="BA6" s="890">
        <v>0.65141000000000004</v>
      </c>
      <c r="BB6" s="889"/>
      <c r="BC6" s="889"/>
      <c r="BD6" s="889"/>
      <c r="BE6" s="889"/>
      <c r="BF6" s="889">
        <f>BA6</f>
        <v>0.65141000000000004</v>
      </c>
      <c r="BG6" s="889"/>
      <c r="BH6" s="889"/>
      <c r="BI6" s="889"/>
      <c r="BJ6" s="892"/>
      <c r="BK6" s="890">
        <v>0.20175000000000001</v>
      </c>
      <c r="BL6" s="890">
        <v>0.15131</v>
      </c>
      <c r="BM6" s="890">
        <v>0.12105</v>
      </c>
      <c r="BN6" s="890">
        <v>4.8419999999999998E-2</v>
      </c>
      <c r="BO6" s="889"/>
      <c r="BP6" s="889">
        <f>BK6</f>
        <v>0.20175000000000001</v>
      </c>
      <c r="BQ6" s="889">
        <f t="shared" ref="BQ6:BS6" si="2">BL6</f>
        <v>0.15131</v>
      </c>
      <c r="BR6" s="889">
        <f t="shared" si="2"/>
        <v>0.12105</v>
      </c>
      <c r="BS6" s="889">
        <f t="shared" si="2"/>
        <v>4.8419999999999998E-2</v>
      </c>
      <c r="BT6" s="888"/>
    </row>
    <row r="7" spans="1:72">
      <c r="B7" s="433" t="s">
        <v>623</v>
      </c>
      <c r="C7" s="890">
        <v>-2.758E-2</v>
      </c>
      <c r="D7" s="890">
        <v>-1.0240000000000001E-2</v>
      </c>
      <c r="E7" s="889"/>
      <c r="F7" s="889"/>
      <c r="G7" s="889"/>
      <c r="H7" s="890">
        <v>-3.2739999999999998E-2</v>
      </c>
      <c r="I7" s="890">
        <v>-1.359E-2</v>
      </c>
      <c r="J7" s="889"/>
      <c r="K7" s="889"/>
      <c r="L7" s="892"/>
      <c r="M7" s="889">
        <v>0</v>
      </c>
      <c r="N7" s="889">
        <v>0</v>
      </c>
      <c r="O7" s="889">
        <v>0</v>
      </c>
      <c r="P7" s="889"/>
      <c r="Q7" s="889"/>
      <c r="R7" s="889">
        <v>0</v>
      </c>
      <c r="S7" s="889">
        <v>0</v>
      </c>
      <c r="T7" s="889">
        <v>0</v>
      </c>
      <c r="U7" s="889"/>
      <c r="V7" s="892"/>
      <c r="W7" s="889">
        <v>0</v>
      </c>
      <c r="X7" s="889"/>
      <c r="Y7" s="889"/>
      <c r="Z7" s="889"/>
      <c r="AA7" s="889"/>
      <c r="AB7" s="889">
        <v>0</v>
      </c>
      <c r="AC7" s="889"/>
      <c r="AD7" s="889"/>
      <c r="AE7" s="889"/>
      <c r="AF7" s="892"/>
      <c r="AG7" s="889">
        <v>0</v>
      </c>
      <c r="AH7" s="889">
        <v>0</v>
      </c>
      <c r="AI7" s="889">
        <v>0</v>
      </c>
      <c r="AJ7" s="889"/>
      <c r="AK7" s="889"/>
      <c r="AL7" s="889">
        <v>0</v>
      </c>
      <c r="AM7" s="889">
        <v>0</v>
      </c>
      <c r="AN7" s="889">
        <v>0</v>
      </c>
      <c r="AO7" s="889"/>
      <c r="AP7" s="892"/>
      <c r="AQ7" s="889">
        <v>0</v>
      </c>
      <c r="AR7" s="889">
        <v>0</v>
      </c>
      <c r="AS7" s="889">
        <v>0</v>
      </c>
      <c r="AT7" s="889">
        <v>0</v>
      </c>
      <c r="AU7" s="889"/>
      <c r="AV7" s="889">
        <v>0</v>
      </c>
      <c r="AW7" s="889">
        <v>0</v>
      </c>
      <c r="AX7" s="889">
        <v>0</v>
      </c>
      <c r="AY7" s="889">
        <v>0</v>
      </c>
      <c r="AZ7" s="892"/>
      <c r="BA7" s="889">
        <v>0</v>
      </c>
      <c r="BB7" s="889"/>
      <c r="BC7" s="889"/>
      <c r="BD7" s="889"/>
      <c r="BE7" s="889"/>
      <c r="BF7" s="889">
        <v>0</v>
      </c>
      <c r="BG7" s="889"/>
      <c r="BH7" s="889"/>
      <c r="BI7" s="889"/>
      <c r="BJ7" s="892"/>
      <c r="BK7" s="889">
        <v>0</v>
      </c>
      <c r="BL7" s="889">
        <v>0</v>
      </c>
      <c r="BM7" s="889">
        <v>0</v>
      </c>
      <c r="BN7" s="889">
        <v>0</v>
      </c>
      <c r="BO7" s="889"/>
      <c r="BP7" s="889">
        <v>0</v>
      </c>
      <c r="BQ7" s="889">
        <v>0</v>
      </c>
      <c r="BR7" s="889">
        <v>0</v>
      </c>
      <c r="BS7" s="889">
        <v>0</v>
      </c>
      <c r="BT7" s="888"/>
    </row>
    <row r="8" spans="1:72">
      <c r="B8" s="433" t="s">
        <v>624</v>
      </c>
      <c r="C8" s="890">
        <v>0.30742681389582727</v>
      </c>
      <c r="D8" s="889">
        <f>C8</f>
        <v>0.30742681389582727</v>
      </c>
      <c r="E8" s="889"/>
      <c r="F8" s="889"/>
      <c r="G8" s="889"/>
      <c r="H8" s="889">
        <f>C8</f>
        <v>0.30742681389582727</v>
      </c>
      <c r="I8" s="889">
        <f>D8</f>
        <v>0.30742681389582727</v>
      </c>
      <c r="J8" s="889"/>
      <c r="K8" s="889"/>
      <c r="L8" s="892"/>
      <c r="M8" s="889">
        <v>0</v>
      </c>
      <c r="N8" s="889">
        <v>0</v>
      </c>
      <c r="O8" s="889">
        <v>0</v>
      </c>
      <c r="P8" s="889"/>
      <c r="Q8" s="889"/>
      <c r="R8" s="889">
        <v>0</v>
      </c>
      <c r="S8" s="889">
        <v>0</v>
      </c>
      <c r="T8" s="889">
        <v>0</v>
      </c>
      <c r="U8" s="889"/>
      <c r="V8" s="892"/>
      <c r="W8" s="889">
        <v>0</v>
      </c>
      <c r="X8" s="889"/>
      <c r="Y8" s="889"/>
      <c r="Z8" s="889"/>
      <c r="AA8" s="889"/>
      <c r="AB8" s="889">
        <v>0</v>
      </c>
      <c r="AC8" s="889"/>
      <c r="AD8" s="889"/>
      <c r="AE8" s="889"/>
      <c r="AF8" s="892"/>
      <c r="AG8" s="889">
        <v>0</v>
      </c>
      <c r="AH8" s="889">
        <v>0</v>
      </c>
      <c r="AI8" s="889">
        <v>0</v>
      </c>
      <c r="AJ8" s="889"/>
      <c r="AK8" s="889"/>
      <c r="AL8" s="889">
        <v>0</v>
      </c>
      <c r="AM8" s="889">
        <v>0</v>
      </c>
      <c r="AN8" s="889">
        <v>0</v>
      </c>
      <c r="AO8" s="889"/>
      <c r="AP8" s="892"/>
      <c r="AQ8" s="889">
        <v>0</v>
      </c>
      <c r="AR8" s="889">
        <v>0</v>
      </c>
      <c r="AS8" s="889">
        <v>0</v>
      </c>
      <c r="AT8" s="889">
        <v>0</v>
      </c>
      <c r="AU8" s="889"/>
      <c r="AV8" s="889">
        <v>0</v>
      </c>
      <c r="AW8" s="889">
        <v>0</v>
      </c>
      <c r="AX8" s="889">
        <v>0</v>
      </c>
      <c r="AY8" s="889">
        <v>0</v>
      </c>
      <c r="AZ8" s="892"/>
      <c r="BA8" s="889">
        <v>0</v>
      </c>
      <c r="BB8" s="889"/>
      <c r="BC8" s="889"/>
      <c r="BD8" s="889"/>
      <c r="BE8" s="889"/>
      <c r="BF8" s="889">
        <v>0</v>
      </c>
      <c r="BG8" s="889"/>
      <c r="BH8" s="889"/>
      <c r="BI8" s="889"/>
      <c r="BJ8" s="892"/>
      <c r="BK8" s="889">
        <v>0</v>
      </c>
      <c r="BL8" s="889">
        <v>0</v>
      </c>
      <c r="BM8" s="889">
        <v>0</v>
      </c>
      <c r="BN8" s="889">
        <v>0</v>
      </c>
      <c r="BO8" s="889" t="s">
        <v>632</v>
      </c>
      <c r="BP8" s="889">
        <v>0</v>
      </c>
      <c r="BQ8" s="889">
        <v>0</v>
      </c>
      <c r="BR8" s="889">
        <v>0</v>
      </c>
      <c r="BS8" s="889">
        <v>0</v>
      </c>
      <c r="BT8" s="888"/>
    </row>
    <row r="9" spans="1:72">
      <c r="B9" s="433" t="s">
        <v>625</v>
      </c>
      <c r="C9" s="890">
        <v>1.4963120522073145E-2</v>
      </c>
      <c r="D9" s="889">
        <f>C9</f>
        <v>1.4963120522073145E-2</v>
      </c>
      <c r="E9" s="889"/>
      <c r="F9" s="889"/>
      <c r="G9" s="889"/>
      <c r="H9" s="889">
        <f>C9</f>
        <v>1.4963120522073145E-2</v>
      </c>
      <c r="I9" s="889">
        <f>C9</f>
        <v>1.4963120522073145E-2</v>
      </c>
      <c r="J9" s="889"/>
      <c r="K9" s="889"/>
      <c r="L9" s="892"/>
      <c r="M9" s="890">
        <v>1.4735151300378795E-2</v>
      </c>
      <c r="N9" s="889">
        <f>M9</f>
        <v>1.4735151300378795E-2</v>
      </c>
      <c r="O9" s="889">
        <f>M9</f>
        <v>1.4735151300378795E-2</v>
      </c>
      <c r="P9" s="889"/>
      <c r="Q9" s="889"/>
      <c r="R9" s="889">
        <f>M9</f>
        <v>1.4735151300378795E-2</v>
      </c>
      <c r="S9" s="889">
        <f>M9</f>
        <v>1.4735151300378795E-2</v>
      </c>
      <c r="T9" s="889">
        <f>M9</f>
        <v>1.4735151300378795E-2</v>
      </c>
      <c r="U9" s="889"/>
      <c r="V9" s="892"/>
      <c r="W9" s="890">
        <v>2.4476177892481656E-2</v>
      </c>
      <c r="X9" s="889"/>
      <c r="Y9" s="889"/>
      <c r="Z9" s="889"/>
      <c r="AA9" s="889"/>
      <c r="AB9" s="889">
        <f>W9</f>
        <v>2.4476177892481656E-2</v>
      </c>
      <c r="AC9" s="889"/>
      <c r="AD9" s="889"/>
      <c r="AE9" s="889"/>
      <c r="AF9" s="892"/>
      <c r="AG9" s="890">
        <v>7.3182798262686009E-3</v>
      </c>
      <c r="AH9" s="889">
        <f>AG9</f>
        <v>7.3182798262686009E-3</v>
      </c>
      <c r="AI9" s="889">
        <f>AG9</f>
        <v>7.3182798262686009E-3</v>
      </c>
      <c r="AJ9" s="889"/>
      <c r="AK9" s="889"/>
      <c r="AL9" s="889">
        <f>AG9</f>
        <v>7.3182798262686009E-3</v>
      </c>
      <c r="AM9" s="889">
        <f>AG9</f>
        <v>7.3182798262686009E-3</v>
      </c>
      <c r="AN9" s="889">
        <f>AG9</f>
        <v>7.3182798262686009E-3</v>
      </c>
      <c r="AO9" s="889"/>
      <c r="AP9" s="892"/>
      <c r="AQ9" s="890">
        <v>3.2266663872981355E-4</v>
      </c>
      <c r="AR9" s="889">
        <f>AQ9</f>
        <v>3.2266663872981355E-4</v>
      </c>
      <c r="AS9" s="889">
        <f>AR9</f>
        <v>3.2266663872981355E-4</v>
      </c>
      <c r="AT9" s="889">
        <f>AS9</f>
        <v>3.2266663872981355E-4</v>
      </c>
      <c r="AU9" s="889"/>
      <c r="AV9" s="889">
        <f>AQ9</f>
        <v>3.2266663872981355E-4</v>
      </c>
      <c r="AW9" s="889">
        <f t="shared" ref="AW9:AX9" si="3">AR9</f>
        <v>3.2266663872981355E-4</v>
      </c>
      <c r="AX9" s="889">
        <f t="shared" si="3"/>
        <v>3.2266663872981355E-4</v>
      </c>
      <c r="AY9" s="889">
        <f>AX9</f>
        <v>3.2266663872981355E-4</v>
      </c>
      <c r="AZ9" s="892"/>
      <c r="BA9" s="890">
        <v>1.8821066817330436E-3</v>
      </c>
      <c r="BB9" s="889"/>
      <c r="BC9" s="889"/>
      <c r="BD9" s="889"/>
      <c r="BE9" s="889"/>
      <c r="BF9" s="889">
        <f>BA9</f>
        <v>1.8821066817330436E-3</v>
      </c>
      <c r="BG9" s="889"/>
      <c r="BH9" s="889"/>
      <c r="BI9" s="889"/>
      <c r="BJ9" s="892"/>
      <c r="BK9" s="890">
        <v>4.0849591766829052E-4</v>
      </c>
      <c r="BL9" s="889">
        <f>BK9</f>
        <v>4.0849591766829052E-4</v>
      </c>
      <c r="BM9" s="889">
        <f t="shared" ref="BM9:BN9" si="4">BL9</f>
        <v>4.0849591766829052E-4</v>
      </c>
      <c r="BN9" s="889">
        <f t="shared" si="4"/>
        <v>4.0849591766829052E-4</v>
      </c>
      <c r="BO9" s="889" t="s">
        <v>370</v>
      </c>
      <c r="BP9" s="889">
        <f>BK9</f>
        <v>4.0849591766829052E-4</v>
      </c>
      <c r="BQ9" s="889">
        <f t="shared" ref="BQ9:BS9" si="5">BL9</f>
        <v>4.0849591766829052E-4</v>
      </c>
      <c r="BR9" s="889">
        <f t="shared" si="5"/>
        <v>4.0849591766829052E-4</v>
      </c>
      <c r="BS9" s="889">
        <f t="shared" si="5"/>
        <v>4.0849591766829052E-4</v>
      </c>
      <c r="BT9" s="888"/>
    </row>
    <row r="10" spans="1:72" ht="13.5">
      <c r="B10" s="433" t="s">
        <v>617</v>
      </c>
      <c r="C10" s="893">
        <v>0.10300477601069283</v>
      </c>
      <c r="D10" s="893">
        <v>3.8238055180352955E-2</v>
      </c>
      <c r="E10" s="894"/>
      <c r="F10" s="894"/>
      <c r="G10" s="894"/>
      <c r="H10" s="893">
        <v>0.12229879986510855</v>
      </c>
      <c r="I10" s="893">
        <v>5.0774699778031798E-2</v>
      </c>
      <c r="J10" s="889"/>
      <c r="K10" s="889"/>
      <c r="L10" s="892"/>
      <c r="M10" s="893">
        <v>3.9891819294181195E-2</v>
      </c>
      <c r="N10" s="893">
        <v>3.1199200756957635E-2</v>
      </c>
      <c r="O10" s="893">
        <v>2.7109624012457128E-2</v>
      </c>
      <c r="P10" s="894"/>
      <c r="Q10" s="894"/>
      <c r="R10" s="893">
        <v>4.4609770815010601E-2</v>
      </c>
      <c r="S10" s="893">
        <v>3.5687937609617013E-2</v>
      </c>
      <c r="T10" s="893">
        <v>3.2119688157893712E-2</v>
      </c>
      <c r="U10" s="889"/>
      <c r="V10" s="892"/>
      <c r="W10" s="893">
        <v>0.16104106869967427</v>
      </c>
      <c r="X10" s="894"/>
      <c r="Y10" s="894"/>
      <c r="Z10" s="894"/>
      <c r="AA10" s="894"/>
      <c r="AB10" s="894">
        <f>W10</f>
        <v>0.16104106869967427</v>
      </c>
      <c r="AC10" s="889"/>
      <c r="AD10" s="889"/>
      <c r="AE10" s="889"/>
      <c r="AF10" s="892"/>
      <c r="AG10" s="893">
        <v>9.0660110075405816E-3</v>
      </c>
      <c r="AH10" s="893">
        <v>8.3405318877664038E-3</v>
      </c>
      <c r="AI10" s="893">
        <v>7.6733808317470597E-3</v>
      </c>
      <c r="AJ10" s="894"/>
      <c r="AK10" s="894"/>
      <c r="AL10" s="894">
        <f>AG10</f>
        <v>9.0660110075405816E-3</v>
      </c>
      <c r="AM10" s="894">
        <f t="shared" ref="AM10:AN10" si="6">AH10</f>
        <v>8.3405318877664038E-3</v>
      </c>
      <c r="AN10" s="894">
        <f t="shared" si="6"/>
        <v>7.6733808317470597E-3</v>
      </c>
      <c r="AO10" s="889"/>
      <c r="AP10" s="892"/>
      <c r="AQ10" s="893">
        <v>2.8233595423054921E-2</v>
      </c>
      <c r="AR10" s="893">
        <v>2.6184858705357666E-2</v>
      </c>
      <c r="AS10" s="893">
        <v>1.7410831529901378E-2</v>
      </c>
      <c r="AT10" s="894">
        <v>0</v>
      </c>
      <c r="AU10" s="894"/>
      <c r="AV10" s="894">
        <f>AQ10</f>
        <v>2.8233595423054921E-2</v>
      </c>
      <c r="AW10" s="894">
        <f t="shared" ref="AW10:AX10" si="7">AR10</f>
        <v>2.6184858705357666E-2</v>
      </c>
      <c r="AX10" s="894">
        <f t="shared" si="7"/>
        <v>1.7410831529901378E-2</v>
      </c>
      <c r="AY10" s="894">
        <v>0</v>
      </c>
      <c r="AZ10" s="895"/>
      <c r="BA10" s="893">
        <v>2.5964477445866607E-2</v>
      </c>
      <c r="BB10" s="894"/>
      <c r="BC10" s="894"/>
      <c r="BD10" s="894"/>
      <c r="BE10" s="894"/>
      <c r="BF10" s="894">
        <f>BA10</f>
        <v>2.5964477445866607E-2</v>
      </c>
      <c r="BG10" s="894"/>
      <c r="BH10" s="894"/>
      <c r="BI10" s="894"/>
      <c r="BJ10" s="895"/>
      <c r="BK10" s="893">
        <v>8.13133085591973E-3</v>
      </c>
      <c r="BL10" s="893">
        <v>6.0983973819539739E-3</v>
      </c>
      <c r="BM10" s="893">
        <v>4.8787985135518375E-3</v>
      </c>
      <c r="BN10" s="893">
        <v>1.9515194054207348E-3</v>
      </c>
      <c r="BO10" s="893">
        <v>0.76617893219843403</v>
      </c>
      <c r="BP10" s="894">
        <f>BK10</f>
        <v>8.13133085591973E-3</v>
      </c>
      <c r="BQ10" s="894">
        <f t="shared" ref="BQ10:BS10" si="8">BL10</f>
        <v>6.0983973819539739E-3</v>
      </c>
      <c r="BR10" s="894">
        <f t="shared" si="8"/>
        <v>4.8787985135518375E-3</v>
      </c>
      <c r="BS10" s="894">
        <f t="shared" si="8"/>
        <v>1.9515194054207348E-3</v>
      </c>
      <c r="BT10" s="888"/>
    </row>
    <row r="11" spans="1:72">
      <c r="B11" s="433" t="s">
        <v>627</v>
      </c>
      <c r="C11" s="896">
        <f>SUM(C6:C10)</f>
        <v>2.2754817104285934</v>
      </c>
      <c r="D11" s="896">
        <f>SUM(D6:D10)</f>
        <v>1.0474279895982532</v>
      </c>
      <c r="E11" s="889"/>
      <c r="F11" s="889"/>
      <c r="G11" s="889"/>
      <c r="H11" s="896">
        <f>SUM(H6:H10)</f>
        <v>2.6413287342830087</v>
      </c>
      <c r="I11" s="896">
        <f>SUM(I6:I10)</f>
        <v>1.2851416341959323</v>
      </c>
      <c r="J11" s="889"/>
      <c r="K11" s="889"/>
      <c r="L11" s="892"/>
      <c r="M11" s="896">
        <f>SUM(M6:M10)</f>
        <v>0.71422697059455997</v>
      </c>
      <c r="N11" s="896">
        <f t="shared" ref="N11:O11" si="9">SUM(N6:N10)</f>
        <v>0.56180435205733648</v>
      </c>
      <c r="O11" s="896">
        <f t="shared" si="9"/>
        <v>0.49009477531283591</v>
      </c>
      <c r="P11" s="889"/>
      <c r="Q11" s="889"/>
      <c r="R11" s="896">
        <f>SUM(R6:R10)</f>
        <v>0.79695492211538943</v>
      </c>
      <c r="S11" s="896">
        <f t="shared" ref="S11:T11" si="10">SUM(S6:S10)</f>
        <v>0.64051308890999581</v>
      </c>
      <c r="T11" s="896">
        <f t="shared" si="10"/>
        <v>0.57794483945827246</v>
      </c>
      <c r="U11" s="889"/>
      <c r="V11" s="892"/>
      <c r="W11" s="896">
        <f>SUM(W6:W10)</f>
        <v>5.1969272465921561</v>
      </c>
      <c r="X11" s="889"/>
      <c r="Y11" s="889"/>
      <c r="Z11" s="889"/>
      <c r="AA11" s="889"/>
      <c r="AB11" s="896">
        <f>SUM(AB6:AB10)</f>
        <v>5.1969272465921561</v>
      </c>
      <c r="AC11" s="889"/>
      <c r="AD11" s="889"/>
      <c r="AE11" s="889"/>
      <c r="AF11" s="892"/>
      <c r="AG11" s="896">
        <f>SUM(AG6:AG10)</f>
        <v>0.25419429083380918</v>
      </c>
      <c r="AH11" s="896">
        <f t="shared" ref="AH11:AI11" si="11">SUM(AH6:AH10)</f>
        <v>0.23443881171403499</v>
      </c>
      <c r="AI11" s="896">
        <f t="shared" si="11"/>
        <v>0.21627666065801565</v>
      </c>
      <c r="AJ11" s="889"/>
      <c r="AK11" s="889"/>
      <c r="AL11" s="896">
        <f>SUM(AL6:AL10)</f>
        <v>0.25419429083380918</v>
      </c>
      <c r="AM11" s="896">
        <f t="shared" ref="AM11:AN11" si="12">SUM(AM6:AM10)</f>
        <v>0.23443881171403499</v>
      </c>
      <c r="AN11" s="896">
        <f t="shared" si="12"/>
        <v>0.21627666065801565</v>
      </c>
      <c r="AO11" s="889"/>
      <c r="AP11" s="892"/>
      <c r="AQ11" s="896">
        <f>SUM(AQ6:AQ10)</f>
        <v>0.23430626206178473</v>
      </c>
      <c r="AR11" s="896">
        <f t="shared" ref="AR11:AT11" si="13">SUM(AR6:AR10)</f>
        <v>0.21732752534408747</v>
      </c>
      <c r="AS11" s="896">
        <f t="shared" si="13"/>
        <v>0.1446134981686312</v>
      </c>
      <c r="AT11" s="896">
        <f t="shared" si="13"/>
        <v>2.8352666638729814E-2</v>
      </c>
      <c r="AU11" s="889"/>
      <c r="AV11" s="896">
        <f>SUM(AV6:AV10)</f>
        <v>0.23430626206178473</v>
      </c>
      <c r="AW11" s="896">
        <f t="shared" ref="AW11:AY11" si="14">SUM(AW6:AW10)</f>
        <v>0.21732752534408747</v>
      </c>
      <c r="AX11" s="896">
        <f t="shared" si="14"/>
        <v>0.1446134981686312</v>
      </c>
      <c r="AY11" s="896">
        <f t="shared" si="14"/>
        <v>2.8352666638729814E-2</v>
      </c>
      <c r="AZ11" s="892"/>
      <c r="BA11" s="896">
        <f>SUM(BA6:BA10)</f>
        <v>0.67925658412759971</v>
      </c>
      <c r="BB11" s="889"/>
      <c r="BC11" s="889"/>
      <c r="BD11" s="889"/>
      <c r="BE11" s="889"/>
      <c r="BF11" s="896">
        <f>SUM(BF6:BF10)</f>
        <v>0.67925658412759971</v>
      </c>
      <c r="BG11" s="889"/>
      <c r="BH11" s="889"/>
      <c r="BI11" s="889"/>
      <c r="BJ11" s="892"/>
      <c r="BK11" s="896">
        <f>SUM(BK6:BK10)</f>
        <v>0.21028982677358804</v>
      </c>
      <c r="BL11" s="896">
        <f>SUM(BL6:BL10)</f>
        <v>0.15781689329962226</v>
      </c>
      <c r="BM11" s="896">
        <f>SUM(BM6:BM10)</f>
        <v>0.12633729443122013</v>
      </c>
      <c r="BN11" s="896">
        <f>SUM(BN6:BN10)</f>
        <v>5.0780015323089026E-2</v>
      </c>
      <c r="BO11" s="889"/>
      <c r="BP11" s="896">
        <f>SUM(BP6:BP10)</f>
        <v>0.21028982677358804</v>
      </c>
      <c r="BQ11" s="896">
        <f>SUM(BQ6:BQ10)</f>
        <v>0.15781689329962226</v>
      </c>
      <c r="BR11" s="896">
        <f>SUM(BR6:BR10)</f>
        <v>0.12633729443122013</v>
      </c>
      <c r="BS11" s="896">
        <f>SUM(BS6:BS10)</f>
        <v>5.0780015323089026E-2</v>
      </c>
      <c r="BT11" s="888"/>
    </row>
    <row r="12" spans="1:72">
      <c r="A12" s="433" t="s">
        <v>633</v>
      </c>
      <c r="C12" s="889"/>
      <c r="D12" s="889"/>
      <c r="E12" s="889"/>
      <c r="F12" s="889"/>
      <c r="G12" s="889"/>
      <c r="H12" s="889"/>
      <c r="I12" s="889"/>
      <c r="J12" s="889"/>
      <c r="K12" s="889"/>
      <c r="L12" s="892"/>
      <c r="M12" s="889"/>
      <c r="N12" s="889"/>
      <c r="O12" s="889"/>
      <c r="P12" s="889"/>
      <c r="Q12" s="889"/>
      <c r="R12" s="889"/>
      <c r="S12" s="889"/>
      <c r="T12" s="889"/>
      <c r="U12" s="889"/>
      <c r="V12" s="892"/>
      <c r="W12" s="889"/>
      <c r="X12" s="889"/>
      <c r="Y12" s="889"/>
      <c r="Z12" s="889"/>
      <c r="AA12" s="889"/>
      <c r="AB12" s="889"/>
      <c r="AC12" s="889"/>
      <c r="AD12" s="889"/>
      <c r="AE12" s="889"/>
      <c r="AF12" s="892"/>
      <c r="AG12" s="889"/>
      <c r="AH12" s="889"/>
      <c r="AI12" s="889"/>
      <c r="AJ12" s="889"/>
      <c r="AK12" s="889"/>
      <c r="AL12" s="889"/>
      <c r="AM12" s="889"/>
      <c r="AN12" s="889"/>
      <c r="AO12" s="889"/>
      <c r="AP12" s="892"/>
      <c r="AQ12" s="889"/>
      <c r="AR12" s="889"/>
      <c r="AS12" s="889"/>
      <c r="AT12" s="889"/>
      <c r="AU12" s="889"/>
      <c r="AV12" s="889"/>
      <c r="AW12" s="889"/>
      <c r="AX12" s="889"/>
      <c r="AY12" s="889"/>
      <c r="AZ12" s="892"/>
      <c r="BA12" s="889"/>
      <c r="BB12" s="889"/>
      <c r="BC12" s="889"/>
      <c r="BD12" s="889"/>
      <c r="BE12" s="889"/>
      <c r="BF12" s="889"/>
      <c r="BG12" s="889"/>
      <c r="BH12" s="889"/>
      <c r="BI12" s="889"/>
      <c r="BJ12" s="892"/>
      <c r="BK12" s="889"/>
      <c r="BL12" s="889"/>
      <c r="BM12" s="889"/>
      <c r="BN12" s="889"/>
      <c r="BO12" s="889"/>
      <c r="BP12" s="889"/>
      <c r="BQ12" s="889"/>
      <c r="BR12" s="889"/>
      <c r="BS12" s="889"/>
      <c r="BT12" s="888"/>
    </row>
    <row r="13" spans="1:72">
      <c r="A13" s="891" t="s">
        <v>477</v>
      </c>
      <c r="B13" s="433" t="s">
        <v>626</v>
      </c>
      <c r="C13" s="889">
        <f>Rates!X62</f>
        <v>0</v>
      </c>
      <c r="D13" s="889">
        <f>C13</f>
        <v>0</v>
      </c>
      <c r="E13" s="889"/>
      <c r="F13" s="889"/>
      <c r="G13" s="889"/>
      <c r="H13" s="889">
        <f>IF($A$13="yes",D13,Rates!X61)</f>
        <v>0</v>
      </c>
      <c r="I13" s="889">
        <f>H13</f>
        <v>0</v>
      </c>
      <c r="J13" s="889"/>
      <c r="K13" s="889"/>
      <c r="L13" s="892"/>
      <c r="M13" s="889">
        <f>Rates!X65</f>
        <v>0</v>
      </c>
      <c r="N13" s="889">
        <f>M13</f>
        <v>0</v>
      </c>
      <c r="O13" s="889">
        <f>N13</f>
        <v>0</v>
      </c>
      <c r="P13" s="889"/>
      <c r="Q13" s="889"/>
      <c r="R13" s="889">
        <f>IF($A$13="yes",M13,Rates!X64)</f>
        <v>0</v>
      </c>
      <c r="S13" s="889">
        <f>R13</f>
        <v>0</v>
      </c>
      <c r="T13" s="889">
        <f>S13</f>
        <v>0</v>
      </c>
      <c r="U13" s="889"/>
      <c r="V13" s="892"/>
      <c r="W13" s="889">
        <f>Rates!X69</f>
        <v>0</v>
      </c>
      <c r="X13" s="889"/>
      <c r="Y13" s="889"/>
      <c r="Z13" s="889"/>
      <c r="AA13" s="889"/>
      <c r="AB13" s="889">
        <f>W13</f>
        <v>0</v>
      </c>
      <c r="AC13" s="889"/>
      <c r="AD13" s="889"/>
      <c r="AE13" s="889"/>
      <c r="AF13" s="892"/>
      <c r="AG13" s="889"/>
      <c r="AH13" s="889"/>
      <c r="AI13" s="889"/>
      <c r="AJ13" s="889"/>
      <c r="AK13" s="889"/>
      <c r="AL13" s="889"/>
      <c r="AM13" s="889"/>
      <c r="AN13" s="889"/>
      <c r="AO13" s="889"/>
      <c r="AP13" s="892"/>
      <c r="AQ13" s="889"/>
      <c r="AR13" s="889"/>
      <c r="AS13" s="889"/>
      <c r="AT13" s="889"/>
      <c r="AU13" s="889"/>
      <c r="AV13" s="889"/>
      <c r="AW13" s="889"/>
      <c r="AX13" s="889"/>
      <c r="AY13" s="889"/>
      <c r="AZ13" s="892"/>
      <c r="BA13" s="889"/>
      <c r="BB13" s="889"/>
      <c r="BC13" s="889"/>
      <c r="BD13" s="889"/>
      <c r="BE13" s="889"/>
      <c r="BF13" s="889"/>
      <c r="BG13" s="889"/>
      <c r="BH13" s="889"/>
      <c r="BI13" s="889"/>
      <c r="BJ13" s="892"/>
      <c r="BK13" s="889"/>
      <c r="BL13" s="889"/>
      <c r="BM13" s="889"/>
      <c r="BN13" s="889"/>
      <c r="BO13" s="889"/>
      <c r="BP13" s="889"/>
      <c r="BQ13" s="889"/>
      <c r="BR13" s="889"/>
      <c r="BS13" s="889"/>
      <c r="BT13" s="888"/>
    </row>
    <row r="14" spans="1:72" ht="13.5">
      <c r="B14" s="433" t="s">
        <v>338</v>
      </c>
      <c r="C14" s="894">
        <f>Rates!V62</f>
        <v>-3.1540000000000012E-2</v>
      </c>
      <c r="D14" s="894">
        <f>C14</f>
        <v>-3.1540000000000012E-2</v>
      </c>
      <c r="E14" s="894"/>
      <c r="F14" s="894"/>
      <c r="G14" s="894"/>
      <c r="H14" s="894">
        <f>C14</f>
        <v>-3.1540000000000012E-2</v>
      </c>
      <c r="I14" s="894">
        <f>H14</f>
        <v>-3.1540000000000012E-2</v>
      </c>
      <c r="J14" s="889"/>
      <c r="K14" s="889"/>
      <c r="L14" s="892"/>
      <c r="M14" s="894">
        <f>Rates!V65</f>
        <v>-3.1540000000000012E-2</v>
      </c>
      <c r="N14" s="894">
        <f>M14</f>
        <v>-3.1540000000000012E-2</v>
      </c>
      <c r="O14" s="894">
        <f>N14</f>
        <v>-3.1540000000000012E-2</v>
      </c>
      <c r="P14" s="894"/>
      <c r="Q14" s="894"/>
      <c r="R14" s="894">
        <f>Rates!V64</f>
        <v>-6.5429999999999877E-2</v>
      </c>
      <c r="S14" s="894">
        <f>R14</f>
        <v>-6.5429999999999877E-2</v>
      </c>
      <c r="T14" s="894">
        <f>S14</f>
        <v>-6.5429999999999877E-2</v>
      </c>
      <c r="U14" s="889"/>
      <c r="V14" s="892"/>
      <c r="W14" s="894">
        <f>Rates!V69</f>
        <v>-4.8479999999999968E-2</v>
      </c>
      <c r="X14" s="889"/>
      <c r="Y14" s="889"/>
      <c r="Z14" s="889"/>
      <c r="AA14" s="889"/>
      <c r="AB14" s="894">
        <f>W14</f>
        <v>-4.8479999999999968E-2</v>
      </c>
      <c r="AC14" s="889"/>
      <c r="AD14" s="889"/>
      <c r="AE14" s="889"/>
      <c r="AF14" s="892"/>
      <c r="AG14" s="889"/>
      <c r="AH14" s="889"/>
      <c r="AI14" s="889"/>
      <c r="AJ14" s="889"/>
      <c r="AK14" s="889"/>
      <c r="AL14" s="889"/>
      <c r="AM14" s="889"/>
      <c r="AN14" s="889"/>
      <c r="AO14" s="889"/>
      <c r="AP14" s="892"/>
      <c r="AQ14" s="889"/>
      <c r="AR14" s="889"/>
      <c r="AS14" s="889"/>
      <c r="AT14" s="889"/>
      <c r="AU14" s="889"/>
      <c r="AV14" s="889"/>
      <c r="AW14" s="889"/>
      <c r="AX14" s="889"/>
      <c r="AY14" s="889"/>
      <c r="AZ14" s="892"/>
      <c r="BA14" s="889"/>
      <c r="BB14" s="889"/>
      <c r="BC14" s="889"/>
      <c r="BD14" s="889"/>
      <c r="BE14" s="889"/>
      <c r="BF14" s="889"/>
      <c r="BG14" s="889"/>
      <c r="BH14" s="889"/>
      <c r="BI14" s="889"/>
      <c r="BJ14" s="892"/>
      <c r="BK14" s="889"/>
      <c r="BL14" s="889"/>
      <c r="BM14" s="889"/>
      <c r="BN14" s="889"/>
      <c r="BO14" s="889"/>
      <c r="BP14" s="889"/>
      <c r="BQ14" s="889"/>
      <c r="BR14" s="889"/>
      <c r="BS14" s="889"/>
      <c r="BT14" s="888"/>
    </row>
    <row r="15" spans="1:72">
      <c r="B15" s="433" t="s">
        <v>628</v>
      </c>
      <c r="C15" s="896">
        <f>C13+C14</f>
        <v>-3.1540000000000012E-2</v>
      </c>
      <c r="D15" s="896">
        <f>D13+D14</f>
        <v>-3.1540000000000012E-2</v>
      </c>
      <c r="E15" s="889"/>
      <c r="F15" s="889"/>
      <c r="G15" s="889"/>
      <c r="H15" s="896">
        <f>H13+H14</f>
        <v>-3.1540000000000012E-2</v>
      </c>
      <c r="I15" s="896">
        <f>I13+I14</f>
        <v>-3.1540000000000012E-2</v>
      </c>
      <c r="J15" s="889"/>
      <c r="K15" s="889"/>
      <c r="L15" s="892"/>
      <c r="M15" s="896">
        <f>M13+M14</f>
        <v>-3.1540000000000012E-2</v>
      </c>
      <c r="N15" s="896">
        <f t="shared" ref="N15:O15" si="15">N13+N14</f>
        <v>-3.1540000000000012E-2</v>
      </c>
      <c r="O15" s="896">
        <f t="shared" si="15"/>
        <v>-3.1540000000000012E-2</v>
      </c>
      <c r="P15" s="889"/>
      <c r="Q15" s="889"/>
      <c r="R15" s="896">
        <f>R13+R14</f>
        <v>-6.5429999999999877E-2</v>
      </c>
      <c r="S15" s="896">
        <f t="shared" ref="S15" si="16">S13+S14</f>
        <v>-6.5429999999999877E-2</v>
      </c>
      <c r="T15" s="896">
        <f t="shared" ref="T15" si="17">T13+T14</f>
        <v>-6.5429999999999877E-2</v>
      </c>
      <c r="U15" s="889"/>
      <c r="V15" s="892"/>
      <c r="W15" s="896">
        <f t="shared" ref="W15" si="18">W13+W14</f>
        <v>-4.8479999999999968E-2</v>
      </c>
      <c r="X15" s="889"/>
      <c r="Y15" s="889"/>
      <c r="Z15" s="889"/>
      <c r="AA15" s="889"/>
      <c r="AB15" s="896">
        <f t="shared" ref="AB15" si="19">AB13+AB14</f>
        <v>-4.8479999999999968E-2</v>
      </c>
      <c r="AC15" s="889"/>
      <c r="AD15" s="889"/>
      <c r="AE15" s="889"/>
      <c r="AF15" s="892"/>
      <c r="AG15" s="896">
        <f>Rates!G62</f>
        <v>0.18053092049158934</v>
      </c>
      <c r="AH15" s="896">
        <f>AG15</f>
        <v>0.18053092049158934</v>
      </c>
      <c r="AI15" s="896">
        <f>AH15</f>
        <v>0.18053092049158934</v>
      </c>
      <c r="AJ15" s="889"/>
      <c r="AK15" s="889"/>
      <c r="AL15" s="896">
        <f>AG15</f>
        <v>0.18053092049158934</v>
      </c>
      <c r="AM15" s="896">
        <f t="shared" ref="AM15:AN15" si="20">AH15</f>
        <v>0.18053092049158934</v>
      </c>
      <c r="AN15" s="896">
        <f t="shared" si="20"/>
        <v>0.18053092049158934</v>
      </c>
      <c r="AO15" s="889"/>
      <c r="AP15" s="892"/>
      <c r="AQ15" s="889"/>
      <c r="AR15" s="889"/>
      <c r="AS15" s="889"/>
      <c r="AT15" s="889"/>
      <c r="AU15" s="889"/>
      <c r="AV15" s="889"/>
      <c r="AW15" s="889"/>
      <c r="AX15" s="889"/>
      <c r="AY15" s="889"/>
      <c r="AZ15" s="892"/>
      <c r="BA15" s="889"/>
      <c r="BB15" s="889"/>
      <c r="BC15" s="889"/>
      <c r="BD15" s="889"/>
      <c r="BE15" s="889"/>
      <c r="BF15" s="889"/>
      <c r="BG15" s="889"/>
      <c r="BH15" s="889"/>
      <c r="BI15" s="889"/>
      <c r="BJ15" s="892"/>
      <c r="BK15" s="889"/>
      <c r="BL15" s="889"/>
      <c r="BM15" s="889"/>
      <c r="BN15" s="889"/>
      <c r="BO15" s="889"/>
      <c r="BP15" s="889"/>
      <c r="BQ15" s="889"/>
      <c r="BR15" s="889"/>
      <c r="BS15" s="889"/>
      <c r="BT15" s="888"/>
    </row>
    <row r="16" spans="1:72">
      <c r="C16" s="889"/>
      <c r="D16" s="889"/>
      <c r="E16" s="889"/>
      <c r="F16" s="889"/>
      <c r="G16" s="889"/>
      <c r="H16" s="889"/>
      <c r="I16" s="889"/>
      <c r="J16" s="889"/>
      <c r="K16" s="889"/>
      <c r="L16" s="892"/>
      <c r="M16" s="889"/>
      <c r="N16" s="889"/>
      <c r="O16" s="889"/>
      <c r="P16" s="889"/>
      <c r="Q16" s="889"/>
      <c r="R16" s="889"/>
      <c r="S16" s="889"/>
      <c r="T16" s="889"/>
      <c r="U16" s="889"/>
      <c r="V16" s="892"/>
      <c r="W16" s="889"/>
      <c r="X16" s="889"/>
      <c r="Y16" s="889"/>
      <c r="Z16" s="889"/>
      <c r="AA16" s="889"/>
      <c r="AB16" s="889"/>
      <c r="AC16" s="889"/>
      <c r="AD16" s="889"/>
      <c r="AE16" s="889"/>
      <c r="AF16" s="892"/>
      <c r="AG16" s="889"/>
      <c r="AH16" s="889"/>
      <c r="AI16" s="889"/>
      <c r="AJ16" s="889"/>
      <c r="AK16" s="889"/>
      <c r="AL16" s="889"/>
      <c r="AM16" s="889"/>
      <c r="AN16" s="889"/>
      <c r="AO16" s="889"/>
      <c r="AP16" s="892"/>
      <c r="AQ16" s="889"/>
      <c r="AR16" s="889"/>
      <c r="AS16" s="889"/>
      <c r="AT16" s="889"/>
      <c r="AU16" s="889"/>
      <c r="AV16" s="889"/>
      <c r="AW16" s="889"/>
      <c r="AX16" s="889"/>
      <c r="AY16" s="889"/>
      <c r="AZ16" s="892"/>
      <c r="BA16" s="889"/>
      <c r="BB16" s="889"/>
      <c r="BC16" s="889"/>
      <c r="BD16" s="889"/>
      <c r="BE16" s="889"/>
      <c r="BF16" s="889"/>
      <c r="BG16" s="889"/>
      <c r="BH16" s="889"/>
      <c r="BI16" s="889"/>
      <c r="BJ16" s="892"/>
      <c r="BK16" s="889"/>
      <c r="BL16" s="889"/>
      <c r="BM16" s="889"/>
      <c r="BN16" s="889"/>
      <c r="BO16" s="889"/>
      <c r="BP16" s="889"/>
      <c r="BQ16" s="889"/>
      <c r="BR16" s="889"/>
      <c r="BS16" s="889"/>
      <c r="BT16" s="888"/>
    </row>
    <row r="17" spans="2:72">
      <c r="B17" s="433" t="s">
        <v>629</v>
      </c>
      <c r="C17" s="889">
        <f>Rates!G45</f>
        <v>5.0522400000000003</v>
      </c>
      <c r="D17" s="889">
        <f>C17</f>
        <v>5.0522400000000003</v>
      </c>
      <c r="E17" s="889"/>
      <c r="F17" s="889"/>
      <c r="G17" s="889"/>
      <c r="H17" s="889">
        <f>C17</f>
        <v>5.0522400000000003</v>
      </c>
      <c r="I17" s="889">
        <f>H17</f>
        <v>5.0522400000000003</v>
      </c>
      <c r="J17" s="889"/>
      <c r="K17" s="889"/>
      <c r="L17" s="892"/>
      <c r="M17" s="889">
        <f>Rates!G45</f>
        <v>5.0522400000000003</v>
      </c>
      <c r="N17" s="889">
        <f>M17</f>
        <v>5.0522400000000003</v>
      </c>
      <c r="O17" s="889">
        <f>N17</f>
        <v>5.0522400000000003</v>
      </c>
      <c r="P17" s="889"/>
      <c r="Q17" s="889"/>
      <c r="R17" s="889">
        <f>M17</f>
        <v>5.0522400000000003</v>
      </c>
      <c r="S17" s="889">
        <f t="shared" ref="S17:T18" si="21">N17</f>
        <v>5.0522400000000003</v>
      </c>
      <c r="T17" s="889">
        <f t="shared" si="21"/>
        <v>5.0522400000000003</v>
      </c>
      <c r="U17" s="889"/>
      <c r="V17" s="892"/>
      <c r="W17" s="889">
        <f>Rates!G45</f>
        <v>5.0522400000000003</v>
      </c>
      <c r="X17" s="889"/>
      <c r="Y17" s="889"/>
      <c r="Z17" s="889"/>
      <c r="AA17" s="889"/>
      <c r="AB17" s="889">
        <f>W17</f>
        <v>5.0522400000000003</v>
      </c>
      <c r="AC17" s="889"/>
      <c r="AD17" s="889"/>
      <c r="AE17" s="889"/>
      <c r="AF17" s="892"/>
      <c r="AG17" s="889"/>
      <c r="AH17" s="889"/>
      <c r="AI17" s="889"/>
      <c r="AJ17" s="889"/>
      <c r="AK17" s="889"/>
      <c r="AL17" s="889"/>
      <c r="AM17" s="889"/>
      <c r="AN17" s="889"/>
      <c r="AO17" s="889"/>
      <c r="AP17" s="892"/>
      <c r="AQ17" s="889"/>
      <c r="AR17" s="889"/>
      <c r="AS17" s="889"/>
      <c r="AT17" s="889"/>
      <c r="AU17" s="889"/>
      <c r="AV17" s="889"/>
      <c r="AW17" s="889"/>
      <c r="AX17" s="889"/>
      <c r="AY17" s="889"/>
      <c r="AZ17" s="892"/>
      <c r="BA17" s="889"/>
      <c r="BB17" s="889"/>
      <c r="BC17" s="889"/>
      <c r="BD17" s="889"/>
      <c r="BE17" s="889"/>
      <c r="BF17" s="889"/>
      <c r="BG17" s="889"/>
      <c r="BH17" s="889"/>
      <c r="BI17" s="889"/>
      <c r="BJ17" s="892"/>
      <c r="BK17" s="889"/>
      <c r="BL17" s="889"/>
      <c r="BM17" s="889"/>
      <c r="BN17" s="889"/>
      <c r="BO17" s="889"/>
      <c r="BP17" s="889"/>
      <c r="BQ17" s="889"/>
      <c r="BR17" s="889"/>
      <c r="BS17" s="889"/>
      <c r="BT17" s="888"/>
    </row>
    <row r="18" spans="2:72" ht="13.5">
      <c r="B18" s="433" t="s">
        <v>281</v>
      </c>
      <c r="C18" s="897">
        <f>Rates!G46</f>
        <v>0.22364000000000001</v>
      </c>
      <c r="D18" s="897">
        <f>C18</f>
        <v>0.22364000000000001</v>
      </c>
      <c r="E18" s="897"/>
      <c r="F18" s="897"/>
      <c r="G18" s="897"/>
      <c r="H18" s="897">
        <f>C18</f>
        <v>0.22364000000000001</v>
      </c>
      <c r="I18" s="897">
        <f>H18</f>
        <v>0.22364000000000001</v>
      </c>
      <c r="J18" s="889"/>
      <c r="K18" s="889"/>
      <c r="L18" s="892"/>
      <c r="M18" s="894">
        <f>Rates!G46</f>
        <v>0.22364000000000001</v>
      </c>
      <c r="N18" s="894">
        <f>M18</f>
        <v>0.22364000000000001</v>
      </c>
      <c r="O18" s="894">
        <f>N18</f>
        <v>0.22364000000000001</v>
      </c>
      <c r="P18" s="894"/>
      <c r="Q18" s="894"/>
      <c r="R18" s="894">
        <f>M18</f>
        <v>0.22364000000000001</v>
      </c>
      <c r="S18" s="894">
        <f t="shared" si="21"/>
        <v>0.22364000000000001</v>
      </c>
      <c r="T18" s="894">
        <f t="shared" si="21"/>
        <v>0.22364000000000001</v>
      </c>
      <c r="U18" s="889"/>
      <c r="V18" s="892"/>
      <c r="W18" s="894">
        <f>Rates!G46</f>
        <v>0.22364000000000001</v>
      </c>
      <c r="X18" s="894"/>
      <c r="Y18" s="894"/>
      <c r="Z18" s="894"/>
      <c r="AA18" s="894"/>
      <c r="AB18" s="894">
        <f>W18</f>
        <v>0.22364000000000001</v>
      </c>
      <c r="AC18" s="889"/>
      <c r="AD18" s="889"/>
      <c r="AE18" s="889"/>
      <c r="AF18" s="892"/>
      <c r="AG18" s="889"/>
      <c r="AH18" s="889"/>
      <c r="AI18" s="889"/>
      <c r="AJ18" s="889"/>
      <c r="AK18" s="889"/>
      <c r="AL18" s="889"/>
      <c r="AM18" s="889"/>
      <c r="AN18" s="889"/>
      <c r="AO18" s="889"/>
      <c r="AP18" s="892"/>
      <c r="AQ18" s="889"/>
      <c r="AR18" s="889"/>
      <c r="AS18" s="889"/>
      <c r="AT18" s="889"/>
      <c r="AU18" s="889"/>
      <c r="AV18" s="889"/>
      <c r="AW18" s="889"/>
      <c r="AX18" s="889"/>
      <c r="AY18" s="889"/>
      <c r="AZ18" s="892"/>
      <c r="BA18" s="889"/>
      <c r="BB18" s="889"/>
      <c r="BC18" s="889"/>
      <c r="BD18" s="889"/>
      <c r="BE18" s="889"/>
      <c r="BF18" s="889"/>
      <c r="BG18" s="889"/>
      <c r="BH18" s="889"/>
      <c r="BI18" s="889"/>
      <c r="BJ18" s="892"/>
      <c r="BK18" s="889"/>
      <c r="BL18" s="889"/>
      <c r="BM18" s="889"/>
      <c r="BN18" s="889"/>
      <c r="BO18" s="889"/>
      <c r="BP18" s="889"/>
      <c r="BQ18" s="889"/>
      <c r="BR18" s="889"/>
      <c r="BS18" s="889"/>
      <c r="BT18" s="888"/>
    </row>
    <row r="19" spans="2:72">
      <c r="B19" s="433" t="s">
        <v>630</v>
      </c>
      <c r="C19" s="896">
        <f>C17+C18</f>
        <v>5.2758799999999999</v>
      </c>
      <c r="D19" s="896">
        <f>D17+D18</f>
        <v>5.2758799999999999</v>
      </c>
      <c r="E19" s="889"/>
      <c r="F19" s="889"/>
      <c r="G19" s="889"/>
      <c r="H19" s="896">
        <f>H17+H18</f>
        <v>5.2758799999999999</v>
      </c>
      <c r="I19" s="896">
        <f>I17+I18</f>
        <v>5.2758799999999999</v>
      </c>
      <c r="J19" s="889"/>
      <c r="K19" s="889"/>
      <c r="L19" s="892"/>
      <c r="M19" s="896">
        <f>M17+M18</f>
        <v>5.2758799999999999</v>
      </c>
      <c r="N19" s="896">
        <f t="shared" ref="N19" si="22">N17+N18</f>
        <v>5.2758799999999999</v>
      </c>
      <c r="O19" s="896">
        <f t="shared" ref="O19" si="23">O17+O18</f>
        <v>5.2758799999999999</v>
      </c>
      <c r="P19" s="889"/>
      <c r="Q19" s="889"/>
      <c r="R19" s="896">
        <f>R17+R18</f>
        <v>5.2758799999999999</v>
      </c>
      <c r="S19" s="896">
        <f t="shared" ref="S19" si="24">S17+S18</f>
        <v>5.2758799999999999</v>
      </c>
      <c r="T19" s="896">
        <f t="shared" ref="T19" si="25">T17+T18</f>
        <v>5.2758799999999999</v>
      </c>
      <c r="U19" s="889"/>
      <c r="V19" s="892"/>
      <c r="W19" s="896">
        <f t="shared" ref="W19" si="26">W17+W18</f>
        <v>5.2758799999999999</v>
      </c>
      <c r="X19" s="889"/>
      <c r="Y19" s="889"/>
      <c r="Z19" s="889"/>
      <c r="AA19" s="889"/>
      <c r="AB19" s="896">
        <f t="shared" ref="AB19" si="27">AB17+AB18</f>
        <v>5.2758799999999999</v>
      </c>
      <c r="AC19" s="889"/>
      <c r="AD19" s="889"/>
      <c r="AE19" s="889"/>
      <c r="AF19" s="892"/>
      <c r="AG19" s="889"/>
      <c r="AH19" s="889"/>
      <c r="AI19" s="889"/>
      <c r="AJ19" s="889"/>
      <c r="AK19" s="889"/>
      <c r="AL19" s="889"/>
      <c r="AM19" s="889"/>
      <c r="AN19" s="889"/>
      <c r="AO19" s="889"/>
      <c r="AP19" s="892"/>
      <c r="AQ19" s="889"/>
      <c r="AR19" s="889"/>
      <c r="AS19" s="889"/>
      <c r="AT19" s="889"/>
      <c r="AU19" s="889"/>
      <c r="AV19" s="889"/>
      <c r="AW19" s="889"/>
      <c r="AX19" s="889"/>
      <c r="AY19" s="889"/>
      <c r="AZ19" s="892"/>
      <c r="BA19" s="889"/>
      <c r="BB19" s="889"/>
      <c r="BC19" s="889"/>
      <c r="BD19" s="889"/>
      <c r="BE19" s="889"/>
      <c r="BF19" s="889"/>
      <c r="BG19" s="889"/>
      <c r="BH19" s="889"/>
      <c r="BI19" s="889"/>
      <c r="BJ19" s="892"/>
      <c r="BK19" s="889"/>
      <c r="BL19" s="889"/>
      <c r="BM19" s="889"/>
      <c r="BN19" s="889"/>
      <c r="BO19" s="889"/>
      <c r="BP19" s="889"/>
      <c r="BQ19" s="889"/>
      <c r="BR19" s="889"/>
      <c r="BS19" s="889"/>
      <c r="BT19" s="888"/>
    </row>
    <row r="20" spans="2:72">
      <c r="C20" s="889"/>
      <c r="D20" s="889"/>
      <c r="E20" s="889"/>
      <c r="F20" s="889"/>
      <c r="G20" s="889"/>
      <c r="H20" s="889"/>
      <c r="I20" s="889"/>
      <c r="J20" s="889"/>
      <c r="K20" s="889"/>
      <c r="L20" s="892"/>
      <c r="M20" s="889"/>
      <c r="N20" s="889"/>
      <c r="O20" s="889"/>
      <c r="P20" s="889"/>
      <c r="Q20" s="889"/>
      <c r="R20" s="889"/>
      <c r="S20" s="889"/>
      <c r="T20" s="889"/>
      <c r="U20" s="889"/>
      <c r="V20" s="892"/>
      <c r="W20" s="889"/>
      <c r="X20" s="889"/>
      <c r="Y20" s="889"/>
      <c r="Z20" s="889"/>
      <c r="AA20" s="889"/>
      <c r="AB20" s="889"/>
      <c r="AC20" s="889"/>
      <c r="AD20" s="889"/>
      <c r="AE20" s="889"/>
      <c r="AF20" s="892"/>
      <c r="AG20" s="889"/>
      <c r="AH20" s="889"/>
      <c r="AI20" s="889"/>
      <c r="AJ20" s="889"/>
      <c r="AK20" s="889"/>
      <c r="AL20" s="889"/>
      <c r="AM20" s="889"/>
      <c r="AN20" s="889"/>
      <c r="AO20" s="889"/>
      <c r="AP20" s="892"/>
      <c r="AQ20" s="889"/>
      <c r="AR20" s="889"/>
      <c r="AS20" s="889"/>
      <c r="AT20" s="889"/>
      <c r="AU20" s="889"/>
      <c r="AV20" s="889"/>
      <c r="AW20" s="889"/>
      <c r="AX20" s="889"/>
      <c r="AY20" s="889"/>
      <c r="AZ20" s="892"/>
      <c r="BA20" s="889"/>
      <c r="BB20" s="889"/>
      <c r="BC20" s="889"/>
      <c r="BD20" s="889"/>
      <c r="BE20" s="889"/>
      <c r="BF20" s="889"/>
      <c r="BG20" s="889"/>
      <c r="BH20" s="889"/>
      <c r="BI20" s="889"/>
      <c r="BJ20" s="892"/>
      <c r="BK20" s="889"/>
      <c r="BL20" s="889"/>
      <c r="BM20" s="889"/>
      <c r="BN20" s="889"/>
      <c r="BO20" s="889"/>
      <c r="BP20" s="889"/>
      <c r="BQ20" s="889"/>
      <c r="BR20" s="889"/>
      <c r="BS20" s="889"/>
      <c r="BT20" s="888"/>
    </row>
    <row r="21" spans="2:72">
      <c r="B21" s="433" t="s">
        <v>631</v>
      </c>
      <c r="C21" s="896">
        <f>C11+C15+C19</f>
        <v>7.5198217104285927</v>
      </c>
      <c r="D21" s="896">
        <f>D11+D15+D19</f>
        <v>6.2917679895982532</v>
      </c>
      <c r="E21" s="889"/>
      <c r="F21" s="889"/>
      <c r="G21" s="889"/>
      <c r="H21" s="896">
        <f>H11+H15+H19</f>
        <v>7.8856687342830085</v>
      </c>
      <c r="I21" s="896">
        <f>I11+I15+I19</f>
        <v>6.5294816341959319</v>
      </c>
      <c r="J21" s="889"/>
      <c r="K21" s="889"/>
      <c r="L21" s="892"/>
      <c r="M21" s="896">
        <f>M11+M15+M19</f>
        <v>5.9585669705945596</v>
      </c>
      <c r="N21" s="896">
        <f>N11+N15+N19</f>
        <v>5.8061443520573359</v>
      </c>
      <c r="O21" s="896">
        <f>O11+O15+O19</f>
        <v>5.7344347753128355</v>
      </c>
      <c r="P21" s="889"/>
      <c r="Q21" s="889"/>
      <c r="R21" s="896">
        <f>R11+R15+R19</f>
        <v>6.0074049221153896</v>
      </c>
      <c r="S21" s="896">
        <f>S11+S15+S19</f>
        <v>5.8509630889099959</v>
      </c>
      <c r="T21" s="896">
        <f>T11+T15+T19</f>
        <v>5.788394839458272</v>
      </c>
      <c r="U21" s="889"/>
      <c r="V21" s="892"/>
      <c r="W21" s="896">
        <f>W11+W15+W19</f>
        <v>10.424327246592156</v>
      </c>
      <c r="X21" s="889"/>
      <c r="Y21" s="889"/>
      <c r="Z21" s="889"/>
      <c r="AA21" s="889"/>
      <c r="AB21" s="896">
        <f>AB11+AB15+AB19</f>
        <v>10.424327246592156</v>
      </c>
      <c r="AC21" s="889"/>
      <c r="AD21" s="889"/>
      <c r="AE21" s="889"/>
      <c r="AF21" s="892"/>
      <c r="AG21" s="896">
        <f>AG11+AG15+AG19</f>
        <v>0.43472521132539854</v>
      </c>
      <c r="AH21" s="896">
        <f>AH11+AH15+AH19</f>
        <v>0.41496973220562433</v>
      </c>
      <c r="AI21" s="896">
        <f>AI11+AI15+AI19</f>
        <v>0.39680758114960502</v>
      </c>
      <c r="AJ21" s="889"/>
      <c r="AK21" s="889"/>
      <c r="AL21" s="896">
        <f>AL11+AL15+AL19</f>
        <v>0.43472521132539854</v>
      </c>
      <c r="AM21" s="896">
        <f>AM11+AM15+AM19</f>
        <v>0.41496973220562433</v>
      </c>
      <c r="AN21" s="896">
        <f>AN11+AN15+AN19</f>
        <v>0.39680758114960502</v>
      </c>
      <c r="AO21" s="889"/>
      <c r="AP21" s="892"/>
      <c r="AQ21" s="896">
        <f>AQ11+AQ15+AQ19</f>
        <v>0.23430626206178473</v>
      </c>
      <c r="AR21" s="896">
        <f>AR11+AR15+AR19</f>
        <v>0.21732752534408747</v>
      </c>
      <c r="AS21" s="896">
        <f t="shared" ref="AS21:AT21" si="28">AS11+AS15+AS19</f>
        <v>0.1446134981686312</v>
      </c>
      <c r="AT21" s="896">
        <f t="shared" si="28"/>
        <v>2.8352666638729814E-2</v>
      </c>
      <c r="AU21" s="889"/>
      <c r="AV21" s="896">
        <f>AV11+AV15+AV19</f>
        <v>0.23430626206178473</v>
      </c>
      <c r="AW21" s="896">
        <f>AW11+AW15+AW19</f>
        <v>0.21732752534408747</v>
      </c>
      <c r="AX21" s="896">
        <f t="shared" ref="AX21:AY21" si="29">AX11+AX15+AX19</f>
        <v>0.1446134981686312</v>
      </c>
      <c r="AY21" s="896">
        <f t="shared" si="29"/>
        <v>2.8352666638729814E-2</v>
      </c>
      <c r="AZ21" s="892"/>
      <c r="BA21" s="896">
        <f>BA11+BA15+BA19</f>
        <v>0.67925658412759971</v>
      </c>
      <c r="BB21" s="889"/>
      <c r="BC21" s="889"/>
      <c r="BD21" s="889"/>
      <c r="BE21" s="889"/>
      <c r="BF21" s="896">
        <f>BF11+BF15+BF19</f>
        <v>0.67925658412759971</v>
      </c>
      <c r="BG21" s="889"/>
      <c r="BH21" s="889"/>
      <c r="BI21" s="889"/>
      <c r="BJ21" s="892"/>
      <c r="BK21" s="896">
        <f>BK11+BK15+BK19</f>
        <v>0.21028982677358804</v>
      </c>
      <c r="BL21" s="896">
        <f>BL11+BL15+BL19</f>
        <v>0.15781689329962226</v>
      </c>
      <c r="BM21" s="896">
        <f>BM11+BM15+BM19</f>
        <v>0.12633729443122013</v>
      </c>
      <c r="BN21" s="896">
        <f>BN11+BN15+BN19</f>
        <v>5.0780015323089026E-2</v>
      </c>
      <c r="BO21" s="889"/>
      <c r="BP21" s="896">
        <f>BP11+BP15+BP19</f>
        <v>0.21028982677358804</v>
      </c>
      <c r="BQ21" s="896">
        <f>BQ11+BQ15+BQ19</f>
        <v>0.15781689329962226</v>
      </c>
      <c r="BR21" s="896">
        <f>BR11+BR15+BR19</f>
        <v>0.12633729443122013</v>
      </c>
      <c r="BS21" s="896">
        <f>BS11+BS15+BS19</f>
        <v>5.0780015323089026E-2</v>
      </c>
      <c r="BT21" s="888"/>
    </row>
    <row r="22" spans="2:72">
      <c r="C22" s="889"/>
      <c r="D22" s="889"/>
      <c r="E22" s="889"/>
      <c r="F22" s="889"/>
      <c r="G22" s="889"/>
      <c r="H22" s="889"/>
      <c r="I22" s="889"/>
      <c r="J22" s="889"/>
      <c r="K22" s="889"/>
      <c r="L22" s="892"/>
      <c r="M22" s="889"/>
      <c r="N22" s="889"/>
      <c r="O22" s="889"/>
      <c r="P22" s="889"/>
      <c r="Q22" s="889"/>
      <c r="R22" s="889"/>
      <c r="S22" s="889"/>
      <c r="T22" s="889"/>
      <c r="U22" s="889"/>
      <c r="V22" s="892"/>
      <c r="W22" s="889"/>
      <c r="X22" s="889"/>
      <c r="Y22" s="889"/>
      <c r="Z22" s="889"/>
      <c r="AA22" s="889"/>
      <c r="AB22" s="889"/>
      <c r="AC22" s="889"/>
      <c r="AD22" s="889"/>
      <c r="AE22" s="889"/>
      <c r="AF22" s="892"/>
      <c r="AG22" s="889"/>
      <c r="AH22" s="889"/>
      <c r="AI22" s="889"/>
      <c r="AJ22" s="889"/>
      <c r="AK22" s="889"/>
      <c r="AL22" s="889"/>
      <c r="AM22" s="889"/>
      <c r="AN22" s="889"/>
      <c r="AO22" s="889"/>
      <c r="AP22" s="892"/>
      <c r="AQ22" s="889"/>
      <c r="AR22" s="889"/>
      <c r="AS22" s="889"/>
      <c r="AT22" s="889"/>
      <c r="AU22" s="889"/>
      <c r="AV22" s="889"/>
      <c r="AW22" s="889"/>
      <c r="AX22" s="889"/>
      <c r="AY22" s="889"/>
      <c r="AZ22" s="892"/>
      <c r="BA22" s="889"/>
      <c r="BB22" s="889"/>
      <c r="BC22" s="889"/>
      <c r="BD22" s="889"/>
      <c r="BE22" s="889"/>
      <c r="BF22" s="889"/>
      <c r="BG22" s="889"/>
      <c r="BH22" s="889"/>
      <c r="BI22" s="889"/>
      <c r="BJ22" s="892"/>
      <c r="BK22" s="889"/>
      <c r="BL22" s="889"/>
      <c r="BM22" s="889"/>
      <c r="BN22" s="889"/>
      <c r="BO22" s="889"/>
      <c r="BP22" s="889"/>
      <c r="BQ22" s="889"/>
      <c r="BR22" s="889"/>
      <c r="BS22" s="889"/>
      <c r="BT22" s="888"/>
    </row>
    <row r="23" spans="2:72">
      <c r="C23" s="889"/>
      <c r="D23" s="889"/>
      <c r="E23" s="889"/>
      <c r="F23" s="889"/>
      <c r="G23" s="889"/>
      <c r="H23" s="889"/>
      <c r="I23" s="889"/>
      <c r="J23" s="889"/>
      <c r="K23" s="889"/>
      <c r="L23" s="892"/>
      <c r="M23" s="889"/>
      <c r="N23" s="889"/>
      <c r="O23" s="889"/>
      <c r="P23" s="889"/>
      <c r="Q23" s="889"/>
      <c r="R23" s="889"/>
      <c r="S23" s="889"/>
      <c r="T23" s="889"/>
      <c r="U23" s="889"/>
      <c r="V23" s="892"/>
      <c r="W23" s="889"/>
      <c r="X23" s="889"/>
      <c r="Y23" s="889"/>
      <c r="Z23" s="889"/>
      <c r="AA23" s="889"/>
      <c r="AB23" s="889"/>
      <c r="AC23" s="889"/>
      <c r="AD23" s="889"/>
      <c r="AE23" s="889"/>
      <c r="AF23" s="892"/>
      <c r="AG23" s="889"/>
      <c r="AH23" s="889"/>
      <c r="AI23" s="889"/>
      <c r="AJ23" s="889"/>
      <c r="AK23" s="889"/>
      <c r="AL23" s="889"/>
      <c r="AM23" s="889"/>
      <c r="AN23" s="889"/>
      <c r="AO23" s="889"/>
      <c r="AP23" s="892"/>
      <c r="AQ23" s="889"/>
      <c r="AR23" s="889"/>
      <c r="AS23" s="889"/>
      <c r="AT23" s="889"/>
      <c r="AU23" s="889"/>
      <c r="AV23" s="889"/>
      <c r="AW23" s="889"/>
      <c r="AX23" s="889"/>
      <c r="AY23" s="889"/>
      <c r="AZ23" s="892"/>
      <c r="BA23" s="889"/>
      <c r="BB23" s="889"/>
      <c r="BC23" s="889"/>
      <c r="BD23" s="889"/>
      <c r="BE23" s="889"/>
      <c r="BF23" s="889"/>
      <c r="BG23" s="889"/>
      <c r="BH23" s="889"/>
      <c r="BI23" s="889"/>
      <c r="BJ23" s="892"/>
      <c r="BK23" s="889"/>
      <c r="BL23" s="889"/>
      <c r="BM23" s="889"/>
      <c r="BN23" s="889"/>
      <c r="BO23" s="889"/>
      <c r="BP23" s="889"/>
      <c r="BQ23" s="889"/>
      <c r="BR23" s="889"/>
      <c r="BS23" s="88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01"/>
  <sheetViews>
    <sheetView tabSelected="1" zoomScaleNormal="100" workbookViewId="0">
      <selection activeCell="K1" sqref="K1"/>
    </sheetView>
  </sheetViews>
  <sheetFormatPr defaultRowHeight="11.25"/>
  <cols>
    <col min="1" max="1" width="8.5" customWidth="1"/>
    <col min="2" max="2" width="29.33203125" bestFit="1" customWidth="1"/>
    <col min="3" max="3" width="12.6640625" customWidth="1"/>
    <col min="4" max="5" width="11.1640625" customWidth="1"/>
    <col min="6" max="6" width="10.83203125" customWidth="1"/>
    <col min="7" max="7" width="13.6640625" customWidth="1"/>
    <col min="9" max="9" width="13" customWidth="1"/>
  </cols>
  <sheetData>
    <row r="1" spans="1:11">
      <c r="A1" s="314"/>
      <c r="B1" s="348" t="s">
        <v>689</v>
      </c>
      <c r="C1" s="349"/>
      <c r="D1" s="349"/>
      <c r="E1" s="349"/>
      <c r="F1" s="349"/>
      <c r="G1" s="349"/>
      <c r="H1" s="349"/>
      <c r="I1" s="314"/>
      <c r="J1" s="314"/>
      <c r="K1" s="348" t="s">
        <v>691</v>
      </c>
    </row>
    <row r="2" spans="1:11">
      <c r="A2" s="314"/>
      <c r="G2" s="350"/>
      <c r="H2" s="350"/>
      <c r="I2" s="314"/>
      <c r="J2" s="314"/>
      <c r="K2" s="314"/>
    </row>
    <row r="3" spans="1:11">
      <c r="A3" s="314"/>
      <c r="B3" s="313"/>
      <c r="C3" s="314"/>
      <c r="D3" s="314"/>
      <c r="E3" s="314"/>
      <c r="F3" s="314"/>
      <c r="G3" s="314"/>
      <c r="H3" s="314"/>
      <c r="I3" s="314"/>
      <c r="J3" s="314"/>
      <c r="K3" s="314"/>
    </row>
    <row r="4" spans="1:11">
      <c r="A4" s="351" t="s">
        <v>313</v>
      </c>
      <c r="B4" s="452" t="s">
        <v>690</v>
      </c>
      <c r="C4" s="315"/>
      <c r="D4" s="316"/>
      <c r="E4" s="317"/>
      <c r="F4" s="318"/>
      <c r="G4" s="317"/>
      <c r="H4" s="319"/>
      <c r="I4" s="314"/>
      <c r="J4" s="314"/>
      <c r="K4" s="314"/>
    </row>
    <row r="5" spans="1:11">
      <c r="A5" s="351"/>
      <c r="B5" s="320"/>
      <c r="C5" s="321"/>
      <c r="D5" s="320"/>
      <c r="E5" s="322"/>
      <c r="F5" s="323"/>
      <c r="G5" s="322"/>
      <c r="H5" s="324"/>
      <c r="I5" s="314"/>
      <c r="J5" s="314"/>
      <c r="K5" s="314"/>
    </row>
    <row r="6" spans="1:11" ht="12" thickBot="1">
      <c r="A6" s="351"/>
      <c r="B6" s="350" t="s">
        <v>307</v>
      </c>
      <c r="C6" s="350" t="s">
        <v>308</v>
      </c>
      <c r="D6" s="350" t="s">
        <v>309</v>
      </c>
      <c r="E6" s="350" t="s">
        <v>310</v>
      </c>
      <c r="F6" s="350" t="s">
        <v>311</v>
      </c>
      <c r="G6" s="322"/>
      <c r="H6" s="324"/>
      <c r="I6" s="314"/>
      <c r="J6" s="314"/>
      <c r="K6" s="314"/>
    </row>
    <row r="7" spans="1:11">
      <c r="A7" s="351"/>
      <c r="B7" s="46"/>
      <c r="C7" s="399" t="s">
        <v>341</v>
      </c>
      <c r="D7" s="369"/>
      <c r="E7" s="369"/>
      <c r="F7" s="370"/>
      <c r="G7" s="325" t="s">
        <v>289</v>
      </c>
      <c r="H7" s="161"/>
      <c r="I7" s="314"/>
      <c r="J7" s="314"/>
      <c r="K7" s="314"/>
    </row>
    <row r="8" spans="1:11">
      <c r="A8" s="351"/>
      <c r="B8" s="46"/>
      <c r="C8" s="371" t="s">
        <v>196</v>
      </c>
      <c r="D8" s="365"/>
      <c r="E8" s="366" t="s">
        <v>197</v>
      </c>
      <c r="F8" s="372"/>
      <c r="G8" s="314"/>
      <c r="H8" s="161"/>
      <c r="I8" s="314"/>
      <c r="J8" s="314"/>
      <c r="K8" s="314"/>
    </row>
    <row r="9" spans="1:11">
      <c r="A9" s="351"/>
      <c r="B9" s="46"/>
      <c r="C9" s="373" t="s">
        <v>198</v>
      </c>
      <c r="D9" s="362" t="s">
        <v>199</v>
      </c>
      <c r="E9" s="362" t="s">
        <v>198</v>
      </c>
      <c r="F9" s="374" t="s">
        <v>199</v>
      </c>
      <c r="G9" s="314"/>
      <c r="H9" s="358"/>
      <c r="I9" s="314"/>
      <c r="J9" s="314"/>
      <c r="K9" s="314"/>
    </row>
    <row r="10" spans="1:11">
      <c r="A10" s="962">
        <v>1</v>
      </c>
      <c r="B10" s="326" t="s">
        <v>290</v>
      </c>
      <c r="C10" s="462">
        <v>1.7345999999999999</v>
      </c>
      <c r="D10" s="447">
        <v>0.73460000000000003</v>
      </c>
      <c r="E10" s="447">
        <v>2.3688699999999998</v>
      </c>
      <c r="F10" s="463">
        <v>1.36887</v>
      </c>
      <c r="G10" s="982" t="s">
        <v>695</v>
      </c>
      <c r="H10" s="357"/>
      <c r="I10" s="314"/>
      <c r="J10" s="314"/>
      <c r="K10" s="314"/>
    </row>
    <row r="11" spans="1:11">
      <c r="A11" s="962">
        <f>A10+1</f>
        <v>2</v>
      </c>
      <c r="B11" s="328" t="s">
        <v>291</v>
      </c>
      <c r="C11" s="462">
        <v>1.4840000000000001E-2</v>
      </c>
      <c r="D11" s="462">
        <v>5.5100000000000001E-3</v>
      </c>
      <c r="E11" s="462">
        <v>1.762E-2</v>
      </c>
      <c r="F11" s="462">
        <v>7.3099999999999997E-3</v>
      </c>
      <c r="G11" s="983" t="s">
        <v>693</v>
      </c>
      <c r="H11" s="359"/>
      <c r="I11" s="314"/>
      <c r="J11" s="314"/>
      <c r="K11" s="314"/>
    </row>
    <row r="12" spans="1:11">
      <c r="A12" s="962">
        <f t="shared" ref="A12:A67" si="0">A11+1</f>
        <v>3</v>
      </c>
      <c r="B12" s="329" t="s">
        <v>292</v>
      </c>
      <c r="C12" s="462">
        <v>0.38690000000000002</v>
      </c>
      <c r="D12" s="451">
        <f t="shared" ref="D12:F13" si="1">C12</f>
        <v>0.38690000000000002</v>
      </c>
      <c r="E12" s="451">
        <f t="shared" si="1"/>
        <v>0.38690000000000002</v>
      </c>
      <c r="F12" s="464">
        <f t="shared" si="1"/>
        <v>0.38690000000000002</v>
      </c>
      <c r="G12" s="982" t="s">
        <v>692</v>
      </c>
      <c r="H12" s="357"/>
      <c r="I12" s="314"/>
      <c r="J12" s="314"/>
      <c r="K12" s="314"/>
    </row>
    <row r="13" spans="1:11">
      <c r="A13" s="962">
        <f t="shared" si="0"/>
        <v>4</v>
      </c>
      <c r="B13" s="446" t="s">
        <v>411</v>
      </c>
      <c r="C13" s="462">
        <v>1.4189999999999999E-2</v>
      </c>
      <c r="D13" s="451">
        <f t="shared" si="1"/>
        <v>1.4189999999999999E-2</v>
      </c>
      <c r="E13" s="451">
        <f t="shared" si="1"/>
        <v>1.4189999999999999E-2</v>
      </c>
      <c r="F13" s="464">
        <f t="shared" si="1"/>
        <v>1.4189999999999999E-2</v>
      </c>
      <c r="G13" s="982" t="s">
        <v>694</v>
      </c>
      <c r="H13" s="357"/>
      <c r="I13" s="314"/>
      <c r="J13" s="314"/>
      <c r="K13" s="314"/>
    </row>
    <row r="14" spans="1:11">
      <c r="A14" s="962">
        <f t="shared" si="0"/>
        <v>5</v>
      </c>
      <c r="B14" s="446" t="s">
        <v>412</v>
      </c>
      <c r="C14" s="462">
        <v>0</v>
      </c>
      <c r="D14" s="447">
        <v>0</v>
      </c>
      <c r="E14" s="447">
        <v>0</v>
      </c>
      <c r="F14" s="463">
        <v>0</v>
      </c>
      <c r="G14" s="984" t="str">
        <f>+G10</f>
        <v>Rates approved in Docket No. 13-057-05, effective March 1, 2014.</v>
      </c>
      <c r="H14" s="357"/>
      <c r="I14" s="314"/>
      <c r="J14" s="314"/>
      <c r="K14" s="314"/>
    </row>
    <row r="15" spans="1:11">
      <c r="A15" s="962">
        <f t="shared" si="0"/>
        <v>6</v>
      </c>
      <c r="B15" s="330" t="s">
        <v>293</v>
      </c>
      <c r="C15" s="377">
        <f>SUM(C10:C14)</f>
        <v>2.1505299999999998</v>
      </c>
      <c r="D15" s="377">
        <f t="shared" ref="D15:F15" si="2">SUM(D10:D14)</f>
        <v>1.1412</v>
      </c>
      <c r="E15" s="377">
        <f t="shared" si="2"/>
        <v>2.7875800000000002</v>
      </c>
      <c r="F15" s="453">
        <f t="shared" si="2"/>
        <v>1.7772699999999999</v>
      </c>
      <c r="G15" s="320"/>
      <c r="H15" s="356"/>
      <c r="I15" s="314"/>
      <c r="J15" s="314"/>
      <c r="K15" s="314"/>
    </row>
    <row r="16" spans="1:11">
      <c r="A16" s="962">
        <f t="shared" si="0"/>
        <v>7</v>
      </c>
      <c r="B16" s="331"/>
      <c r="C16" s="377"/>
      <c r="D16" s="364"/>
      <c r="E16" s="364"/>
      <c r="F16" s="378"/>
      <c r="G16" s="320"/>
      <c r="H16" s="356"/>
      <c r="I16" s="314"/>
      <c r="J16" s="314"/>
      <c r="K16" s="314"/>
    </row>
    <row r="17" spans="1:15">
      <c r="A17" s="962">
        <f t="shared" si="0"/>
        <v>8</v>
      </c>
      <c r="B17" s="331" t="s">
        <v>294</v>
      </c>
      <c r="C17" s="525">
        <v>0.51724999999999999</v>
      </c>
      <c r="D17" s="527">
        <f>C17</f>
        <v>0.51724999999999999</v>
      </c>
      <c r="E17" s="526">
        <v>1.10168</v>
      </c>
      <c r="F17" s="528">
        <f>E17</f>
        <v>1.10168</v>
      </c>
      <c r="G17" s="984" t="str">
        <f>+G11</f>
        <v>Rates approved in Docket No. 13-057-07, effective October 1, 2013.</v>
      </c>
      <c r="H17" s="356"/>
      <c r="I17" s="314"/>
      <c r="J17" s="314"/>
      <c r="K17" s="314"/>
    </row>
    <row r="18" spans="1:15">
      <c r="A18" s="962">
        <f t="shared" si="0"/>
        <v>9</v>
      </c>
      <c r="B18" s="331" t="s">
        <v>295</v>
      </c>
      <c r="C18" s="525">
        <v>0</v>
      </c>
      <c r="D18" s="527">
        <f>C18</f>
        <v>0</v>
      </c>
      <c r="E18" s="526">
        <v>0</v>
      </c>
      <c r="F18" s="528">
        <f>E18</f>
        <v>0</v>
      </c>
      <c r="G18" s="984" t="str">
        <f>+G11</f>
        <v>Rates approved in Docket No. 13-057-07, effective October 1, 2013.</v>
      </c>
      <c r="H18" s="356"/>
      <c r="I18" s="314"/>
      <c r="J18" s="314"/>
      <c r="K18" s="314"/>
    </row>
    <row r="19" spans="1:15">
      <c r="A19" s="962">
        <f t="shared" si="0"/>
        <v>10</v>
      </c>
      <c r="B19" s="332" t="s">
        <v>296</v>
      </c>
      <c r="C19" s="375">
        <f>SUM(C17:C18)</f>
        <v>0.51724999999999999</v>
      </c>
      <c r="D19" s="375">
        <f t="shared" ref="D19:F19" si="3">SUM(D17:D18)</f>
        <v>0.51724999999999999</v>
      </c>
      <c r="E19" s="375">
        <f t="shared" si="3"/>
        <v>1.10168</v>
      </c>
      <c r="F19" s="375">
        <f t="shared" si="3"/>
        <v>1.10168</v>
      </c>
      <c r="G19" s="985"/>
      <c r="H19" s="357"/>
      <c r="I19" s="314"/>
      <c r="J19" s="314"/>
      <c r="K19" s="314"/>
    </row>
    <row r="20" spans="1:15">
      <c r="A20" s="962">
        <f t="shared" si="0"/>
        <v>11</v>
      </c>
      <c r="B20" s="333"/>
      <c r="C20" s="375"/>
      <c r="D20" s="363"/>
      <c r="E20" s="363"/>
      <c r="F20" s="376"/>
      <c r="G20" s="320"/>
      <c r="H20" s="357"/>
      <c r="I20" s="314"/>
      <c r="J20" s="314"/>
      <c r="K20" s="314"/>
    </row>
    <row r="21" spans="1:15">
      <c r="A21" s="962">
        <f t="shared" si="0"/>
        <v>12</v>
      </c>
      <c r="B21" s="333" t="s">
        <v>297</v>
      </c>
      <c r="C21" s="465">
        <v>4.3997900000000003</v>
      </c>
      <c r="D21" s="449">
        <f>C21</f>
        <v>4.3997900000000003</v>
      </c>
      <c r="E21" s="449">
        <f t="shared" ref="E21:F22" si="4">D21</f>
        <v>4.3997900000000003</v>
      </c>
      <c r="F21" s="449">
        <f t="shared" si="4"/>
        <v>4.3997900000000003</v>
      </c>
      <c r="G21" s="984" t="str">
        <f>+G18</f>
        <v>Rates approved in Docket No. 13-057-07, effective October 1, 2013.</v>
      </c>
      <c r="H21" s="357"/>
      <c r="I21" s="314"/>
      <c r="J21" s="314"/>
      <c r="K21" s="314"/>
    </row>
    <row r="22" spans="1:15">
      <c r="A22" s="962">
        <f t="shared" si="0"/>
        <v>13</v>
      </c>
      <c r="B22" s="333" t="s">
        <v>298</v>
      </c>
      <c r="C22" s="465">
        <v>2.9860000000000001E-2</v>
      </c>
      <c r="D22" s="449">
        <f>C22</f>
        <v>2.9860000000000001E-2</v>
      </c>
      <c r="E22" s="449">
        <f t="shared" si="4"/>
        <v>2.9860000000000001E-2</v>
      </c>
      <c r="F22" s="449">
        <f t="shared" si="4"/>
        <v>2.9860000000000001E-2</v>
      </c>
      <c r="G22" s="984" t="str">
        <f>+G21</f>
        <v>Rates approved in Docket No. 13-057-07, effective October 1, 2013.</v>
      </c>
      <c r="H22" s="357"/>
      <c r="I22" s="314"/>
      <c r="J22" s="314"/>
      <c r="K22" s="314"/>
    </row>
    <row r="23" spans="1:15">
      <c r="A23" s="962">
        <f t="shared" si="0"/>
        <v>14</v>
      </c>
      <c r="B23" s="332" t="s">
        <v>299</v>
      </c>
      <c r="C23" s="375">
        <f>SUM(C21:C22)</f>
        <v>4.4296500000000005</v>
      </c>
      <c r="D23" s="375">
        <f t="shared" ref="D23:F23" si="5">SUM(D21:D22)</f>
        <v>4.4296500000000005</v>
      </c>
      <c r="E23" s="375">
        <f t="shared" si="5"/>
        <v>4.4296500000000005</v>
      </c>
      <c r="F23" s="375">
        <f t="shared" si="5"/>
        <v>4.4296500000000005</v>
      </c>
      <c r="G23" s="327"/>
      <c r="H23" s="357"/>
      <c r="I23" s="314"/>
      <c r="J23" s="314"/>
      <c r="K23" s="314"/>
    </row>
    <row r="24" spans="1:15">
      <c r="A24" s="962">
        <f t="shared" si="0"/>
        <v>15</v>
      </c>
      <c r="B24" s="332"/>
      <c r="C24" s="375"/>
      <c r="D24" s="363"/>
      <c r="E24" s="363"/>
      <c r="F24" s="376"/>
      <c r="G24" s="314"/>
      <c r="H24" s="357"/>
      <c r="I24" s="314"/>
      <c r="J24" s="314"/>
      <c r="K24" s="314"/>
    </row>
    <row r="25" spans="1:15" ht="12" thickBot="1">
      <c r="A25" s="962">
        <f t="shared" si="0"/>
        <v>16</v>
      </c>
      <c r="B25" s="332" t="s">
        <v>300</v>
      </c>
      <c r="C25" s="379">
        <f>C15+C19+C23</f>
        <v>7.0974300000000001</v>
      </c>
      <c r="D25" s="379">
        <f t="shared" ref="D25:F25" si="6">D15+D19+D23</f>
        <v>6.0881000000000007</v>
      </c>
      <c r="E25" s="379">
        <f t="shared" si="6"/>
        <v>8.3189100000000007</v>
      </c>
      <c r="F25" s="379">
        <f t="shared" si="6"/>
        <v>7.3086000000000002</v>
      </c>
      <c r="G25" s="314"/>
      <c r="H25" s="360"/>
      <c r="I25" s="314"/>
      <c r="J25" s="314"/>
      <c r="K25" s="314"/>
      <c r="N25" s="884">
        <f>E25-E11+E32</f>
        <v>8.1446799999999993</v>
      </c>
      <c r="O25" s="884">
        <f>N25-E25</f>
        <v>-0.17423000000000144</v>
      </c>
    </row>
    <row r="26" spans="1:15">
      <c r="A26" s="962">
        <f t="shared" si="0"/>
        <v>17</v>
      </c>
      <c r="B26" s="334"/>
      <c r="C26" s="335"/>
      <c r="D26" s="314"/>
      <c r="E26" s="336"/>
      <c r="F26" s="327"/>
      <c r="G26" s="314"/>
      <c r="H26" s="361"/>
      <c r="I26" s="314"/>
      <c r="J26" s="314"/>
      <c r="K26" s="314"/>
    </row>
    <row r="27" spans="1:15" ht="12" thickBot="1">
      <c r="A27" s="962">
        <f t="shared" si="0"/>
        <v>18</v>
      </c>
      <c r="B27" s="334"/>
      <c r="C27" s="335"/>
      <c r="D27" s="314"/>
      <c r="E27" s="336"/>
      <c r="F27" s="327"/>
      <c r="G27" s="314"/>
      <c r="H27" s="361"/>
      <c r="I27" s="314"/>
      <c r="J27" s="314"/>
      <c r="K27" s="314"/>
    </row>
    <row r="28" spans="1:15">
      <c r="A28" s="962">
        <f t="shared" si="0"/>
        <v>19</v>
      </c>
      <c r="B28" s="46"/>
      <c r="C28" s="400" t="s">
        <v>342</v>
      </c>
      <c r="D28" s="380"/>
      <c r="E28" s="381"/>
      <c r="F28" s="382"/>
      <c r="G28" s="314"/>
      <c r="H28" s="161"/>
      <c r="I28" s="314"/>
      <c r="J28" s="314"/>
      <c r="K28" s="314"/>
    </row>
    <row r="29" spans="1:15">
      <c r="A29" s="962">
        <f t="shared" si="0"/>
        <v>20</v>
      </c>
      <c r="B29" s="46"/>
      <c r="C29" s="383" t="s">
        <v>196</v>
      </c>
      <c r="D29" s="367"/>
      <c r="E29" s="368" t="s">
        <v>197</v>
      </c>
      <c r="F29" s="384"/>
      <c r="G29" s="314"/>
      <c r="H29" s="161"/>
      <c r="I29" s="314"/>
      <c r="J29" s="314"/>
      <c r="K29" s="314"/>
    </row>
    <row r="30" spans="1:15">
      <c r="A30" s="962">
        <f t="shared" si="0"/>
        <v>21</v>
      </c>
      <c r="B30" s="46"/>
      <c r="C30" s="373" t="s">
        <v>198</v>
      </c>
      <c r="D30" s="362" t="s">
        <v>199</v>
      </c>
      <c r="E30" s="362" t="s">
        <v>198</v>
      </c>
      <c r="F30" s="374" t="s">
        <v>199</v>
      </c>
      <c r="G30" s="314"/>
      <c r="H30" s="358"/>
      <c r="I30" s="314"/>
      <c r="J30" s="314"/>
      <c r="K30" s="314"/>
    </row>
    <row r="31" spans="1:15">
      <c r="A31" s="962">
        <f t="shared" si="0"/>
        <v>22</v>
      </c>
      <c r="B31" s="326" t="s">
        <v>290</v>
      </c>
      <c r="C31" s="375">
        <v>1.7345999999999999</v>
      </c>
      <c r="D31" s="363">
        <v>0.73460000000000003</v>
      </c>
      <c r="E31" s="363">
        <v>2.3688699999999998</v>
      </c>
      <c r="F31" s="376">
        <v>1.36887</v>
      </c>
      <c r="G31" s="448"/>
      <c r="H31" s="357"/>
      <c r="I31" s="314"/>
      <c r="J31" s="314"/>
      <c r="K31" s="314"/>
    </row>
    <row r="32" spans="1:15">
      <c r="A32" s="962">
        <f t="shared" si="0"/>
        <v>23</v>
      </c>
      <c r="B32" s="328" t="s">
        <v>291</v>
      </c>
      <c r="C32" s="462">
        <v>-0.11468</v>
      </c>
      <c r="D32" s="462">
        <v>-4.8570000000000002E-2</v>
      </c>
      <c r="E32" s="462">
        <v>-0.15661</v>
      </c>
      <c r="F32" s="462">
        <v>-9.0499999999999997E-2</v>
      </c>
      <c r="G32" s="881" t="s">
        <v>688</v>
      </c>
      <c r="H32" s="357"/>
      <c r="I32" s="314"/>
      <c r="J32" s="314"/>
      <c r="K32" s="314"/>
    </row>
    <row r="33" spans="1:17">
      <c r="A33" s="962">
        <f t="shared" si="0"/>
        <v>24</v>
      </c>
      <c r="B33" s="329" t="s">
        <v>292</v>
      </c>
      <c r="C33" s="462">
        <v>0.38690000000000002</v>
      </c>
      <c r="D33" s="451">
        <f t="shared" ref="D33:F34" si="7">C33</f>
        <v>0.38690000000000002</v>
      </c>
      <c r="E33" s="451">
        <f t="shared" si="7"/>
        <v>0.38690000000000002</v>
      </c>
      <c r="F33" s="464">
        <f t="shared" si="7"/>
        <v>0.38690000000000002</v>
      </c>
      <c r="G33" s="881"/>
      <c r="H33" s="357"/>
      <c r="I33" s="314"/>
      <c r="J33" s="314"/>
      <c r="K33" s="314"/>
    </row>
    <row r="34" spans="1:17">
      <c r="A34" s="962">
        <f t="shared" si="0"/>
        <v>25</v>
      </c>
      <c r="B34" s="446" t="s">
        <v>411</v>
      </c>
      <c r="C34" s="462">
        <v>1.4189999999999999E-2</v>
      </c>
      <c r="D34" s="451">
        <f t="shared" si="7"/>
        <v>1.4189999999999999E-2</v>
      </c>
      <c r="E34" s="451">
        <f t="shared" si="7"/>
        <v>1.4189999999999999E-2</v>
      </c>
      <c r="F34" s="464">
        <f t="shared" si="7"/>
        <v>1.4189999999999999E-2</v>
      </c>
      <c r="G34" s="881"/>
      <c r="H34" s="357"/>
      <c r="I34" s="314"/>
      <c r="J34" s="314"/>
      <c r="K34" s="314"/>
    </row>
    <row r="35" spans="1:17">
      <c r="A35" s="962">
        <f t="shared" si="0"/>
        <v>26</v>
      </c>
      <c r="B35" s="446" t="s">
        <v>412</v>
      </c>
      <c r="C35" s="462">
        <v>0</v>
      </c>
      <c r="D35" s="462">
        <v>0</v>
      </c>
      <c r="E35" s="462">
        <v>0</v>
      </c>
      <c r="F35" s="462">
        <v>0</v>
      </c>
      <c r="G35" s="881"/>
      <c r="H35" s="357"/>
      <c r="I35" s="314"/>
      <c r="J35" s="314"/>
      <c r="K35" s="314"/>
    </row>
    <row r="36" spans="1:17">
      <c r="A36" s="962">
        <f t="shared" si="0"/>
        <v>27</v>
      </c>
      <c r="B36" s="330" t="s">
        <v>293</v>
      </c>
      <c r="C36" s="377">
        <f>SUM(C31:C35)</f>
        <v>2.0210100000000004</v>
      </c>
      <c r="D36" s="377">
        <f>SUM(D31:D35)</f>
        <v>1.0871199999999999</v>
      </c>
      <c r="E36" s="377">
        <f t="shared" ref="E36:F36" si="8">SUM(E31:E35)</f>
        <v>2.6133499999999996</v>
      </c>
      <c r="F36" s="453">
        <f t="shared" si="8"/>
        <v>1.67946</v>
      </c>
      <c r="G36" s="314"/>
      <c r="H36" s="356"/>
      <c r="I36" s="314"/>
      <c r="J36" s="314"/>
      <c r="K36" s="314"/>
    </row>
    <row r="37" spans="1:17">
      <c r="A37" s="962">
        <f t="shared" si="0"/>
        <v>28</v>
      </c>
      <c r="B37" s="337"/>
      <c r="C37" s="377"/>
      <c r="D37" s="364"/>
      <c r="E37" s="364"/>
      <c r="F37" s="378"/>
      <c r="G37" s="314"/>
      <c r="H37" s="356"/>
      <c r="I37" s="314"/>
      <c r="J37" s="314"/>
      <c r="K37" s="314"/>
    </row>
    <row r="38" spans="1:17">
      <c r="A38" s="962">
        <f t="shared" si="0"/>
        <v>29</v>
      </c>
      <c r="B38" s="340" t="s">
        <v>294</v>
      </c>
      <c r="C38" s="530">
        <f>IF($Q$38="yes",#REF!,Rates!U62)</f>
        <v>0.52593000000000001</v>
      </c>
      <c r="D38" s="941">
        <f>C38</f>
        <v>0.52593000000000001</v>
      </c>
      <c r="E38" s="530">
        <f>IF($Q$38="yes",#REF!,Rates!U61)</f>
        <v>1.12016</v>
      </c>
      <c r="F38" s="528">
        <f>E38</f>
        <v>1.12016</v>
      </c>
      <c r="G38" s="881" t="str">
        <f>+G42</f>
        <v>Rates requested in Docket No. 14-057-09, effective June 1, 2014</v>
      </c>
      <c r="H38" s="356"/>
      <c r="I38" s="314"/>
      <c r="J38" s="314"/>
      <c r="K38" s="314"/>
      <c r="Q38" s="488"/>
    </row>
    <row r="39" spans="1:17">
      <c r="A39" s="962">
        <f t="shared" si="0"/>
        <v>30</v>
      </c>
      <c r="B39" s="340" t="s">
        <v>295</v>
      </c>
      <c r="C39" s="530">
        <f>IF($Q$38="yes",#REF!,Rates!V62)</f>
        <v>-3.1540000000000012E-2</v>
      </c>
      <c r="D39" s="527">
        <f>C39</f>
        <v>-3.1540000000000012E-2</v>
      </c>
      <c r="E39" s="530">
        <f>IF($Q$38="yes",#REF!,Rates!V61)</f>
        <v>-6.7180000000000017E-2</v>
      </c>
      <c r="F39" s="528">
        <f>E39</f>
        <v>-6.7180000000000017E-2</v>
      </c>
      <c r="G39" s="881" t="str">
        <f>+G38</f>
        <v>Rates requested in Docket No. 14-057-09, effective June 1, 2014</v>
      </c>
      <c r="H39" s="359"/>
      <c r="I39" s="314"/>
      <c r="J39" s="314"/>
      <c r="K39" s="314"/>
    </row>
    <row r="40" spans="1:17">
      <c r="A40" s="962">
        <f t="shared" si="0"/>
        <v>31</v>
      </c>
      <c r="B40" s="332" t="s">
        <v>296</v>
      </c>
      <c r="C40" s="375">
        <f>SUM(C38:C39)</f>
        <v>0.49439</v>
      </c>
      <c r="D40" s="375">
        <f t="shared" ref="D40:F40" si="9">SUM(D38:D39)</f>
        <v>0.49439</v>
      </c>
      <c r="E40" s="375">
        <f t="shared" si="9"/>
        <v>1.05298</v>
      </c>
      <c r="F40" s="437">
        <f t="shared" si="9"/>
        <v>1.05298</v>
      </c>
      <c r="G40" s="314"/>
      <c r="H40" s="357"/>
      <c r="I40" s="314"/>
      <c r="J40" s="314"/>
      <c r="K40" s="314"/>
    </row>
    <row r="41" spans="1:17">
      <c r="A41" s="962">
        <f t="shared" si="0"/>
        <v>32</v>
      </c>
      <c r="B41" s="326"/>
      <c r="C41" s="375"/>
      <c r="D41" s="363"/>
      <c r="E41" s="363"/>
      <c r="F41" s="376"/>
      <c r="G41" s="314"/>
      <c r="H41" s="357"/>
      <c r="I41" s="314"/>
      <c r="J41" s="314"/>
      <c r="K41" s="314"/>
    </row>
    <row r="42" spans="1:17">
      <c r="A42" s="962">
        <f t="shared" si="0"/>
        <v>33</v>
      </c>
      <c r="B42" s="341" t="s">
        <v>297</v>
      </c>
      <c r="C42" s="454">
        <f>Rates!G45</f>
        <v>5.0522400000000003</v>
      </c>
      <c r="D42" s="449">
        <f>C42</f>
        <v>5.0522400000000003</v>
      </c>
      <c r="E42" s="449">
        <f t="shared" ref="E42:F43" si="10">D42</f>
        <v>5.0522400000000003</v>
      </c>
      <c r="F42" s="449">
        <f t="shared" si="10"/>
        <v>5.0522400000000003</v>
      </c>
      <c r="G42" s="881" t="s">
        <v>678</v>
      </c>
      <c r="H42" s="359"/>
      <c r="I42" s="314"/>
      <c r="J42" s="314"/>
      <c r="K42" s="314"/>
      <c r="M42" s="887"/>
      <c r="N42" s="887"/>
    </row>
    <row r="43" spans="1:17">
      <c r="A43" s="962">
        <f t="shared" si="0"/>
        <v>34</v>
      </c>
      <c r="B43" s="342" t="s">
        <v>298</v>
      </c>
      <c r="C43" s="454">
        <f>Rates!G46</f>
        <v>0.22364000000000001</v>
      </c>
      <c r="D43" s="449">
        <f>C43</f>
        <v>0.22364000000000001</v>
      </c>
      <c r="E43" s="449">
        <f t="shared" si="10"/>
        <v>0.22364000000000001</v>
      </c>
      <c r="F43" s="449">
        <f t="shared" si="10"/>
        <v>0.22364000000000001</v>
      </c>
      <c r="G43" s="881" t="s">
        <v>678</v>
      </c>
      <c r="H43" s="356"/>
      <c r="I43" s="314"/>
      <c r="J43" s="314"/>
      <c r="K43" s="314"/>
      <c r="M43" s="887"/>
      <c r="N43" s="887"/>
    </row>
    <row r="44" spans="1:17">
      <c r="A44" s="962">
        <f t="shared" si="0"/>
        <v>35</v>
      </c>
      <c r="B44" s="332" t="s">
        <v>299</v>
      </c>
      <c r="C44" s="375">
        <f>SUM(C42:C43)</f>
        <v>5.2758799999999999</v>
      </c>
      <c r="D44" s="375">
        <f t="shared" ref="D44:F44" si="11">SUM(D42:D43)</f>
        <v>5.2758799999999999</v>
      </c>
      <c r="E44" s="375">
        <f t="shared" si="11"/>
        <v>5.2758799999999999</v>
      </c>
      <c r="F44" s="437">
        <f t="shared" si="11"/>
        <v>5.2758799999999999</v>
      </c>
      <c r="G44" s="357"/>
      <c r="H44" s="357"/>
      <c r="I44" s="314"/>
      <c r="J44" s="314"/>
      <c r="K44" s="314"/>
      <c r="M44" s="887"/>
      <c r="N44" s="887"/>
    </row>
    <row r="45" spans="1:17">
      <c r="A45" s="962">
        <f t="shared" si="0"/>
        <v>36</v>
      </c>
      <c r="B45" s="332"/>
      <c r="C45" s="375"/>
      <c r="D45" s="363"/>
      <c r="E45" s="363"/>
      <c r="F45" s="376"/>
      <c r="G45" s="357"/>
      <c r="H45" s="357"/>
      <c r="I45" s="314"/>
      <c r="J45" s="314"/>
      <c r="K45" s="314"/>
    </row>
    <row r="46" spans="1:17" ht="12" thickBot="1">
      <c r="A46" s="962">
        <f t="shared" si="0"/>
        <v>37</v>
      </c>
      <c r="B46" s="332" t="s">
        <v>300</v>
      </c>
      <c r="C46" s="379">
        <f>C36+C40+C44</f>
        <v>7.7912800000000004</v>
      </c>
      <c r="D46" s="379">
        <f t="shared" ref="D46:F46" si="12">D36+D40+D44</f>
        <v>6.8573899999999997</v>
      </c>
      <c r="E46" s="379">
        <f t="shared" si="12"/>
        <v>8.9422099999999993</v>
      </c>
      <c r="F46" s="495">
        <f t="shared" si="12"/>
        <v>8.0083199999999994</v>
      </c>
      <c r="G46" s="360"/>
      <c r="H46" s="360"/>
      <c r="I46" s="314"/>
      <c r="J46" s="314"/>
      <c r="K46" s="314"/>
    </row>
    <row r="47" spans="1:17">
      <c r="A47" s="962">
        <f t="shared" si="0"/>
        <v>38</v>
      </c>
      <c r="B47" s="161"/>
      <c r="C47" s="360"/>
      <c r="D47" s="360"/>
      <c r="E47" s="360"/>
      <c r="F47" s="360"/>
      <c r="G47" s="360"/>
      <c r="H47" s="360"/>
      <c r="I47" s="314"/>
      <c r="J47" s="314"/>
      <c r="K47" s="314"/>
    </row>
    <row r="48" spans="1:17" ht="12" thickBot="1">
      <c r="A48" s="351">
        <f t="shared" si="0"/>
        <v>39</v>
      </c>
      <c r="B48" s="161"/>
      <c r="C48" s="360"/>
      <c r="D48" s="360"/>
      <c r="E48" s="360"/>
      <c r="F48" s="360"/>
      <c r="G48" s="360"/>
      <c r="H48" s="360"/>
      <c r="I48" s="314"/>
      <c r="J48" s="314"/>
      <c r="K48" s="314"/>
    </row>
    <row r="49" spans="1:16">
      <c r="A49" s="351">
        <f t="shared" si="0"/>
        <v>40</v>
      </c>
      <c r="B49" s="46"/>
      <c r="C49" s="400" t="s">
        <v>395</v>
      </c>
      <c r="D49" s="380"/>
      <c r="E49" s="381"/>
      <c r="F49" s="382"/>
      <c r="G49" s="314"/>
      <c r="H49" s="314"/>
      <c r="I49" s="314"/>
      <c r="J49" s="314"/>
      <c r="K49" s="314"/>
    </row>
    <row r="50" spans="1:16">
      <c r="A50" s="351">
        <f t="shared" si="0"/>
        <v>41</v>
      </c>
      <c r="B50" s="46"/>
      <c r="C50" s="383" t="s">
        <v>196</v>
      </c>
      <c r="D50" s="367"/>
      <c r="E50" s="368" t="s">
        <v>197</v>
      </c>
      <c r="F50" s="384"/>
      <c r="G50" s="314"/>
      <c r="H50" s="314"/>
      <c r="I50" s="314"/>
      <c r="J50" s="314"/>
      <c r="K50" s="314"/>
    </row>
    <row r="51" spans="1:16">
      <c r="A51" s="351">
        <f t="shared" si="0"/>
        <v>42</v>
      </c>
      <c r="B51" s="46"/>
      <c r="C51" s="373" t="s">
        <v>198</v>
      </c>
      <c r="D51" s="362" t="s">
        <v>199</v>
      </c>
      <c r="E51" s="362" t="s">
        <v>198</v>
      </c>
      <c r="F51" s="374" t="s">
        <v>199</v>
      </c>
      <c r="G51" s="314"/>
      <c r="H51" s="314"/>
      <c r="I51" s="314"/>
      <c r="J51" s="314"/>
      <c r="K51" s="314"/>
    </row>
    <row r="52" spans="1:16">
      <c r="A52" s="351">
        <f t="shared" si="0"/>
        <v>43</v>
      </c>
      <c r="B52" s="326" t="s">
        <v>290</v>
      </c>
      <c r="C52" s="375">
        <f>C31-C10</f>
        <v>0</v>
      </c>
      <c r="D52" s="375">
        <f t="shared" ref="D52:F52" si="13">D31-D10</f>
        <v>0</v>
      </c>
      <c r="E52" s="375">
        <f t="shared" si="13"/>
        <v>0</v>
      </c>
      <c r="F52" s="437">
        <f t="shared" si="13"/>
        <v>0</v>
      </c>
      <c r="G52" s="314"/>
      <c r="H52" s="314"/>
      <c r="I52" s="314"/>
      <c r="J52" s="314"/>
      <c r="K52" s="314"/>
    </row>
    <row r="53" spans="1:16">
      <c r="A53" s="351">
        <f t="shared" si="0"/>
        <v>44</v>
      </c>
      <c r="B53" s="328" t="s">
        <v>291</v>
      </c>
      <c r="C53" s="375">
        <f t="shared" ref="C53:F56" si="14">C32-C11</f>
        <v>-0.12952</v>
      </c>
      <c r="D53" s="375">
        <f t="shared" si="14"/>
        <v>-5.4080000000000003E-2</v>
      </c>
      <c r="E53" s="375">
        <f t="shared" si="14"/>
        <v>-0.17423</v>
      </c>
      <c r="F53" s="437">
        <f t="shared" si="14"/>
        <v>-9.7809999999999994E-2</v>
      </c>
      <c r="G53" s="314"/>
      <c r="H53" s="314"/>
      <c r="I53" s="314"/>
      <c r="J53" s="314"/>
      <c r="K53" s="314"/>
    </row>
    <row r="54" spans="1:16">
      <c r="A54" s="351">
        <f t="shared" si="0"/>
        <v>45</v>
      </c>
      <c r="B54" s="329" t="s">
        <v>292</v>
      </c>
      <c r="C54" s="375">
        <f t="shared" si="14"/>
        <v>0</v>
      </c>
      <c r="D54" s="375">
        <f t="shared" si="14"/>
        <v>0</v>
      </c>
      <c r="E54" s="375">
        <f t="shared" si="14"/>
        <v>0</v>
      </c>
      <c r="F54" s="437">
        <f t="shared" si="14"/>
        <v>0</v>
      </c>
      <c r="G54" s="314"/>
      <c r="H54" s="314"/>
      <c r="I54" s="314"/>
      <c r="J54" s="314"/>
      <c r="K54" s="314"/>
    </row>
    <row r="55" spans="1:16">
      <c r="A55" s="351">
        <f t="shared" si="0"/>
        <v>46</v>
      </c>
      <c r="B55" s="446" t="s">
        <v>411</v>
      </c>
      <c r="C55" s="375">
        <f t="shared" si="14"/>
        <v>0</v>
      </c>
      <c r="D55" s="375">
        <f t="shared" si="14"/>
        <v>0</v>
      </c>
      <c r="E55" s="375">
        <f t="shared" si="14"/>
        <v>0</v>
      </c>
      <c r="F55" s="437">
        <f t="shared" si="14"/>
        <v>0</v>
      </c>
      <c r="G55" s="314"/>
      <c r="H55" s="314"/>
      <c r="I55" s="314"/>
      <c r="J55" s="314"/>
      <c r="K55" s="314"/>
    </row>
    <row r="56" spans="1:16">
      <c r="A56" s="351">
        <f t="shared" si="0"/>
        <v>47</v>
      </c>
      <c r="B56" s="446" t="s">
        <v>412</v>
      </c>
      <c r="C56" s="375">
        <f t="shared" si="14"/>
        <v>0</v>
      </c>
      <c r="D56" s="375">
        <f t="shared" si="14"/>
        <v>0</v>
      </c>
      <c r="E56" s="375">
        <f t="shared" si="14"/>
        <v>0</v>
      </c>
      <c r="F56" s="437">
        <f t="shared" si="14"/>
        <v>0</v>
      </c>
      <c r="G56" s="314"/>
      <c r="H56" s="314"/>
      <c r="I56" s="314"/>
      <c r="J56" s="314"/>
      <c r="K56" s="314"/>
    </row>
    <row r="57" spans="1:16">
      <c r="A57" s="351">
        <f t="shared" si="0"/>
        <v>48</v>
      </c>
      <c r="B57" s="330" t="s">
        <v>293</v>
      </c>
      <c r="C57" s="493">
        <f>SUM(C52:C56)</f>
        <v>-0.12952</v>
      </c>
      <c r="D57" s="493">
        <f t="shared" ref="D57:F57" si="15">SUM(D52:D56)</f>
        <v>-5.4080000000000003E-2</v>
      </c>
      <c r="E57" s="493">
        <f t="shared" si="15"/>
        <v>-0.17423</v>
      </c>
      <c r="F57" s="494">
        <f t="shared" si="15"/>
        <v>-9.7809999999999994E-2</v>
      </c>
      <c r="G57" s="314"/>
      <c r="H57" s="314"/>
      <c r="I57" s="314"/>
      <c r="J57" s="314"/>
      <c r="K57" s="314"/>
    </row>
    <row r="58" spans="1:16">
      <c r="A58" s="351">
        <f t="shared" si="0"/>
        <v>49</v>
      </c>
      <c r="B58" s="337"/>
      <c r="C58" s="377"/>
      <c r="D58" s="364"/>
      <c r="E58" s="364"/>
      <c r="F58" s="378"/>
      <c r="G58" s="314"/>
      <c r="H58" s="314"/>
      <c r="I58" s="314"/>
      <c r="J58" s="314"/>
      <c r="K58" s="314"/>
    </row>
    <row r="59" spans="1:16">
      <c r="A59" s="351">
        <f t="shared" si="0"/>
        <v>50</v>
      </c>
      <c r="B59" s="455" t="s">
        <v>294</v>
      </c>
      <c r="C59" s="375">
        <f t="shared" ref="C59:F60" si="16">C38-C17</f>
        <v>8.680000000000021E-3</v>
      </c>
      <c r="D59" s="375">
        <f t="shared" si="16"/>
        <v>8.680000000000021E-3</v>
      </c>
      <c r="E59" s="375">
        <f t="shared" si="16"/>
        <v>1.8480000000000052E-2</v>
      </c>
      <c r="F59" s="437">
        <f t="shared" si="16"/>
        <v>1.8480000000000052E-2</v>
      </c>
      <c r="G59" s="314"/>
      <c r="H59" s="314"/>
      <c r="I59" s="314"/>
      <c r="J59" s="314"/>
      <c r="K59" s="314"/>
    </row>
    <row r="60" spans="1:16">
      <c r="A60" s="351">
        <f t="shared" si="0"/>
        <v>51</v>
      </c>
      <c r="B60" s="455" t="s">
        <v>295</v>
      </c>
      <c r="C60" s="375">
        <f t="shared" si="16"/>
        <v>-3.1540000000000012E-2</v>
      </c>
      <c r="D60" s="375">
        <f t="shared" si="16"/>
        <v>-3.1540000000000012E-2</v>
      </c>
      <c r="E60" s="375">
        <f t="shared" si="16"/>
        <v>-6.7180000000000017E-2</v>
      </c>
      <c r="F60" s="437">
        <f t="shared" si="16"/>
        <v>-6.7180000000000017E-2</v>
      </c>
      <c r="G60" s="314"/>
      <c r="H60" s="314"/>
      <c r="I60" s="314"/>
      <c r="J60" s="314"/>
      <c r="K60" s="314"/>
    </row>
    <row r="61" spans="1:16">
      <c r="A61" s="351">
        <f t="shared" si="0"/>
        <v>52</v>
      </c>
      <c r="B61" s="332" t="s">
        <v>296</v>
      </c>
      <c r="C61" s="490">
        <f>SUM(C59:C60)</f>
        <v>-2.2859999999999991E-2</v>
      </c>
      <c r="D61" s="490">
        <f t="shared" ref="D61:F61" si="17">SUM(D59:D60)</f>
        <v>-2.2859999999999991E-2</v>
      </c>
      <c r="E61" s="490">
        <f t="shared" si="17"/>
        <v>-4.8699999999999966E-2</v>
      </c>
      <c r="F61" s="491">
        <f t="shared" si="17"/>
        <v>-4.8699999999999966E-2</v>
      </c>
      <c r="G61" s="314"/>
      <c r="H61" s="314"/>
      <c r="I61" s="314"/>
      <c r="J61" s="314"/>
      <c r="K61" s="314"/>
      <c r="P61">
        <v>7</v>
      </c>
    </row>
    <row r="62" spans="1:16">
      <c r="A62" s="351">
        <f t="shared" si="0"/>
        <v>53</v>
      </c>
      <c r="B62" s="326"/>
      <c r="C62" s="375"/>
      <c r="D62" s="363"/>
      <c r="E62" s="363"/>
      <c r="F62" s="376"/>
      <c r="G62" s="314"/>
      <c r="H62" s="314"/>
      <c r="I62" s="314"/>
      <c r="J62" s="314"/>
      <c r="K62" s="314"/>
    </row>
    <row r="63" spans="1:16">
      <c r="A63" s="351">
        <f t="shared" si="0"/>
        <v>54</v>
      </c>
      <c r="B63" s="456" t="s">
        <v>297</v>
      </c>
      <c r="C63" s="375">
        <f t="shared" ref="C63:F64" si="18">C42-C21</f>
        <v>0.65244999999999997</v>
      </c>
      <c r="D63" s="375">
        <f t="shared" si="18"/>
        <v>0.65244999999999997</v>
      </c>
      <c r="E63" s="375">
        <f t="shared" si="18"/>
        <v>0.65244999999999997</v>
      </c>
      <c r="F63" s="437">
        <f t="shared" si="18"/>
        <v>0.65244999999999997</v>
      </c>
      <c r="G63" s="314"/>
      <c r="H63" s="314"/>
      <c r="I63" s="314"/>
      <c r="J63" s="314"/>
      <c r="K63" s="314"/>
      <c r="P63">
        <f>IF(P61=1,(1-0)*P61,IF(P61=2,(2-0)*P61,IF(P61=3,(3-0)*P61,IF(P61=4,(4-0)*P61,IF(P61=5,(5-0)*P61,0)))))</f>
        <v>0</v>
      </c>
    </row>
    <row r="64" spans="1:16">
      <c r="A64" s="351">
        <f t="shared" si="0"/>
        <v>55</v>
      </c>
      <c r="B64" s="457" t="s">
        <v>298</v>
      </c>
      <c r="C64" s="375">
        <f t="shared" si="18"/>
        <v>0.19378000000000001</v>
      </c>
      <c r="D64" s="375">
        <f t="shared" si="18"/>
        <v>0.19378000000000001</v>
      </c>
      <c r="E64" s="375">
        <f t="shared" si="18"/>
        <v>0.19378000000000001</v>
      </c>
      <c r="F64" s="437">
        <f t="shared" si="18"/>
        <v>0.19378000000000001</v>
      </c>
      <c r="G64" s="314"/>
      <c r="H64" s="314"/>
      <c r="I64" s="314"/>
      <c r="J64" s="314"/>
      <c r="K64" s="314"/>
    </row>
    <row r="65" spans="1:11">
      <c r="A65" s="351">
        <f t="shared" si="0"/>
        <v>56</v>
      </c>
      <c r="B65" s="332" t="s">
        <v>299</v>
      </c>
      <c r="C65" s="490">
        <f>SUM(C63:C64)</f>
        <v>0.84623000000000004</v>
      </c>
      <c r="D65" s="490">
        <f t="shared" ref="D65:F65" si="19">SUM(D63:D64)</f>
        <v>0.84623000000000004</v>
      </c>
      <c r="E65" s="490">
        <f t="shared" si="19"/>
        <v>0.84623000000000004</v>
      </c>
      <c r="F65" s="491">
        <f t="shared" si="19"/>
        <v>0.84623000000000004</v>
      </c>
      <c r="G65" s="314"/>
      <c r="H65" s="314"/>
      <c r="I65" s="314"/>
      <c r="J65" s="314"/>
      <c r="K65" s="314"/>
    </row>
    <row r="66" spans="1:11" ht="12" thickBot="1">
      <c r="A66" s="351">
        <f t="shared" si="0"/>
        <v>57</v>
      </c>
      <c r="B66" s="332"/>
      <c r="C66" s="459"/>
      <c r="D66" s="460"/>
      <c r="E66" s="460"/>
      <c r="F66" s="461"/>
      <c r="G66" s="314"/>
      <c r="H66" s="314"/>
      <c r="I66" s="314"/>
      <c r="J66" s="314"/>
      <c r="K66" s="314"/>
    </row>
    <row r="67" spans="1:11" ht="12" thickBot="1">
      <c r="A67" s="351">
        <f t="shared" si="0"/>
        <v>58</v>
      </c>
      <c r="B67" s="332" t="s">
        <v>300</v>
      </c>
      <c r="C67" s="492">
        <f>C57+C61+C65</f>
        <v>0.69385000000000008</v>
      </c>
      <c r="D67" s="492">
        <f t="shared" ref="D67:F67" si="20">D57+D61+D65</f>
        <v>0.76929000000000003</v>
      </c>
      <c r="E67" s="492">
        <f t="shared" si="20"/>
        <v>0.62330000000000008</v>
      </c>
      <c r="F67" s="492">
        <f t="shared" si="20"/>
        <v>0.69972000000000012</v>
      </c>
    </row>
    <row r="68" spans="1:11" ht="12.75" thickTop="1" thickBot="1">
      <c r="B68" s="338" t="s">
        <v>301</v>
      </c>
      <c r="C68" s="458">
        <f>C46/C25-1</f>
        <v>9.7760738746278664E-2</v>
      </c>
      <c r="D68" s="458">
        <f t="shared" ref="D68:F68" si="21">D46/D25-1</f>
        <v>0.12635961958574904</v>
      </c>
      <c r="E68" s="458">
        <f t="shared" si="21"/>
        <v>7.4925681369313768E-2</v>
      </c>
      <c r="F68" s="458">
        <f t="shared" si="21"/>
        <v>9.5739266070109075E-2</v>
      </c>
    </row>
    <row r="69" spans="1:11" ht="12" thickTop="1"/>
    <row r="72" spans="1:11">
      <c r="B72" s="348" t="s">
        <v>641</v>
      </c>
      <c r="C72" s="887"/>
      <c r="I72" s="948" t="s">
        <v>658</v>
      </c>
      <c r="J72" s="947">
        <v>6</v>
      </c>
    </row>
    <row r="73" spans="1:11">
      <c r="B73" s="348" t="s">
        <v>426</v>
      </c>
      <c r="I73" s="948"/>
      <c r="J73" s="948"/>
    </row>
    <row r="74" spans="1:11">
      <c r="B74" s="469" t="s">
        <v>421</v>
      </c>
      <c r="C74" s="470"/>
      <c r="D74" s="470"/>
      <c r="E74" s="470"/>
      <c r="F74" s="470"/>
      <c r="G74" s="470"/>
      <c r="I74" s="991" t="s">
        <v>610</v>
      </c>
      <c r="J74" s="991"/>
    </row>
    <row r="75" spans="1:11">
      <c r="B75" s="468"/>
      <c r="C75" s="467"/>
      <c r="D75" s="471"/>
      <c r="E75" s="466"/>
      <c r="F75" s="472"/>
      <c r="G75" s="466"/>
      <c r="I75" s="948" t="s">
        <v>611</v>
      </c>
      <c r="J75" s="948">
        <v>1</v>
      </c>
    </row>
    <row r="76" spans="1:11">
      <c r="B76" s="174" t="s">
        <v>191</v>
      </c>
      <c r="C76" s="175"/>
      <c r="D76" s="471"/>
      <c r="E76" s="466"/>
      <c r="F76" s="472"/>
      <c r="G76" s="466"/>
      <c r="I76" s="948" t="s">
        <v>612</v>
      </c>
      <c r="J76" s="948">
        <v>2</v>
      </c>
    </row>
    <row r="77" spans="1:11">
      <c r="B77" s="339" t="s">
        <v>192</v>
      </c>
      <c r="C77" s="946">
        <v>6.5</v>
      </c>
      <c r="D77" s="467"/>
      <c r="E77" s="467"/>
      <c r="F77" s="467"/>
      <c r="G77" s="474"/>
      <c r="I77" s="948" t="s">
        <v>613</v>
      </c>
      <c r="J77" s="948">
        <v>3</v>
      </c>
    </row>
    <row r="78" spans="1:11">
      <c r="B78" s="468"/>
      <c r="C78" s="467"/>
      <c r="D78" s="467"/>
      <c r="E78" s="467"/>
      <c r="F78" s="467"/>
      <c r="G78" s="467"/>
      <c r="I78" s="948" t="s">
        <v>614</v>
      </c>
      <c r="J78" s="948">
        <v>4</v>
      </c>
    </row>
    <row r="79" spans="1:11">
      <c r="B79" s="473" t="s">
        <v>302</v>
      </c>
      <c r="C79" s="476" t="s">
        <v>102</v>
      </c>
      <c r="D79" s="477">
        <v>40330</v>
      </c>
      <c r="E79" s="478" t="s">
        <v>609</v>
      </c>
      <c r="F79" s="476" t="s">
        <v>162</v>
      </c>
      <c r="G79" s="479" t="s">
        <v>303</v>
      </c>
      <c r="I79" s="948" t="s">
        <v>615</v>
      </c>
      <c r="J79" s="957">
        <v>5</v>
      </c>
    </row>
    <row r="80" spans="1:11">
      <c r="B80" s="480" t="s">
        <v>66</v>
      </c>
      <c r="C80" s="481">
        <v>14.9</v>
      </c>
      <c r="D80" s="489">
        <f>ROUND(($E$25*C80)+$C$77,2)</f>
        <v>130.44999999999999</v>
      </c>
      <c r="E80" s="489">
        <f>IF($J$72=1,ROUND((($E$25-$E$23-$E$19+$E$40+$E$44)*C80)+$C$77,2),IF($J$72=2,ROUND((($E$25-$E$11+$E$32)*C80)+$C$77,2),IF($J$72=3,ROUND((($E$25-$E$12+$E$33)*C80)+$C$77,2),IF($J$72=4,ROUND((($E$25-$E$13+$E$34)*C80)+$C$77,2),IF($J$72=5,ROUND((($E$25-$E$14+$E$35)*C80)+$C$77,2),ROUND(($E$46*C80)+$C$77,2))))))</f>
        <v>139.74</v>
      </c>
      <c r="F80" s="909">
        <f t="shared" ref="F80:F91" si="22">E80-D80</f>
        <v>9.2900000000000205</v>
      </c>
      <c r="G80" s="483">
        <f t="shared" ref="G80:G92" si="23">F80/D80</f>
        <v>7.1215024913760222E-2</v>
      </c>
      <c r="I80" s="948" t="s">
        <v>657</v>
      </c>
      <c r="J80" s="948">
        <v>6</v>
      </c>
    </row>
    <row r="81" spans="2:11">
      <c r="B81" s="480" t="s">
        <v>67</v>
      </c>
      <c r="C81" s="481">
        <v>12.5</v>
      </c>
      <c r="D81" s="489">
        <f>ROUND(($E$25*C81)+$C$77,2)</f>
        <v>110.49</v>
      </c>
      <c r="E81" s="489">
        <f>IF($J$72=1,ROUND((($E$25-$E$23-$E$19+$E$40+$E$44)*C81)+$C$77,2),IF($J$72=2,ROUND((($E$25-$E$11+$E$32)*C81)+$C$77,2),IF($J$72=3,ROUND((($E$25-$E$12+$E$33)*C81)+$C$77,2),IF($J$72=4,ROUND((($E$25-$E$13+$E$34)*C81)+$C$77,2),IF($J$72=5,ROUND((($E$25-$E$14+$E$35)*C81)+$C$77,2),ROUND(($E$46*C81)+$C$77,2))))))</f>
        <v>118.28</v>
      </c>
      <c r="F81" s="909">
        <f t="shared" si="22"/>
        <v>7.7900000000000063</v>
      </c>
      <c r="G81" s="483">
        <f t="shared" si="23"/>
        <v>7.0504118019730347E-2</v>
      </c>
    </row>
    <row r="82" spans="2:11">
      <c r="B82" s="480" t="s">
        <v>68</v>
      </c>
      <c r="C82" s="481">
        <v>10.1</v>
      </c>
      <c r="D82" s="489">
        <f>ROUND(($E$25*C82)+$C$77,2)</f>
        <v>90.52</v>
      </c>
      <c r="E82" s="489">
        <f>IF($J$72=1,ROUND((($E$25-$E$23-$E$19+$E$40+$E$44)*C82)+$C$77,2),IF($J$72=2,ROUND((($E$25-$E$11+$E$32)*C82)+$C$77,2),IF($J$72=3,ROUND((($E$25-$E$12+$E$33)*C82)+$C$77,2),IF($J$72=4,ROUND((($E$25-$E$13+$E$34)*C82)+$C$77,2),IF($J$72=5,ROUND((($E$25-$E$14+$E$35)*C82)+$C$77,2),ROUND(($E$46*C82)+$C$77,2))))))</f>
        <v>96.82</v>
      </c>
      <c r="F82" s="909">
        <f t="shared" si="22"/>
        <v>6.2999999999999972</v>
      </c>
      <c r="G82" s="483">
        <f t="shared" si="23"/>
        <v>6.9597878921785206E-2</v>
      </c>
    </row>
    <row r="83" spans="2:11">
      <c r="B83" s="480" t="s">
        <v>69</v>
      </c>
      <c r="C83" s="481">
        <v>8.3000000000000007</v>
      </c>
      <c r="D83" s="489">
        <f>ROUND(($C$25*C83)+$C$77,2)</f>
        <v>65.41</v>
      </c>
      <c r="E83" s="489">
        <f t="shared" ref="E83:E89" si="24">IF($J$72=1,ROUND((($C$25-$C$23-$C$19+$C$40+$C$44)*C83)+$C$77,2),IF($J$72=2,ROUND((($C$25-$C$11+$C$32)*C83)+$C$77,2),IF($J$72=3,ROUND((($C$25-$C$12+$C$33)*C83)+$C$77,2),IF($J$72=4,ROUND((($C$25-$C$13+$C$34)*C83)+$C$77,2),IF($J$72=5,ROUND((($C$25-$C$14+$C$35)*C83)+$C$77,2),ROUND(($C$46*C83)+$C$77,2))))))</f>
        <v>71.17</v>
      </c>
      <c r="F83" s="909">
        <f t="shared" si="22"/>
        <v>5.7600000000000051</v>
      </c>
      <c r="G83" s="483">
        <f t="shared" si="23"/>
        <v>8.8059929674361798E-2</v>
      </c>
    </row>
    <row r="84" spans="2:11">
      <c r="B84" s="480" t="s">
        <v>70</v>
      </c>
      <c r="C84" s="481">
        <v>4.4000000000000004</v>
      </c>
      <c r="D84" s="489">
        <f t="shared" ref="D84:D89" si="25">ROUND(($C$25*C84)+$C$77,2)</f>
        <v>37.729999999999997</v>
      </c>
      <c r="E84" s="489">
        <f t="shared" si="24"/>
        <v>40.78</v>
      </c>
      <c r="F84" s="909">
        <f t="shared" si="22"/>
        <v>3.0500000000000043</v>
      </c>
      <c r="G84" s="483">
        <f t="shared" si="23"/>
        <v>8.0837529817121778E-2</v>
      </c>
    </row>
    <row r="85" spans="2:11">
      <c r="B85" s="480" t="s">
        <v>71</v>
      </c>
      <c r="C85" s="481">
        <v>3.1</v>
      </c>
      <c r="D85" s="489">
        <f t="shared" si="25"/>
        <v>28.5</v>
      </c>
      <c r="E85" s="489">
        <f t="shared" si="24"/>
        <v>30.65</v>
      </c>
      <c r="F85" s="909">
        <f t="shared" si="22"/>
        <v>2.1499999999999986</v>
      </c>
      <c r="G85" s="483">
        <f t="shared" si="23"/>
        <v>7.5438596491228027E-2</v>
      </c>
    </row>
    <row r="86" spans="2:11">
      <c r="B86" s="480" t="s">
        <v>72</v>
      </c>
      <c r="C86" s="481">
        <v>2</v>
      </c>
      <c r="D86" s="489">
        <f t="shared" si="25"/>
        <v>20.69</v>
      </c>
      <c r="E86" s="489">
        <f t="shared" si="24"/>
        <v>22.08</v>
      </c>
      <c r="F86" s="909">
        <f t="shared" si="22"/>
        <v>1.389999999999997</v>
      </c>
      <c r="G86" s="483">
        <f t="shared" si="23"/>
        <v>6.7182213629772683E-2</v>
      </c>
    </row>
    <row r="87" spans="2:11">
      <c r="B87" s="480" t="s">
        <v>73</v>
      </c>
      <c r="C87" s="481">
        <v>1.8</v>
      </c>
      <c r="D87" s="489">
        <f t="shared" si="25"/>
        <v>19.28</v>
      </c>
      <c r="E87" s="489">
        <f t="shared" si="24"/>
        <v>20.52</v>
      </c>
      <c r="F87" s="909">
        <f t="shared" si="22"/>
        <v>1.2399999999999984</v>
      </c>
      <c r="G87" s="483">
        <f t="shared" si="23"/>
        <v>6.4315352697095346E-2</v>
      </c>
    </row>
    <row r="88" spans="2:11">
      <c r="B88" s="480" t="s">
        <v>74</v>
      </c>
      <c r="C88" s="481">
        <v>2</v>
      </c>
      <c r="D88" s="489">
        <f t="shared" si="25"/>
        <v>20.69</v>
      </c>
      <c r="E88" s="489">
        <f t="shared" si="24"/>
        <v>22.08</v>
      </c>
      <c r="F88" s="909">
        <f t="shared" si="22"/>
        <v>1.389999999999997</v>
      </c>
      <c r="G88" s="483">
        <f t="shared" si="23"/>
        <v>6.7182213629772683E-2</v>
      </c>
    </row>
    <row r="89" spans="2:11">
      <c r="B89" s="480" t="s">
        <v>63</v>
      </c>
      <c r="C89" s="481">
        <v>3.1</v>
      </c>
      <c r="D89" s="489">
        <f t="shared" si="25"/>
        <v>28.5</v>
      </c>
      <c r="E89" s="489">
        <f t="shared" si="24"/>
        <v>30.65</v>
      </c>
      <c r="F89" s="909">
        <f t="shared" si="22"/>
        <v>2.1499999999999986</v>
      </c>
      <c r="G89" s="483">
        <f t="shared" si="23"/>
        <v>7.5438596491228027E-2</v>
      </c>
    </row>
    <row r="90" spans="2:11">
      <c r="B90" s="480" t="s">
        <v>64</v>
      </c>
      <c r="C90" s="481">
        <v>6.3</v>
      </c>
      <c r="D90" s="489">
        <f>ROUND(($E$25*C90)+$C$77,2)</f>
        <v>58.91</v>
      </c>
      <c r="E90" s="489">
        <f>IF($J$72=1,ROUND((($E$25-$E$23-$E$19+$E$40+$E$44)*C90)+$C$77,2),IF($J$72=2,ROUND((($E$25-$E$11+$E$32)*C90)+$C$77,2),IF($J$72=3,ROUND((($E$25-$E$12+$E$33)*C90)+$C$77,2),IF($J$72=4,ROUND((($E$25-$E$13+$E$34)*C90)+$C$77,2),IF($J$72=5,ROUND((($E$25-$E$14+$E$35)*C90)+$C$77,2),ROUND(($E$46*C90)+$C$77,2))))))</f>
        <v>62.84</v>
      </c>
      <c r="F90" s="909">
        <f t="shared" si="22"/>
        <v>3.9300000000000068</v>
      </c>
      <c r="G90" s="483">
        <f t="shared" si="23"/>
        <v>6.6711933457817132E-2</v>
      </c>
    </row>
    <row r="91" spans="2:11" ht="12" thickBot="1">
      <c r="B91" s="480" t="s">
        <v>65</v>
      </c>
      <c r="C91" s="481">
        <v>11.5</v>
      </c>
      <c r="D91" s="489">
        <f>ROUND(($E$25*C91)+$C$77,2)</f>
        <v>102.17</v>
      </c>
      <c r="E91" s="489">
        <f>IF($J$72=1,ROUND((($E$25-$E$23-$E$19+$E$40+$E$44)*C91)+$C$77,2),IF($J$72=2,ROUND((($E$25-$E$11+$E$32)*C91)+$C$77,2),IF($J$72=3,ROUND((($E$25-$E$12+$E$33)*C91)+$C$77,2),IF($J$72=4,ROUND((($E$25-$E$13+$E$34)*C91)+$C$77,2),IF($J$72=5,ROUND((($E$25-$E$14+$E$35)*C91)+$C$77,2),ROUND(($E$46*C91)+$C$77,2))))))</f>
        <v>109.34</v>
      </c>
      <c r="F91" s="909">
        <f t="shared" si="22"/>
        <v>7.1700000000000017</v>
      </c>
      <c r="G91" s="483">
        <f t="shared" si="23"/>
        <v>7.0177155720857406E-2</v>
      </c>
    </row>
    <row r="92" spans="2:11" ht="12.75" thickTop="1" thickBot="1">
      <c r="B92" s="484" t="s">
        <v>304</v>
      </c>
      <c r="C92" s="485">
        <f>SUM(C80:C91)</f>
        <v>80</v>
      </c>
      <c r="D92" s="486">
        <f>SUM(D80:D91)</f>
        <v>713.34</v>
      </c>
      <c r="E92" s="486">
        <f>SUM(E80:E91)</f>
        <v>764.95</v>
      </c>
      <c r="F92" s="908">
        <f>SUM(F80:F91)</f>
        <v>51.610000000000035</v>
      </c>
      <c r="G92" s="487">
        <f t="shared" si="23"/>
        <v>7.2349791123447485E-2</v>
      </c>
    </row>
    <row r="93" spans="2:11" ht="12" thickTop="1"/>
    <row r="94" spans="2:11">
      <c r="I94" s="991" t="s">
        <v>676</v>
      </c>
      <c r="J94" s="991"/>
      <c r="K94" t="s">
        <v>687</v>
      </c>
    </row>
    <row r="95" spans="2:11">
      <c r="B95" s="433" t="s">
        <v>422</v>
      </c>
      <c r="F95" s="943">
        <v>64.430000000000007</v>
      </c>
      <c r="G95" s="952">
        <v>9.0300000000000005E-2</v>
      </c>
      <c r="H95" s="950">
        <f>+F95-I95</f>
        <v>0</v>
      </c>
      <c r="I95" s="950">
        <v>64.430000000000007</v>
      </c>
      <c r="J95" s="942">
        <v>9.0300000000000005E-2</v>
      </c>
      <c r="K95" s="950">
        <f>+I95/12</f>
        <v>5.3691666666666675</v>
      </c>
    </row>
    <row r="96" spans="2:11">
      <c r="B96" s="433" t="s">
        <v>405</v>
      </c>
      <c r="F96" s="943">
        <v>-12.83</v>
      </c>
      <c r="G96" s="952">
        <v>-1.7999999999999999E-2</v>
      </c>
      <c r="H96" s="950"/>
      <c r="I96" s="950">
        <v>-12.83</v>
      </c>
      <c r="J96" s="942">
        <v>-1.7999999999999999E-2</v>
      </c>
      <c r="K96" s="950">
        <f t="shared" ref="K96:K99" si="26">+I96/12</f>
        <v>-1.0691666666666666</v>
      </c>
    </row>
    <row r="97" spans="2:11">
      <c r="B97" s="433" t="s">
        <v>423</v>
      </c>
      <c r="F97" s="943">
        <v>0</v>
      </c>
      <c r="G97" s="949">
        <v>0</v>
      </c>
      <c r="H97" s="950"/>
      <c r="K97" s="950">
        <f t="shared" si="26"/>
        <v>0</v>
      </c>
    </row>
    <row r="98" spans="2:11">
      <c r="B98" s="433" t="s">
        <v>616</v>
      </c>
      <c r="F98" s="943">
        <v>0</v>
      </c>
      <c r="G98" s="949">
        <v>0</v>
      </c>
      <c r="H98" s="950"/>
      <c r="K98" s="950">
        <f t="shared" si="26"/>
        <v>0</v>
      </c>
    </row>
    <row r="99" spans="2:11">
      <c r="B99" s="433" t="s">
        <v>617</v>
      </c>
      <c r="F99" s="944">
        <v>0</v>
      </c>
      <c r="G99" s="949">
        <v>0</v>
      </c>
      <c r="H99" s="950"/>
      <c r="I99" s="961"/>
      <c r="J99" s="961"/>
      <c r="K99" s="950">
        <f t="shared" si="26"/>
        <v>0</v>
      </c>
    </row>
    <row r="100" spans="2:11" ht="12" thickBot="1">
      <c r="F100" s="945">
        <f>SUM(F95:F99)</f>
        <v>51.600000000000009</v>
      </c>
      <c r="G100" s="981">
        <v>7.2300000000000003E-2</v>
      </c>
      <c r="H100" s="950"/>
      <c r="I100" s="950">
        <v>51.61</v>
      </c>
      <c r="J100" s="942">
        <v>7.2300000000000003E-2</v>
      </c>
      <c r="K100" s="950">
        <f>+I100/12</f>
        <v>4.3008333333333333</v>
      </c>
    </row>
    <row r="101" spans="2:11" ht="12" thickTop="1"/>
  </sheetData>
  <mergeCells count="2">
    <mergeCell ref="I94:J94"/>
    <mergeCell ref="I74:J74"/>
  </mergeCells>
  <printOptions horizontalCentered="1" verticalCentered="1"/>
  <pageMargins left="0.7" right="0.7" top="0.75" bottom="0.75" header="0.3" footer="0.3"/>
  <pageSetup scale="77" fitToHeight="2" orientation="portrait" r:id="rId1"/>
  <rowBreaks count="1" manualBreakCount="1">
    <brk id="70"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1"/>
  <sheetViews>
    <sheetView topLeftCell="A58" workbookViewId="0">
      <selection activeCell="C71" sqref="C71"/>
    </sheetView>
  </sheetViews>
  <sheetFormatPr defaultRowHeight="11.25"/>
  <cols>
    <col min="1" max="1" width="8.5" customWidth="1"/>
    <col min="2" max="2" width="29.33203125" bestFit="1" customWidth="1"/>
    <col min="3" max="3" width="12.6640625" customWidth="1"/>
    <col min="4" max="5" width="11.1640625" customWidth="1"/>
    <col min="6" max="6" width="10.83203125" customWidth="1"/>
    <col min="7" max="7" width="13.6640625" customWidth="1"/>
    <col min="9" max="9" width="13" customWidth="1"/>
    <col min="12" max="12" width="10.83203125" bestFit="1" customWidth="1"/>
  </cols>
  <sheetData>
    <row r="1" spans="1:11">
      <c r="A1" s="314"/>
      <c r="B1" s="348" t="s">
        <v>424</v>
      </c>
      <c r="C1" s="349"/>
      <c r="D1" s="349"/>
      <c r="E1" s="349"/>
      <c r="F1" s="349"/>
      <c r="G1" s="349"/>
      <c r="H1" s="349"/>
      <c r="I1" s="314"/>
      <c r="J1" s="314"/>
      <c r="K1" s="314"/>
    </row>
    <row r="2" spans="1:11">
      <c r="A2" s="314"/>
      <c r="B2" s="348" t="s">
        <v>425</v>
      </c>
      <c r="G2" s="350"/>
      <c r="H2" s="350"/>
      <c r="I2" s="314"/>
      <c r="J2" s="314"/>
      <c r="K2" s="314"/>
    </row>
    <row r="3" spans="1:11">
      <c r="A3" s="314"/>
      <c r="B3" s="313"/>
      <c r="C3" s="314"/>
      <c r="D3" s="314"/>
      <c r="E3" s="314"/>
      <c r="F3" s="314"/>
      <c r="G3" s="314"/>
      <c r="H3" s="314"/>
      <c r="I3" s="314"/>
      <c r="J3" s="314"/>
      <c r="K3" s="314"/>
    </row>
    <row r="4" spans="1:11">
      <c r="A4" s="351" t="s">
        <v>313</v>
      </c>
      <c r="B4" s="452" t="s">
        <v>420</v>
      </c>
      <c r="C4" s="315"/>
      <c r="D4" s="316"/>
      <c r="E4" s="317"/>
      <c r="F4" s="318"/>
      <c r="G4" s="317"/>
      <c r="H4" s="319"/>
      <c r="I4" s="314"/>
      <c r="J4" s="314"/>
      <c r="K4" s="314"/>
    </row>
    <row r="5" spans="1:11">
      <c r="A5" s="351"/>
      <c r="B5" s="320"/>
      <c r="C5" s="321"/>
      <c r="D5" s="320"/>
      <c r="E5" s="322"/>
      <c r="F5" s="323"/>
      <c r="G5" s="322"/>
      <c r="H5" s="324"/>
      <c r="I5" s="314"/>
      <c r="J5" s="314"/>
      <c r="K5" s="314"/>
    </row>
    <row r="6" spans="1:11" ht="12" thickBot="1">
      <c r="A6" s="351"/>
      <c r="B6" s="350" t="s">
        <v>307</v>
      </c>
      <c r="C6" s="350" t="s">
        <v>308</v>
      </c>
      <c r="D6" s="350" t="s">
        <v>309</v>
      </c>
      <c r="E6" s="350" t="s">
        <v>310</v>
      </c>
      <c r="F6" s="350" t="s">
        <v>311</v>
      </c>
      <c r="G6" s="322"/>
      <c r="H6" s="324"/>
      <c r="I6" s="314"/>
      <c r="J6" s="314"/>
      <c r="K6" s="314"/>
    </row>
    <row r="7" spans="1:11">
      <c r="A7" s="351"/>
      <c r="B7" s="46"/>
      <c r="C7" s="399" t="s">
        <v>341</v>
      </c>
      <c r="D7" s="369"/>
      <c r="E7" s="369"/>
      <c r="F7" s="370"/>
      <c r="G7" s="325" t="s">
        <v>289</v>
      </c>
      <c r="H7" s="161"/>
      <c r="I7" s="314"/>
      <c r="J7" s="314"/>
      <c r="K7" s="314"/>
    </row>
    <row r="8" spans="1:11">
      <c r="A8" s="351"/>
      <c r="B8" s="46"/>
      <c r="C8" s="371" t="s">
        <v>196</v>
      </c>
      <c r="D8" s="365"/>
      <c r="E8" s="366" t="s">
        <v>197</v>
      </c>
      <c r="F8" s="372"/>
      <c r="G8" s="314"/>
      <c r="H8" s="161"/>
      <c r="I8" s="314"/>
      <c r="J8" s="314"/>
      <c r="K8" s="314"/>
    </row>
    <row r="9" spans="1:11">
      <c r="A9" s="351"/>
      <c r="B9" s="46"/>
      <c r="C9" s="373" t="s">
        <v>198</v>
      </c>
      <c r="D9" s="362" t="s">
        <v>199</v>
      </c>
      <c r="E9" s="362" t="s">
        <v>198</v>
      </c>
      <c r="F9" s="374" t="s">
        <v>199</v>
      </c>
      <c r="G9" s="314"/>
      <c r="H9" s="358"/>
      <c r="I9" s="314"/>
      <c r="J9" s="314"/>
      <c r="K9" s="314"/>
    </row>
    <row r="10" spans="1:11">
      <c r="A10" s="351">
        <v>1</v>
      </c>
      <c r="B10" s="326" t="s">
        <v>290</v>
      </c>
      <c r="C10" s="462">
        <v>1.87767</v>
      </c>
      <c r="D10" s="447">
        <v>0.69703999999999999</v>
      </c>
      <c r="E10" s="447">
        <v>2.2293799999999999</v>
      </c>
      <c r="F10" s="463">
        <v>0.92557</v>
      </c>
      <c r="G10" s="448" t="s">
        <v>414</v>
      </c>
      <c r="H10" s="357"/>
      <c r="I10" s="314"/>
      <c r="J10" s="314"/>
      <c r="K10" s="314"/>
    </row>
    <row r="11" spans="1:11">
      <c r="A11" s="351">
        <f>A10+1</f>
        <v>2</v>
      </c>
      <c r="B11" s="328" t="s">
        <v>291</v>
      </c>
      <c r="C11" s="462">
        <v>-1.9939999999999999E-2</v>
      </c>
      <c r="D11" s="462">
        <v>-7.4000000000000003E-3</v>
      </c>
      <c r="E11" s="462">
        <v>-2.368E-2</v>
      </c>
      <c r="F11" s="462">
        <v>-9.8300000000000002E-3</v>
      </c>
      <c r="G11" s="881" t="s">
        <v>642</v>
      </c>
      <c r="H11" s="359"/>
      <c r="I11" s="314"/>
      <c r="J11" s="314"/>
      <c r="K11" s="314"/>
    </row>
    <row r="12" spans="1:11">
      <c r="A12" s="351">
        <f t="shared" ref="A12:A67" si="0">A11+1</f>
        <v>3</v>
      </c>
      <c r="B12" s="329" t="s">
        <v>292</v>
      </c>
      <c r="C12" s="462">
        <v>0.40866999999999998</v>
      </c>
      <c r="D12" s="451">
        <f t="shared" ref="D12:F13" si="1">C12</f>
        <v>0.40866999999999998</v>
      </c>
      <c r="E12" s="451">
        <f t="shared" si="1"/>
        <v>0.40866999999999998</v>
      </c>
      <c r="F12" s="464">
        <f t="shared" si="1"/>
        <v>0.40866999999999998</v>
      </c>
      <c r="G12" s="448" t="s">
        <v>643</v>
      </c>
      <c r="H12" s="357"/>
      <c r="I12" s="314"/>
      <c r="J12" s="314"/>
      <c r="K12" s="314"/>
    </row>
    <row r="13" spans="1:11">
      <c r="A13" s="351">
        <f t="shared" si="0"/>
        <v>4</v>
      </c>
      <c r="B13" s="446" t="s">
        <v>411</v>
      </c>
      <c r="C13" s="462">
        <v>1.4500000000000001E-2</v>
      </c>
      <c r="D13" s="451">
        <f t="shared" si="1"/>
        <v>1.4500000000000001E-2</v>
      </c>
      <c r="E13" s="451">
        <f t="shared" si="1"/>
        <v>1.4500000000000001E-2</v>
      </c>
      <c r="F13" s="464">
        <f t="shared" si="1"/>
        <v>1.4500000000000001E-2</v>
      </c>
      <c r="G13" s="881" t="s">
        <v>644</v>
      </c>
      <c r="H13" s="357"/>
      <c r="I13" s="314"/>
      <c r="J13" s="314"/>
      <c r="K13" s="314"/>
    </row>
    <row r="14" spans="1:11">
      <c r="A14" s="351">
        <f t="shared" si="0"/>
        <v>5</v>
      </c>
      <c r="B14" s="446" t="s">
        <v>412</v>
      </c>
      <c r="C14" s="462">
        <v>8.5190000000000002E-2</v>
      </c>
      <c r="D14" s="447">
        <v>3.1620000000000002E-2</v>
      </c>
      <c r="E14" s="447">
        <v>0.10113999999999999</v>
      </c>
      <c r="F14" s="463">
        <v>4.199E-2</v>
      </c>
      <c r="G14" s="881" t="s">
        <v>645</v>
      </c>
      <c r="H14" s="357"/>
      <c r="I14" s="314"/>
      <c r="J14" s="314"/>
      <c r="K14" s="314"/>
    </row>
    <row r="15" spans="1:11">
      <c r="A15" s="351">
        <f t="shared" si="0"/>
        <v>6</v>
      </c>
      <c r="B15" s="330" t="s">
        <v>293</v>
      </c>
      <c r="C15" s="377">
        <f>SUM(C10:C14)</f>
        <v>2.3660899999999998</v>
      </c>
      <c r="D15" s="377">
        <f t="shared" ref="D15:F15" si="2">SUM(D10:D14)</f>
        <v>1.1444300000000001</v>
      </c>
      <c r="E15" s="377">
        <f t="shared" si="2"/>
        <v>2.7300099999999996</v>
      </c>
      <c r="F15" s="453">
        <f t="shared" si="2"/>
        <v>1.3808999999999998</v>
      </c>
      <c r="G15" s="314"/>
      <c r="H15" s="356"/>
      <c r="I15" s="314"/>
      <c r="J15" s="314"/>
      <c r="K15" s="314"/>
    </row>
    <row r="16" spans="1:11">
      <c r="A16" s="351">
        <f t="shared" si="0"/>
        <v>7</v>
      </c>
      <c r="B16" s="331"/>
      <c r="C16" s="377"/>
      <c r="D16" s="364"/>
      <c r="E16" s="364"/>
      <c r="F16" s="378"/>
      <c r="G16" s="314"/>
      <c r="H16" s="356"/>
      <c r="I16" s="314"/>
      <c r="J16" s="314"/>
      <c r="K16" s="314"/>
    </row>
    <row r="17" spans="1:15">
      <c r="A17" s="351">
        <f t="shared" si="0"/>
        <v>8</v>
      </c>
      <c r="B17" s="331" t="s">
        <v>294</v>
      </c>
      <c r="C17" s="525">
        <v>0.54986999999999997</v>
      </c>
      <c r="D17" s="527">
        <f>C17</f>
        <v>0.54986999999999997</v>
      </c>
      <c r="E17" s="526">
        <v>1.17116</v>
      </c>
      <c r="F17" s="528">
        <f>E17</f>
        <v>1.17116</v>
      </c>
      <c r="G17" s="524" t="s">
        <v>646</v>
      </c>
      <c r="H17" s="356"/>
      <c r="I17" s="314"/>
      <c r="J17" s="314"/>
      <c r="K17" s="314"/>
    </row>
    <row r="18" spans="1:15">
      <c r="A18" s="351">
        <f t="shared" si="0"/>
        <v>9</v>
      </c>
      <c r="B18" s="331" t="s">
        <v>295</v>
      </c>
      <c r="C18" s="525">
        <v>0</v>
      </c>
      <c r="D18" s="527">
        <f>C18</f>
        <v>0</v>
      </c>
      <c r="E18" s="526">
        <v>0</v>
      </c>
      <c r="F18" s="528">
        <f>E18</f>
        <v>0</v>
      </c>
      <c r="G18" s="524" t="s">
        <v>646</v>
      </c>
      <c r="H18" s="356"/>
      <c r="I18" s="314"/>
      <c r="J18" s="314"/>
      <c r="K18" s="314"/>
    </row>
    <row r="19" spans="1:15">
      <c r="A19" s="351">
        <f t="shared" si="0"/>
        <v>10</v>
      </c>
      <c r="B19" s="332" t="s">
        <v>296</v>
      </c>
      <c r="C19" s="375">
        <f>SUM(C17:C18)</f>
        <v>0.54986999999999997</v>
      </c>
      <c r="D19" s="375">
        <f t="shared" ref="D19:F19" si="3">SUM(D17:D18)</f>
        <v>0.54986999999999997</v>
      </c>
      <c r="E19" s="375">
        <f t="shared" si="3"/>
        <v>1.17116</v>
      </c>
      <c r="F19" s="375">
        <f t="shared" si="3"/>
        <v>1.17116</v>
      </c>
      <c r="G19" s="327"/>
      <c r="H19" s="357"/>
      <c r="I19" s="314"/>
      <c r="J19" s="314"/>
      <c r="K19" s="314"/>
    </row>
    <row r="20" spans="1:15">
      <c r="A20" s="351">
        <f t="shared" si="0"/>
        <v>11</v>
      </c>
      <c r="B20" s="333"/>
      <c r="C20" s="375"/>
      <c r="D20" s="363"/>
      <c r="E20" s="363"/>
      <c r="F20" s="376"/>
      <c r="G20" s="314"/>
      <c r="H20" s="357"/>
      <c r="I20" s="314"/>
      <c r="J20" s="314"/>
      <c r="K20" s="314"/>
    </row>
    <row r="21" spans="1:15">
      <c r="A21" s="351">
        <f t="shared" si="0"/>
        <v>12</v>
      </c>
      <c r="B21" s="333" t="s">
        <v>297</v>
      </c>
      <c r="C21" s="465">
        <v>4.1666400000000001</v>
      </c>
      <c r="D21" s="449">
        <f>C21</f>
        <v>4.1666400000000001</v>
      </c>
      <c r="E21" s="449">
        <f t="shared" ref="E21:F22" si="4">D21</f>
        <v>4.1666400000000001</v>
      </c>
      <c r="F21" s="449">
        <f t="shared" si="4"/>
        <v>4.1666400000000001</v>
      </c>
      <c r="G21" s="524" t="s">
        <v>646</v>
      </c>
      <c r="H21" s="357"/>
      <c r="I21" s="314"/>
      <c r="J21" s="314"/>
      <c r="K21" s="314"/>
    </row>
    <row r="22" spans="1:15">
      <c r="A22" s="351">
        <f t="shared" si="0"/>
        <v>13</v>
      </c>
      <c r="B22" s="333" t="s">
        <v>298</v>
      </c>
      <c r="C22" s="465">
        <v>0</v>
      </c>
      <c r="D22" s="449">
        <f>C22</f>
        <v>0</v>
      </c>
      <c r="E22" s="449">
        <f t="shared" si="4"/>
        <v>0</v>
      </c>
      <c r="F22" s="449">
        <f t="shared" si="4"/>
        <v>0</v>
      </c>
      <c r="G22" s="524" t="s">
        <v>647</v>
      </c>
      <c r="H22" s="357"/>
      <c r="I22" s="314"/>
      <c r="J22" s="314"/>
      <c r="K22" s="314"/>
    </row>
    <row r="23" spans="1:15">
      <c r="A23" s="351">
        <f t="shared" si="0"/>
        <v>14</v>
      </c>
      <c r="B23" s="332" t="s">
        <v>299</v>
      </c>
      <c r="C23" s="375">
        <f>SUM(C21:C22)</f>
        <v>4.1666400000000001</v>
      </c>
      <c r="D23" s="375">
        <f t="shared" ref="D23:F23" si="5">SUM(D21:D22)</f>
        <v>4.1666400000000001</v>
      </c>
      <c r="E23" s="375">
        <f t="shared" si="5"/>
        <v>4.1666400000000001</v>
      </c>
      <c r="F23" s="375">
        <f t="shared" si="5"/>
        <v>4.1666400000000001</v>
      </c>
      <c r="G23" s="327"/>
      <c r="H23" s="357"/>
      <c r="I23" s="314"/>
      <c r="J23" s="314"/>
      <c r="K23" s="314"/>
    </row>
    <row r="24" spans="1:15">
      <c r="A24" s="351">
        <f t="shared" si="0"/>
        <v>15</v>
      </c>
      <c r="B24" s="332"/>
      <c r="C24" s="375"/>
      <c r="D24" s="363"/>
      <c r="E24" s="363"/>
      <c r="F24" s="376"/>
      <c r="G24" s="314"/>
      <c r="H24" s="357"/>
      <c r="I24" s="314"/>
      <c r="J24" s="314"/>
      <c r="K24" s="314"/>
    </row>
    <row r="25" spans="1:15" ht="12" thickBot="1">
      <c r="A25" s="351">
        <f t="shared" si="0"/>
        <v>16</v>
      </c>
      <c r="B25" s="332" t="s">
        <v>300</v>
      </c>
      <c r="C25" s="379">
        <f>C15+C19+C23</f>
        <v>7.0825999999999993</v>
      </c>
      <c r="D25" s="379">
        <f t="shared" ref="D25:F25" si="6">D15+D19+D23</f>
        <v>5.8609400000000003</v>
      </c>
      <c r="E25" s="379">
        <f t="shared" si="6"/>
        <v>8.0678099999999997</v>
      </c>
      <c r="F25" s="379">
        <f t="shared" si="6"/>
        <v>6.7187000000000001</v>
      </c>
      <c r="G25" s="314"/>
      <c r="H25" s="360"/>
      <c r="I25" s="314"/>
      <c r="J25" s="314"/>
      <c r="K25" s="314"/>
      <c r="N25" s="884">
        <f>E25-E11+E32</f>
        <v>8.0587499999999999</v>
      </c>
      <c r="O25" s="884">
        <f>N25-E25</f>
        <v>-9.059999999999846E-3</v>
      </c>
    </row>
    <row r="26" spans="1:15">
      <c r="A26" s="351">
        <f t="shared" si="0"/>
        <v>17</v>
      </c>
      <c r="B26" s="334"/>
      <c r="C26" s="335"/>
      <c r="D26" s="314"/>
      <c r="E26" s="336"/>
      <c r="F26" s="327"/>
      <c r="G26" s="314"/>
      <c r="H26" s="361"/>
      <c r="I26" s="314"/>
      <c r="J26" s="314"/>
      <c r="K26" s="314"/>
    </row>
    <row r="27" spans="1:15" ht="12" thickBot="1">
      <c r="A27" s="351">
        <f t="shared" si="0"/>
        <v>18</v>
      </c>
      <c r="B27" s="334"/>
      <c r="C27" s="335"/>
      <c r="D27" s="314"/>
      <c r="E27" s="336"/>
      <c r="F27" s="327"/>
      <c r="G27" s="314"/>
      <c r="H27" s="361"/>
      <c r="I27" s="314"/>
      <c r="J27" s="314"/>
      <c r="K27" s="314"/>
    </row>
    <row r="28" spans="1:15">
      <c r="A28" s="351">
        <f t="shared" si="0"/>
        <v>19</v>
      </c>
      <c r="B28" s="46"/>
      <c r="C28" s="400" t="s">
        <v>342</v>
      </c>
      <c r="D28" s="380"/>
      <c r="E28" s="381"/>
      <c r="F28" s="382"/>
      <c r="G28" s="314"/>
      <c r="H28" s="161"/>
      <c r="I28" s="314"/>
      <c r="J28" s="314"/>
      <c r="K28" s="314"/>
    </row>
    <row r="29" spans="1:15">
      <c r="A29" s="351">
        <f t="shared" si="0"/>
        <v>20</v>
      </c>
      <c r="B29" s="46"/>
      <c r="C29" s="383" t="s">
        <v>196</v>
      </c>
      <c r="D29" s="367"/>
      <c r="E29" s="368" t="s">
        <v>197</v>
      </c>
      <c r="F29" s="384"/>
      <c r="G29" s="314"/>
      <c r="H29" s="161"/>
      <c r="I29" s="314"/>
      <c r="J29" s="314"/>
      <c r="K29" s="314"/>
    </row>
    <row r="30" spans="1:15">
      <c r="A30" s="351">
        <f t="shared" si="0"/>
        <v>21</v>
      </c>
      <c r="B30" s="46"/>
      <c r="C30" s="373" t="s">
        <v>198</v>
      </c>
      <c r="D30" s="362" t="s">
        <v>199</v>
      </c>
      <c r="E30" s="362" t="s">
        <v>198</v>
      </c>
      <c r="F30" s="374" t="s">
        <v>199</v>
      </c>
      <c r="G30" s="314"/>
      <c r="H30" s="358"/>
      <c r="I30" s="314"/>
      <c r="J30" s="314"/>
      <c r="K30" s="314"/>
    </row>
    <row r="31" spans="1:15">
      <c r="A31" s="351">
        <f t="shared" si="0"/>
        <v>22</v>
      </c>
      <c r="B31" s="326" t="s">
        <v>290</v>
      </c>
      <c r="C31" s="375">
        <v>1.87767</v>
      </c>
      <c r="D31" s="363">
        <v>0.69703999999999999</v>
      </c>
      <c r="E31" s="363">
        <v>2.2293799999999999</v>
      </c>
      <c r="F31" s="376">
        <v>0.92557</v>
      </c>
      <c r="G31" s="448" t="s">
        <v>414</v>
      </c>
      <c r="H31" s="357"/>
      <c r="I31" s="314"/>
      <c r="J31" s="314"/>
      <c r="K31" s="314"/>
    </row>
    <row r="32" spans="1:15">
      <c r="A32" s="351">
        <f t="shared" si="0"/>
        <v>23</v>
      </c>
      <c r="B32" s="328" t="s">
        <v>291</v>
      </c>
      <c r="C32" s="462">
        <v>-2.758E-2</v>
      </c>
      <c r="D32" s="462">
        <v>-1.0240000000000001E-2</v>
      </c>
      <c r="E32" s="462">
        <v>-3.2739999999999998E-2</v>
      </c>
      <c r="F32" s="462">
        <v>-1.359E-2</v>
      </c>
      <c r="G32" s="881" t="s">
        <v>648</v>
      </c>
      <c r="H32" s="357"/>
      <c r="I32" s="314"/>
      <c r="J32" s="314"/>
      <c r="K32" s="314"/>
    </row>
    <row r="33" spans="1:11">
      <c r="A33" s="351">
        <f t="shared" si="0"/>
        <v>24</v>
      </c>
      <c r="B33" s="329" t="s">
        <v>292</v>
      </c>
      <c r="C33" s="462">
        <v>0.30742681389582727</v>
      </c>
      <c r="D33" s="451">
        <f t="shared" ref="D33:F34" si="7">C33</f>
        <v>0.30742681389582727</v>
      </c>
      <c r="E33" s="451">
        <f t="shared" si="7"/>
        <v>0.30742681389582727</v>
      </c>
      <c r="F33" s="464">
        <f t="shared" si="7"/>
        <v>0.30742681389582727</v>
      </c>
      <c r="G33" s="881" t="s">
        <v>649</v>
      </c>
      <c r="H33" s="357"/>
      <c r="I33" s="314"/>
      <c r="J33" s="314"/>
      <c r="K33" s="314"/>
    </row>
    <row r="34" spans="1:11">
      <c r="A34" s="351">
        <f t="shared" si="0"/>
        <v>25</v>
      </c>
      <c r="B34" s="446" t="s">
        <v>411</v>
      </c>
      <c r="C34" s="462">
        <v>1.4959999999999999E-2</v>
      </c>
      <c r="D34" s="451">
        <f t="shared" si="7"/>
        <v>1.4959999999999999E-2</v>
      </c>
      <c r="E34" s="451">
        <f t="shared" si="7"/>
        <v>1.4959999999999999E-2</v>
      </c>
      <c r="F34" s="464">
        <f t="shared" si="7"/>
        <v>1.4959999999999999E-2</v>
      </c>
      <c r="G34" s="881" t="s">
        <v>650</v>
      </c>
      <c r="H34" s="357"/>
      <c r="I34" s="314"/>
      <c r="J34" s="314"/>
      <c r="K34" s="314"/>
    </row>
    <row r="35" spans="1:11">
      <c r="A35" s="351">
        <f t="shared" si="0"/>
        <v>26</v>
      </c>
      <c r="B35" s="446" t="s">
        <v>412</v>
      </c>
      <c r="C35" s="462">
        <v>0.10300477601069283</v>
      </c>
      <c r="D35" s="462">
        <v>3.8238055180352955E-2</v>
      </c>
      <c r="E35" s="462">
        <v>0.12229879986510855</v>
      </c>
      <c r="F35" s="462">
        <v>5.0774699778031798E-2</v>
      </c>
      <c r="G35" s="881" t="s">
        <v>654</v>
      </c>
      <c r="H35" s="357"/>
      <c r="I35" s="314"/>
      <c r="J35" s="314"/>
      <c r="K35" s="314"/>
    </row>
    <row r="36" spans="1:11">
      <c r="A36" s="351">
        <f t="shared" si="0"/>
        <v>27</v>
      </c>
      <c r="B36" s="330" t="s">
        <v>293</v>
      </c>
      <c r="C36" s="377">
        <f>SUM(C31:C35)</f>
        <v>2.2754815899065202</v>
      </c>
      <c r="D36" s="377">
        <f t="shared" ref="D36:F36" si="8">SUM(D31:D35)</f>
        <v>1.0474248690761803</v>
      </c>
      <c r="E36" s="377">
        <f t="shared" si="8"/>
        <v>2.6413256137609356</v>
      </c>
      <c r="F36" s="453">
        <f t="shared" si="8"/>
        <v>1.2851415136738593</v>
      </c>
      <c r="G36" s="314"/>
      <c r="H36" s="356"/>
      <c r="I36" s="314"/>
      <c r="J36" s="314"/>
      <c r="K36" s="314"/>
    </row>
    <row r="37" spans="1:11">
      <c r="A37" s="351">
        <f t="shared" si="0"/>
        <v>28</v>
      </c>
      <c r="B37" s="337"/>
      <c r="C37" s="377"/>
      <c r="D37" s="364"/>
      <c r="E37" s="364"/>
      <c r="F37" s="378"/>
      <c r="G37" s="314"/>
      <c r="H37" s="356"/>
      <c r="I37" s="314"/>
      <c r="J37" s="314"/>
      <c r="K37" s="314"/>
    </row>
    <row r="38" spans="1:11">
      <c r="A38" s="351">
        <f t="shared" si="0"/>
        <v>29</v>
      </c>
      <c r="B38" s="340" t="s">
        <v>294</v>
      </c>
      <c r="C38" s="530">
        <v>0.52149999999999996</v>
      </c>
      <c r="D38" s="527">
        <f>C38</f>
        <v>0.52149999999999996</v>
      </c>
      <c r="E38" s="530">
        <f>IF($Q$38="yes",#REF!,Rates!U61)</f>
        <v>1.12016</v>
      </c>
      <c r="F38" s="528">
        <f>E38</f>
        <v>1.12016</v>
      </c>
      <c r="G38" s="881" t="s">
        <v>651</v>
      </c>
      <c r="H38" s="356"/>
      <c r="I38" s="314"/>
      <c r="J38" s="314"/>
      <c r="K38" s="314"/>
    </row>
    <row r="39" spans="1:11">
      <c r="A39" s="351">
        <f t="shared" si="0"/>
        <v>30</v>
      </c>
      <c r="B39" s="340" t="s">
        <v>295</v>
      </c>
      <c r="C39" s="530">
        <f>IF($Q$38="yes",#REF!,Rates!V62)</f>
        <v>-3.1540000000000012E-2</v>
      </c>
      <c r="D39" s="527">
        <f>C39</f>
        <v>-3.1540000000000012E-2</v>
      </c>
      <c r="E39" s="530">
        <f>IF($Q$38="yes",#REF!,Rates!V61)</f>
        <v>-6.7180000000000017E-2</v>
      </c>
      <c r="F39" s="528">
        <f>E39</f>
        <v>-6.7180000000000017E-2</v>
      </c>
      <c r="G39" s="881" t="s">
        <v>651</v>
      </c>
      <c r="H39" s="359"/>
      <c r="I39" s="314"/>
      <c r="J39" s="314"/>
      <c r="K39" s="314"/>
    </row>
    <row r="40" spans="1:11">
      <c r="A40" s="351">
        <f t="shared" si="0"/>
        <v>31</v>
      </c>
      <c r="B40" s="332" t="s">
        <v>296</v>
      </c>
      <c r="C40" s="375">
        <f>SUM(C38:C39)</f>
        <v>0.48995999999999995</v>
      </c>
      <c r="D40" s="375">
        <f t="shared" ref="D40:F40" si="9">SUM(D38:D39)</f>
        <v>0.48995999999999995</v>
      </c>
      <c r="E40" s="375">
        <f t="shared" si="9"/>
        <v>1.05298</v>
      </c>
      <c r="F40" s="437">
        <f t="shared" si="9"/>
        <v>1.05298</v>
      </c>
      <c r="G40" s="314"/>
      <c r="H40" s="357"/>
      <c r="I40" s="314"/>
      <c r="J40" s="314"/>
      <c r="K40" s="314"/>
    </row>
    <row r="41" spans="1:11">
      <c r="A41" s="351">
        <f t="shared" si="0"/>
        <v>32</v>
      </c>
      <c r="B41" s="326"/>
      <c r="C41" s="375"/>
      <c r="D41" s="363"/>
      <c r="E41" s="363"/>
      <c r="F41" s="376"/>
      <c r="G41" s="314"/>
      <c r="H41" s="357"/>
      <c r="I41" s="314"/>
      <c r="J41" s="314"/>
      <c r="K41" s="314"/>
    </row>
    <row r="42" spans="1:11">
      <c r="A42" s="351">
        <f t="shared" si="0"/>
        <v>33</v>
      </c>
      <c r="B42" s="341" t="s">
        <v>297</v>
      </c>
      <c r="C42" s="454">
        <f>Rates!G45</f>
        <v>5.0522400000000003</v>
      </c>
      <c r="D42" s="449">
        <f>C42</f>
        <v>5.0522400000000003</v>
      </c>
      <c r="E42" s="449">
        <f t="shared" ref="E42:F43" si="10">D42</f>
        <v>5.0522400000000003</v>
      </c>
      <c r="F42" s="449">
        <f t="shared" si="10"/>
        <v>5.0522400000000003</v>
      </c>
      <c r="G42" s="881" t="s">
        <v>651</v>
      </c>
      <c r="H42" s="359"/>
      <c r="I42" s="314"/>
      <c r="J42" s="314"/>
      <c r="K42" s="314"/>
    </row>
    <row r="43" spans="1:11">
      <c r="A43" s="351">
        <f t="shared" si="0"/>
        <v>34</v>
      </c>
      <c r="B43" s="342" t="s">
        <v>298</v>
      </c>
      <c r="C43" s="454">
        <f>Rates!G46</f>
        <v>0.22364000000000001</v>
      </c>
      <c r="D43" s="449">
        <f>C43</f>
        <v>0.22364000000000001</v>
      </c>
      <c r="E43" s="449">
        <f t="shared" si="10"/>
        <v>0.22364000000000001</v>
      </c>
      <c r="F43" s="449">
        <f t="shared" si="10"/>
        <v>0.22364000000000001</v>
      </c>
      <c r="G43" s="881" t="s">
        <v>651</v>
      </c>
      <c r="H43" s="356"/>
      <c r="I43" s="314"/>
      <c r="J43" s="314"/>
      <c r="K43" s="314"/>
    </row>
    <row r="44" spans="1:11">
      <c r="A44" s="351">
        <f t="shared" si="0"/>
        <v>35</v>
      </c>
      <c r="B44" s="332" t="s">
        <v>299</v>
      </c>
      <c r="C44" s="375">
        <f>SUM(C42:C43)</f>
        <v>5.2758799999999999</v>
      </c>
      <c r="D44" s="375">
        <f t="shared" ref="D44:F44" si="11">SUM(D42:D43)</f>
        <v>5.2758799999999999</v>
      </c>
      <c r="E44" s="375">
        <f t="shared" si="11"/>
        <v>5.2758799999999999</v>
      </c>
      <c r="F44" s="437">
        <f t="shared" si="11"/>
        <v>5.2758799999999999</v>
      </c>
      <c r="G44" s="357"/>
      <c r="H44" s="357"/>
      <c r="I44" s="314"/>
      <c r="J44" s="314"/>
      <c r="K44" s="314"/>
    </row>
    <row r="45" spans="1:11">
      <c r="A45" s="351">
        <f t="shared" si="0"/>
        <v>36</v>
      </c>
      <c r="B45" s="332"/>
      <c r="C45" s="375"/>
      <c r="D45" s="363"/>
      <c r="E45" s="363"/>
      <c r="F45" s="376"/>
      <c r="G45" s="357"/>
      <c r="H45" s="357"/>
      <c r="I45" s="314"/>
      <c r="J45" s="314"/>
      <c r="K45" s="314"/>
    </row>
    <row r="46" spans="1:11" ht="12" thickBot="1">
      <c r="A46" s="351">
        <f t="shared" si="0"/>
        <v>37</v>
      </c>
      <c r="B46" s="332" t="s">
        <v>300</v>
      </c>
      <c r="C46" s="379">
        <f>C36+C40+C44</f>
        <v>8.04132158990652</v>
      </c>
      <c r="D46" s="379">
        <f t="shared" ref="D46:F46" si="12">D36+D40+D44</f>
        <v>6.8132648690761801</v>
      </c>
      <c r="E46" s="379">
        <f t="shared" si="12"/>
        <v>8.9701856137609361</v>
      </c>
      <c r="F46" s="495">
        <f t="shared" si="12"/>
        <v>7.614001513673859</v>
      </c>
      <c r="G46" s="360"/>
      <c r="H46" s="360"/>
      <c r="I46" s="314"/>
      <c r="J46" s="314"/>
      <c r="K46" s="314"/>
    </row>
    <row r="47" spans="1:11">
      <c r="A47" s="351">
        <f t="shared" si="0"/>
        <v>38</v>
      </c>
      <c r="B47" s="161"/>
      <c r="C47" s="360"/>
      <c r="D47" s="360"/>
      <c r="E47" s="360"/>
      <c r="F47" s="360"/>
      <c r="G47" s="360"/>
      <c r="H47" s="360"/>
      <c r="I47" s="314"/>
      <c r="J47" s="314"/>
      <c r="K47" s="314"/>
    </row>
    <row r="48" spans="1:11" ht="12" thickBot="1">
      <c r="A48" s="351">
        <f t="shared" si="0"/>
        <v>39</v>
      </c>
      <c r="B48" s="161"/>
      <c r="C48" s="360"/>
      <c r="D48" s="360"/>
      <c r="E48" s="360"/>
      <c r="F48" s="360"/>
      <c r="G48" s="360"/>
      <c r="H48" s="360"/>
      <c r="I48" s="314"/>
      <c r="J48" s="314"/>
      <c r="K48" s="314"/>
    </row>
    <row r="49" spans="1:16">
      <c r="A49" s="351">
        <f t="shared" si="0"/>
        <v>40</v>
      </c>
      <c r="B49" s="46"/>
      <c r="C49" s="400" t="s">
        <v>395</v>
      </c>
      <c r="D49" s="380"/>
      <c r="E49" s="381"/>
      <c r="F49" s="382"/>
      <c r="G49" s="314"/>
      <c r="H49" s="314"/>
      <c r="I49" s="314"/>
      <c r="J49" s="314"/>
      <c r="K49" s="314"/>
    </row>
    <row r="50" spans="1:16">
      <c r="A50" s="351">
        <f t="shared" si="0"/>
        <v>41</v>
      </c>
      <c r="B50" s="46"/>
      <c r="C50" s="383" t="s">
        <v>196</v>
      </c>
      <c r="D50" s="367"/>
      <c r="E50" s="368" t="s">
        <v>197</v>
      </c>
      <c r="F50" s="384"/>
      <c r="G50" s="314"/>
      <c r="H50" s="314"/>
      <c r="I50" s="314"/>
      <c r="J50" s="314"/>
      <c r="K50" s="314"/>
    </row>
    <row r="51" spans="1:16">
      <c r="A51" s="351">
        <f t="shared" si="0"/>
        <v>42</v>
      </c>
      <c r="B51" s="46"/>
      <c r="C51" s="373" t="s">
        <v>198</v>
      </c>
      <c r="D51" s="362" t="s">
        <v>199</v>
      </c>
      <c r="E51" s="362" t="s">
        <v>198</v>
      </c>
      <c r="F51" s="374" t="s">
        <v>199</v>
      </c>
      <c r="G51" s="314"/>
      <c r="H51" s="314"/>
      <c r="I51" s="314"/>
      <c r="J51" s="314"/>
      <c r="K51" s="314"/>
    </row>
    <row r="52" spans="1:16">
      <c r="A52" s="351">
        <f t="shared" si="0"/>
        <v>43</v>
      </c>
      <c r="B52" s="326" t="s">
        <v>290</v>
      </c>
      <c r="C52" s="375">
        <f>C31-C10</f>
        <v>0</v>
      </c>
      <c r="D52" s="375">
        <f t="shared" ref="D52:F52" si="13">D31-D10</f>
        <v>0</v>
      </c>
      <c r="E52" s="375">
        <f t="shared" si="13"/>
        <v>0</v>
      </c>
      <c r="F52" s="437">
        <f t="shared" si="13"/>
        <v>0</v>
      </c>
      <c r="G52" s="314"/>
      <c r="H52" s="314"/>
      <c r="I52" s="314"/>
      <c r="J52" s="314"/>
      <c r="K52" s="314"/>
    </row>
    <row r="53" spans="1:16">
      <c r="A53" s="351">
        <f t="shared" si="0"/>
        <v>44</v>
      </c>
      <c r="B53" s="328" t="s">
        <v>291</v>
      </c>
      <c r="C53" s="375">
        <f t="shared" ref="C53:F56" si="14">C32-C11</f>
        <v>-7.640000000000001E-3</v>
      </c>
      <c r="D53" s="375">
        <f t="shared" si="14"/>
        <v>-2.8400000000000005E-3</v>
      </c>
      <c r="E53" s="375">
        <f t="shared" si="14"/>
        <v>-9.0599999999999986E-3</v>
      </c>
      <c r="F53" s="437">
        <f t="shared" si="14"/>
        <v>-3.7599999999999995E-3</v>
      </c>
      <c r="G53" s="314"/>
      <c r="H53" s="314"/>
      <c r="I53" s="314"/>
      <c r="J53" s="314"/>
      <c r="K53" s="314"/>
    </row>
    <row r="54" spans="1:16">
      <c r="A54" s="351">
        <f t="shared" si="0"/>
        <v>45</v>
      </c>
      <c r="B54" s="329" t="s">
        <v>292</v>
      </c>
      <c r="C54" s="375">
        <f t="shared" si="14"/>
        <v>-0.10124318610417271</v>
      </c>
      <c r="D54" s="375">
        <f t="shared" si="14"/>
        <v>-0.10124318610417271</v>
      </c>
      <c r="E54" s="375">
        <f t="shared" si="14"/>
        <v>-0.10124318610417271</v>
      </c>
      <c r="F54" s="437">
        <f t="shared" si="14"/>
        <v>-0.10124318610417271</v>
      </c>
      <c r="G54" s="314"/>
      <c r="H54" s="314"/>
      <c r="I54" s="314"/>
      <c r="J54" s="314"/>
      <c r="K54" s="314"/>
    </row>
    <row r="55" spans="1:16">
      <c r="A55" s="351">
        <f t="shared" si="0"/>
        <v>46</v>
      </c>
      <c r="B55" s="446" t="s">
        <v>411</v>
      </c>
      <c r="C55" s="375">
        <f t="shared" si="14"/>
        <v>4.599999999999986E-4</v>
      </c>
      <c r="D55" s="375">
        <f t="shared" si="14"/>
        <v>4.599999999999986E-4</v>
      </c>
      <c r="E55" s="375">
        <f t="shared" si="14"/>
        <v>4.599999999999986E-4</v>
      </c>
      <c r="F55" s="437">
        <f t="shared" si="14"/>
        <v>4.599999999999986E-4</v>
      </c>
      <c r="G55" s="314"/>
      <c r="H55" s="314"/>
      <c r="I55" s="314"/>
      <c r="J55" s="314"/>
      <c r="K55" s="314"/>
    </row>
    <row r="56" spans="1:16">
      <c r="A56" s="351">
        <f t="shared" si="0"/>
        <v>47</v>
      </c>
      <c r="B56" s="446" t="s">
        <v>412</v>
      </c>
      <c r="C56" s="375">
        <f t="shared" si="14"/>
        <v>1.7814776010692826E-2</v>
      </c>
      <c r="D56" s="375">
        <f t="shared" si="14"/>
        <v>6.6180551803529525E-3</v>
      </c>
      <c r="E56" s="375">
        <f t="shared" si="14"/>
        <v>2.115879986510856E-2</v>
      </c>
      <c r="F56" s="437">
        <f t="shared" si="14"/>
        <v>8.7846997780317987E-3</v>
      </c>
      <c r="G56" s="314"/>
      <c r="H56" s="314"/>
      <c r="I56" s="314"/>
      <c r="J56" s="314"/>
      <c r="K56" s="314"/>
    </row>
    <row r="57" spans="1:16">
      <c r="A57" s="351">
        <f t="shared" si="0"/>
        <v>48</v>
      </c>
      <c r="B57" s="330" t="s">
        <v>293</v>
      </c>
      <c r="C57" s="493">
        <f>SUM(C52:C56)</f>
        <v>-9.0608410093479891E-2</v>
      </c>
      <c r="D57" s="493">
        <f t="shared" ref="D57:F57" si="15">SUM(D52:D56)</f>
        <v>-9.7005130923819752E-2</v>
      </c>
      <c r="E57" s="493">
        <f t="shared" si="15"/>
        <v>-8.8684386239064147E-2</v>
      </c>
      <c r="F57" s="494">
        <f t="shared" si="15"/>
        <v>-9.575848632614091E-2</v>
      </c>
      <c r="G57" s="314"/>
      <c r="H57" s="314"/>
      <c r="I57" s="314"/>
      <c r="J57" s="314"/>
      <c r="K57" s="314"/>
    </row>
    <row r="58" spans="1:16">
      <c r="A58" s="351">
        <f t="shared" si="0"/>
        <v>49</v>
      </c>
      <c r="B58" s="337"/>
      <c r="C58" s="377"/>
      <c r="D58" s="364"/>
      <c r="E58" s="364"/>
      <c r="F58" s="378"/>
      <c r="G58" s="314"/>
      <c r="H58" s="314"/>
      <c r="I58" s="314"/>
      <c r="J58" s="314"/>
      <c r="K58" s="314"/>
    </row>
    <row r="59" spans="1:16">
      <c r="A59" s="351">
        <f t="shared" si="0"/>
        <v>50</v>
      </c>
      <c r="B59" s="455" t="s">
        <v>294</v>
      </c>
      <c r="C59" s="375">
        <f t="shared" ref="C59:F60" si="16">C38-C17</f>
        <v>-2.8370000000000006E-2</v>
      </c>
      <c r="D59" s="375">
        <f t="shared" si="16"/>
        <v>-2.8370000000000006E-2</v>
      </c>
      <c r="E59" s="375">
        <f t="shared" si="16"/>
        <v>-5.0999999999999934E-2</v>
      </c>
      <c r="F59" s="437">
        <f t="shared" si="16"/>
        <v>-5.0999999999999934E-2</v>
      </c>
      <c r="G59" s="314"/>
      <c r="H59" s="314"/>
      <c r="I59" s="314"/>
      <c r="J59" s="314"/>
      <c r="K59" s="314"/>
    </row>
    <row r="60" spans="1:16">
      <c r="A60" s="351">
        <f t="shared" si="0"/>
        <v>51</v>
      </c>
      <c r="B60" s="455" t="s">
        <v>295</v>
      </c>
      <c r="C60" s="375">
        <f t="shared" si="16"/>
        <v>-3.1540000000000012E-2</v>
      </c>
      <c r="D60" s="375">
        <f t="shared" si="16"/>
        <v>-3.1540000000000012E-2</v>
      </c>
      <c r="E60" s="375">
        <f t="shared" si="16"/>
        <v>-6.7180000000000017E-2</v>
      </c>
      <c r="F60" s="437">
        <f t="shared" si="16"/>
        <v>-6.7180000000000017E-2</v>
      </c>
      <c r="G60" s="314"/>
      <c r="H60" s="314"/>
      <c r="I60" s="314"/>
      <c r="J60" s="314"/>
      <c r="K60" s="314"/>
    </row>
    <row r="61" spans="1:16">
      <c r="A61" s="351">
        <f t="shared" si="0"/>
        <v>52</v>
      </c>
      <c r="B61" s="332" t="s">
        <v>296</v>
      </c>
      <c r="C61" s="490">
        <f>SUM(C59:C60)</f>
        <v>-5.9910000000000019E-2</v>
      </c>
      <c r="D61" s="490">
        <f t="shared" ref="D61:F61" si="17">SUM(D59:D60)</f>
        <v>-5.9910000000000019E-2</v>
      </c>
      <c r="E61" s="490">
        <f t="shared" si="17"/>
        <v>-0.11817999999999995</v>
      </c>
      <c r="F61" s="491">
        <f t="shared" si="17"/>
        <v>-0.11817999999999995</v>
      </c>
      <c r="G61" s="314"/>
      <c r="H61" s="314"/>
      <c r="I61" s="314"/>
      <c r="J61" s="314"/>
      <c r="K61" s="314"/>
      <c r="P61">
        <v>7</v>
      </c>
    </row>
    <row r="62" spans="1:16">
      <c r="A62" s="351">
        <f t="shared" si="0"/>
        <v>53</v>
      </c>
      <c r="B62" s="326"/>
      <c r="C62" s="375"/>
      <c r="D62" s="363"/>
      <c r="E62" s="363"/>
      <c r="F62" s="376"/>
      <c r="G62" s="314"/>
      <c r="H62" s="314"/>
      <c r="I62" s="314"/>
      <c r="J62" s="314"/>
      <c r="K62" s="314"/>
    </row>
    <row r="63" spans="1:16">
      <c r="A63" s="351">
        <f t="shared" si="0"/>
        <v>54</v>
      </c>
      <c r="B63" s="456" t="s">
        <v>297</v>
      </c>
      <c r="C63" s="375">
        <f t="shared" ref="C63:F64" si="18">C42-C21</f>
        <v>0.88560000000000016</v>
      </c>
      <c r="D63" s="375">
        <f t="shared" si="18"/>
        <v>0.88560000000000016</v>
      </c>
      <c r="E63" s="375">
        <f t="shared" si="18"/>
        <v>0.88560000000000016</v>
      </c>
      <c r="F63" s="437">
        <f t="shared" si="18"/>
        <v>0.88560000000000016</v>
      </c>
      <c r="G63" s="314"/>
      <c r="H63" s="314"/>
      <c r="I63" s="314"/>
      <c r="J63" s="314"/>
      <c r="K63" s="314"/>
      <c r="P63">
        <f>IF(P61=1,(1-0)*P61,IF(P61=2,(2-0)*P61,IF(P61=3,(3-0)*P61,IF(P61=4,(4-0)*P61,IF(P61=5,(5-0)*P61,0)))))</f>
        <v>0</v>
      </c>
    </row>
    <row r="64" spans="1:16">
      <c r="A64" s="351">
        <f t="shared" si="0"/>
        <v>55</v>
      </c>
      <c r="B64" s="457" t="s">
        <v>298</v>
      </c>
      <c r="C64" s="375">
        <f t="shared" si="18"/>
        <v>0.22364000000000001</v>
      </c>
      <c r="D64" s="375">
        <f t="shared" si="18"/>
        <v>0.22364000000000001</v>
      </c>
      <c r="E64" s="375">
        <f t="shared" si="18"/>
        <v>0.22364000000000001</v>
      </c>
      <c r="F64" s="437">
        <f t="shared" si="18"/>
        <v>0.22364000000000001</v>
      </c>
      <c r="G64" s="314"/>
      <c r="H64" s="314"/>
      <c r="I64" s="314"/>
      <c r="J64" s="314"/>
      <c r="K64" s="314"/>
    </row>
    <row r="65" spans="1:12">
      <c r="A65" s="351">
        <f t="shared" si="0"/>
        <v>56</v>
      </c>
      <c r="B65" s="332" t="s">
        <v>299</v>
      </c>
      <c r="C65" s="490">
        <f>SUM(C63:C64)</f>
        <v>1.1092400000000002</v>
      </c>
      <c r="D65" s="490">
        <f t="shared" ref="D65:F65" si="19">SUM(D63:D64)</f>
        <v>1.1092400000000002</v>
      </c>
      <c r="E65" s="490">
        <f t="shared" si="19"/>
        <v>1.1092400000000002</v>
      </c>
      <c r="F65" s="491">
        <f t="shared" si="19"/>
        <v>1.1092400000000002</v>
      </c>
      <c r="G65" s="314"/>
      <c r="H65" s="314"/>
      <c r="I65" s="314"/>
      <c r="J65" s="314"/>
      <c r="K65" s="314"/>
    </row>
    <row r="66" spans="1:12" ht="12" thickBot="1">
      <c r="A66" s="351">
        <f t="shared" si="0"/>
        <v>57</v>
      </c>
      <c r="B66" s="332"/>
      <c r="C66" s="459"/>
      <c r="D66" s="460"/>
      <c r="E66" s="460"/>
      <c r="F66" s="461"/>
      <c r="G66" s="314"/>
      <c r="H66" s="314"/>
      <c r="I66" s="314"/>
      <c r="J66" s="314"/>
      <c r="K66" s="314"/>
    </row>
    <row r="67" spans="1:12" ht="12" thickBot="1">
      <c r="A67" s="351">
        <f t="shared" si="0"/>
        <v>58</v>
      </c>
      <c r="B67" s="332" t="s">
        <v>300</v>
      </c>
      <c r="C67" s="492">
        <f>C57+C61+C65</f>
        <v>0.95872158990652034</v>
      </c>
      <c r="D67" s="492">
        <f t="shared" ref="D67:F67" si="20">D57+D61+D65</f>
        <v>0.95232486907618052</v>
      </c>
      <c r="E67" s="492">
        <f t="shared" si="20"/>
        <v>0.90237561376093611</v>
      </c>
      <c r="F67" s="492">
        <f t="shared" si="20"/>
        <v>0.89530151367385935</v>
      </c>
    </row>
    <row r="68" spans="1:12" ht="12.75" thickTop="1" thickBot="1">
      <c r="B68" s="338" t="s">
        <v>301</v>
      </c>
      <c r="C68" s="458">
        <f>C46/C25-1</f>
        <v>0.13536294438575114</v>
      </c>
      <c r="D68" s="458">
        <f t="shared" ref="D68:F68" si="21">D46/D25-1</f>
        <v>0.16248671187150521</v>
      </c>
      <c r="E68" s="458">
        <f t="shared" si="21"/>
        <v>0.11184889254468522</v>
      </c>
      <c r="F68" s="458">
        <f t="shared" si="21"/>
        <v>0.13325517044574986</v>
      </c>
    </row>
    <row r="69" spans="1:12" ht="12" thickTop="1"/>
    <row r="71" spans="1:12">
      <c r="B71" t="s">
        <v>610</v>
      </c>
      <c r="C71" s="488">
        <v>1</v>
      </c>
    </row>
    <row r="72" spans="1:12">
      <c r="B72" s="348" t="s">
        <v>424</v>
      </c>
      <c r="C72" s="488"/>
    </row>
    <row r="73" spans="1:12">
      <c r="B73" s="348" t="s">
        <v>426</v>
      </c>
    </row>
    <row r="74" spans="1:12">
      <c r="B74" s="469" t="s">
        <v>421</v>
      </c>
      <c r="C74" s="470"/>
      <c r="D74" s="470"/>
      <c r="E74" s="470"/>
      <c r="F74" s="470"/>
      <c r="G74" s="470"/>
      <c r="I74" t="s">
        <v>610</v>
      </c>
    </row>
    <row r="75" spans="1:12">
      <c r="B75" s="468"/>
      <c r="C75" s="467"/>
      <c r="D75" s="471"/>
      <c r="E75" s="466"/>
      <c r="F75" s="472"/>
      <c r="G75" s="466"/>
      <c r="I75" t="s">
        <v>611</v>
      </c>
      <c r="J75">
        <v>1</v>
      </c>
      <c r="L75" s="433">
        <v>-5722000</v>
      </c>
    </row>
    <row r="76" spans="1:12">
      <c r="B76" s="174" t="s">
        <v>191</v>
      </c>
      <c r="C76" s="175"/>
      <c r="D76" s="471"/>
      <c r="E76" s="466"/>
      <c r="F76" s="472"/>
      <c r="G76" s="466"/>
      <c r="I76" t="s">
        <v>612</v>
      </c>
      <c r="J76">
        <v>2</v>
      </c>
      <c r="L76" s="433">
        <f>-784710</f>
        <v>-784710</v>
      </c>
    </row>
    <row r="77" spans="1:12">
      <c r="B77" s="339" t="s">
        <v>192</v>
      </c>
      <c r="C77" s="475">
        <v>5</v>
      </c>
      <c r="D77" s="467"/>
      <c r="E77" s="467"/>
      <c r="F77" s="467"/>
      <c r="G77" s="474"/>
      <c r="I77" t="s">
        <v>613</v>
      </c>
      <c r="J77">
        <v>3</v>
      </c>
      <c r="L77" s="433">
        <f>-8917344</f>
        <v>-8917344</v>
      </c>
    </row>
    <row r="78" spans="1:12">
      <c r="B78" s="468"/>
      <c r="C78" s="467"/>
      <c r="D78" s="467"/>
      <c r="E78" s="467"/>
      <c r="F78" s="467"/>
      <c r="G78" s="467"/>
      <c r="I78" t="s">
        <v>614</v>
      </c>
      <c r="J78">
        <v>4</v>
      </c>
      <c r="L78" s="433">
        <v>78830</v>
      </c>
    </row>
    <row r="79" spans="1:12">
      <c r="B79" s="473" t="s">
        <v>302</v>
      </c>
      <c r="C79" s="476" t="s">
        <v>102</v>
      </c>
      <c r="D79" s="477">
        <v>40330</v>
      </c>
      <c r="E79" s="478" t="s">
        <v>609</v>
      </c>
      <c r="F79" s="476" t="s">
        <v>162</v>
      </c>
      <c r="G79" s="479" t="s">
        <v>303</v>
      </c>
      <c r="I79" t="s">
        <v>615</v>
      </c>
      <c r="J79">
        <v>5</v>
      </c>
      <c r="L79" s="433">
        <v>2156344</v>
      </c>
    </row>
    <row r="80" spans="1:12" ht="12" thickBot="1">
      <c r="B80" s="480" t="s">
        <v>66</v>
      </c>
      <c r="C80" s="481">
        <v>14.9</v>
      </c>
      <c r="D80" s="489">
        <f>($E$25*C80)+$C$77</f>
        <v>125.210369</v>
      </c>
      <c r="E80" s="489">
        <f>IF($C$71=1,(($E$25-$E$23-$E$19+$E$40+$E$44)*C80)+$C$77,IF($C$71=2,(($E$25-$E$11+$E$32)*C80)+$C$77,IF($C$71=3,(($E$25-$E$12+$E$33)*C80)+$C$77,IF($C$71=4,(($E$25-$E$13+$E$34)*C80)+$C$77,IF($C$71=5,(($E$25-$E$14+$E$35)*C80)+$C$77,($E$46*C80)+$C$77)))))</f>
        <v>139.97716299999999</v>
      </c>
      <c r="F80" s="482">
        <f t="shared" ref="F80:F91" si="22">E80-D80</f>
        <v>14.76679399999999</v>
      </c>
      <c r="G80" s="483">
        <f t="shared" ref="G80:G92" si="23">F80/D80</f>
        <v>0.11793587158903741</v>
      </c>
      <c r="L80" s="596">
        <f>SUM(L75:L79)</f>
        <v>-13188880</v>
      </c>
    </row>
    <row r="81" spans="2:7" ht="12" thickTop="1">
      <c r="B81" s="480" t="s">
        <v>67</v>
      </c>
      <c r="C81" s="481">
        <v>12.5</v>
      </c>
      <c r="D81" s="489">
        <f t="shared" ref="D81:D82" si="24">($E$25*C81)+$C$77</f>
        <v>105.84762499999999</v>
      </c>
      <c r="E81" s="489">
        <f t="shared" ref="E81:E82" si="25">IF($C$71=1,(($E$25-$E$23-$E$19+$E$40+$E$44)*C81)+$C$77,IF($C$71=2,(($E$25-$E$11+$E$32)*C81)+$C$77,IF($C$71=3,(($E$25-$E$12+$E$33)*C81)+$C$77,IF($C$71=4,(($E$25-$E$13+$E$34)*C81)+$C$77,IF($C$71=5,(($E$25-$E$14+$E$35)*C81)+$C$77,($E$46*C81)+$C$77)))))</f>
        <v>118.23587499999999</v>
      </c>
      <c r="F81" s="482">
        <f t="shared" si="22"/>
        <v>12.388249999999999</v>
      </c>
      <c r="G81" s="483">
        <f t="shared" si="23"/>
        <v>0.11703852589984896</v>
      </c>
    </row>
    <row r="82" spans="2:7">
      <c r="B82" s="480" t="s">
        <v>68</v>
      </c>
      <c r="C82" s="481">
        <v>10.1</v>
      </c>
      <c r="D82" s="489">
        <f t="shared" si="24"/>
        <v>86.484880999999987</v>
      </c>
      <c r="E82" s="489">
        <f t="shared" si="25"/>
        <v>96.494586999999981</v>
      </c>
      <c r="F82" s="482">
        <f t="shared" si="22"/>
        <v>10.009705999999994</v>
      </c>
      <c r="G82" s="483">
        <f t="shared" si="23"/>
        <v>0.11573937414563819</v>
      </c>
    </row>
    <row r="83" spans="2:7">
      <c r="B83" s="480" t="s">
        <v>69</v>
      </c>
      <c r="C83" s="481">
        <v>8.3000000000000007</v>
      </c>
      <c r="D83" s="489">
        <f>($C$25*C83)+$C$77</f>
        <v>63.785580000000003</v>
      </c>
      <c r="E83" s="489">
        <f>IF($C$71=1,(($C$25-$C$23-$C$19+$C$40+$C$44)*C83)+$C$77,IF($C$71=2,(($C$25-$C$11+$C$32)*C83)+$C$77,IF($C$71=3,(($C$25-$C$12+$C$33)*C83)+$C$77,IF($C$71=4,(($C$25-$C$13+$C$34)*C83)+$C$77,IF($C$71=5,(($C$25-$C$14+$C$35)*C83)+$C$77,($C$46*C83)+$C$77)))))</f>
        <v>72.495018999999999</v>
      </c>
      <c r="F83" s="482">
        <f t="shared" si="22"/>
        <v>8.7094389999999962</v>
      </c>
      <c r="G83" s="483">
        <f t="shared" si="23"/>
        <v>0.13654244423269327</v>
      </c>
    </row>
    <row r="84" spans="2:7">
      <c r="B84" s="480" t="s">
        <v>70</v>
      </c>
      <c r="C84" s="481">
        <v>4.4000000000000004</v>
      </c>
      <c r="D84" s="489">
        <f t="shared" ref="D84:D89" si="26">($C$25*C84)+$C$77</f>
        <v>36.163440000000001</v>
      </c>
      <c r="E84" s="489">
        <f t="shared" ref="E84:E89" si="27">IF($C$71=1,(($C$25-$C$23-$C$19+$C$40+$C$44)*C84)+$C$77,IF($C$71=2,(($C$25-$C$11+$C$32)*C84)+$C$77,IF($C$71=3,(($C$25-$C$12+$C$33)*C84)+$C$77,IF($C$71=4,(($C$25-$C$13+$C$34)*C84)+$C$77,IF($C$71=5,(($C$25-$C$14+$C$35)*C84)+$C$77,($C$46*C84)+$C$77)))))</f>
        <v>40.780491999999995</v>
      </c>
      <c r="F84" s="482">
        <f t="shared" si="22"/>
        <v>4.6170519999999939</v>
      </c>
      <c r="G84" s="483">
        <f t="shared" si="23"/>
        <v>0.12767181440703632</v>
      </c>
    </row>
    <row r="85" spans="2:7">
      <c r="B85" s="480" t="s">
        <v>71</v>
      </c>
      <c r="C85" s="481">
        <v>3.1</v>
      </c>
      <c r="D85" s="489">
        <f t="shared" si="26"/>
        <v>26.956059999999997</v>
      </c>
      <c r="E85" s="489">
        <f t="shared" si="27"/>
        <v>30.208982999999996</v>
      </c>
      <c r="F85" s="482">
        <f t="shared" si="22"/>
        <v>3.2529229999999991</v>
      </c>
      <c r="G85" s="483">
        <f t="shared" si="23"/>
        <v>0.12067501704625971</v>
      </c>
    </row>
    <row r="86" spans="2:7">
      <c r="B86" s="480" t="s">
        <v>72</v>
      </c>
      <c r="C86" s="481">
        <v>2</v>
      </c>
      <c r="D86" s="489">
        <f t="shared" si="26"/>
        <v>19.165199999999999</v>
      </c>
      <c r="E86" s="489">
        <f t="shared" si="27"/>
        <v>21.263859999999998</v>
      </c>
      <c r="F86" s="482">
        <f t="shared" si="22"/>
        <v>2.0986599999999989</v>
      </c>
      <c r="G86" s="483">
        <f t="shared" si="23"/>
        <v>0.10950368376014855</v>
      </c>
    </row>
    <row r="87" spans="2:7">
      <c r="B87" s="480" t="s">
        <v>73</v>
      </c>
      <c r="C87" s="481">
        <v>1.8</v>
      </c>
      <c r="D87" s="489">
        <f t="shared" si="26"/>
        <v>17.74868</v>
      </c>
      <c r="E87" s="489">
        <f t="shared" si="27"/>
        <v>19.637473999999997</v>
      </c>
      <c r="F87" s="482">
        <f t="shared" si="22"/>
        <v>1.8887939999999972</v>
      </c>
      <c r="G87" s="483">
        <f t="shared" si="23"/>
        <v>0.10641884354216748</v>
      </c>
    </row>
    <row r="88" spans="2:7">
      <c r="B88" s="480" t="s">
        <v>74</v>
      </c>
      <c r="C88" s="481">
        <v>2</v>
      </c>
      <c r="D88" s="489">
        <f t="shared" si="26"/>
        <v>19.165199999999999</v>
      </c>
      <c r="E88" s="489">
        <f t="shared" si="27"/>
        <v>21.263859999999998</v>
      </c>
      <c r="F88" s="482">
        <f t="shared" si="22"/>
        <v>2.0986599999999989</v>
      </c>
      <c r="G88" s="483">
        <f t="shared" si="23"/>
        <v>0.10950368376014855</v>
      </c>
    </row>
    <row r="89" spans="2:7">
      <c r="B89" s="480" t="s">
        <v>63</v>
      </c>
      <c r="C89" s="481">
        <v>3.1</v>
      </c>
      <c r="D89" s="489">
        <f t="shared" si="26"/>
        <v>26.956059999999997</v>
      </c>
      <c r="E89" s="489">
        <f t="shared" si="27"/>
        <v>30.208982999999996</v>
      </c>
      <c r="F89" s="482">
        <f t="shared" si="22"/>
        <v>3.2529229999999991</v>
      </c>
      <c r="G89" s="483">
        <f t="shared" si="23"/>
        <v>0.12067501704625971</v>
      </c>
    </row>
    <row r="90" spans="2:7">
      <c r="B90" s="480" t="s">
        <v>64</v>
      </c>
      <c r="C90" s="481">
        <v>6.3</v>
      </c>
      <c r="D90" s="489">
        <f t="shared" ref="D90:D91" si="28">($E$25*C90)+$C$77</f>
        <v>55.827202999999997</v>
      </c>
      <c r="E90" s="489">
        <f t="shared" ref="E90:E91" si="29">IF($C$71=1,(($E$25-$E$23-$E$19+$E$40+$E$44)*C90)+$C$77,IF($C$71=2,(($E$25-$E$11+$E$32)*C90)+$C$77,IF($C$71=3,(($E$25-$E$12+$E$33)*C90)+$C$77,IF($C$71=4,(($E$25-$E$13+$E$34)*C90)+$C$77,IF($C$71=5,(($E$25-$E$14+$E$35)*C90)+$C$77,($E$46*C90)+$C$77)))))</f>
        <v>62.070880999999993</v>
      </c>
      <c r="F90" s="482">
        <f t="shared" si="22"/>
        <v>6.2436779999999956</v>
      </c>
      <c r="G90" s="483">
        <f t="shared" si="23"/>
        <v>0.11183934828330905</v>
      </c>
    </row>
    <row r="91" spans="2:7" ht="12" thickBot="1">
      <c r="B91" s="480" t="s">
        <v>65</v>
      </c>
      <c r="C91" s="481">
        <v>11.5</v>
      </c>
      <c r="D91" s="489">
        <f t="shared" si="28"/>
        <v>97.779814999999999</v>
      </c>
      <c r="E91" s="489">
        <f t="shared" si="29"/>
        <v>109.17700499999998</v>
      </c>
      <c r="F91" s="482">
        <f t="shared" si="22"/>
        <v>11.397189999999981</v>
      </c>
      <c r="G91" s="483">
        <f t="shared" si="23"/>
        <v>0.11655974190583179</v>
      </c>
    </row>
    <row r="92" spans="2:7" ht="12.75" thickTop="1" thickBot="1">
      <c r="B92" s="484" t="s">
        <v>304</v>
      </c>
      <c r="C92" s="485">
        <f>SUM(C80:C91)</f>
        <v>80</v>
      </c>
      <c r="D92" s="486">
        <f>SUM(D80:D91)</f>
        <v>681.09011299999986</v>
      </c>
      <c r="E92" s="486">
        <f>SUM(E80:E91)</f>
        <v>761.81418199999996</v>
      </c>
      <c r="F92" s="486">
        <f>SUM(F80:F91)</f>
        <v>80.724068999999943</v>
      </c>
      <c r="G92" s="487">
        <f t="shared" si="23"/>
        <v>0.11852186290656073</v>
      </c>
    </row>
    <row r="93" spans="2:7" ht="12" thickTop="1"/>
    <row r="95" spans="2:7">
      <c r="B95" t="s">
        <v>422</v>
      </c>
      <c r="F95" s="885">
        <v>-4.4017180000000451</v>
      </c>
    </row>
    <row r="96" spans="2:7">
      <c r="B96" t="s">
        <v>405</v>
      </c>
      <c r="F96" s="885">
        <v>-0.68972600000000739</v>
      </c>
    </row>
    <row r="97" spans="2:6">
      <c r="B97" t="s">
        <v>423</v>
      </c>
      <c r="F97" s="885">
        <v>-8.0994548883337671</v>
      </c>
    </row>
    <row r="98" spans="2:6">
      <c r="B98" t="s">
        <v>616</v>
      </c>
      <c r="F98" s="885">
        <v>3.6800000000027921E-2</v>
      </c>
    </row>
    <row r="99" spans="2:6">
      <c r="B99" t="s">
        <v>617</v>
      </c>
      <c r="F99" s="885">
        <v>1.6101066000046238</v>
      </c>
    </row>
    <row r="100" spans="2:6" ht="12" thickBot="1">
      <c r="F100" s="886">
        <f>SUM(F95:F99)</f>
        <v>-11.543992288329168</v>
      </c>
    </row>
    <row r="101" spans="2:6" ht="12" thickTop="1"/>
  </sheetData>
  <printOptions horizontalCentered="1" verticalCentered="1"/>
  <pageMargins left="0.7" right="0.7" top="0.75" bottom="0.75" header="0.3" footer="0.3"/>
  <pageSetup scale="7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B1:N10"/>
  <sheetViews>
    <sheetView workbookViewId="0">
      <selection activeCell="H4" sqref="H4"/>
    </sheetView>
  </sheetViews>
  <sheetFormatPr defaultRowHeight="11.25"/>
  <cols>
    <col min="3" max="4" width="10.1640625" bestFit="1" customWidth="1"/>
    <col min="5" max="5" width="11.1640625" bestFit="1" customWidth="1"/>
    <col min="7" max="7" width="12.5" customWidth="1"/>
    <col min="8" max="8" width="12.1640625" customWidth="1"/>
    <col min="9" max="9" width="12.6640625" customWidth="1"/>
    <col min="10" max="10" width="13.33203125" customWidth="1"/>
    <col min="11" max="11" width="10.83203125" customWidth="1"/>
  </cols>
  <sheetData>
    <row r="1" spans="2:14" ht="12" thickBot="1">
      <c r="G1" s="612" t="s">
        <v>487</v>
      </c>
      <c r="L1" t="s">
        <v>591</v>
      </c>
      <c r="N1" s="488" t="s">
        <v>679</v>
      </c>
    </row>
    <row r="2" spans="2:14">
      <c r="G2" s="597" t="s">
        <v>484</v>
      </c>
      <c r="H2" s="598" t="s">
        <v>485</v>
      </c>
      <c r="I2" s="598" t="s">
        <v>482</v>
      </c>
      <c r="J2" s="598" t="s">
        <v>486</v>
      </c>
      <c r="K2" s="599" t="s">
        <v>167</v>
      </c>
    </row>
    <row r="3" spans="2:14">
      <c r="C3" t="s">
        <v>137</v>
      </c>
      <c r="D3" t="s">
        <v>134</v>
      </c>
      <c r="E3" t="s">
        <v>1</v>
      </c>
      <c r="G3" s="600" t="s">
        <v>483</v>
      </c>
      <c r="H3" s="595" t="s">
        <v>483</v>
      </c>
      <c r="I3" s="601"/>
      <c r="J3" s="601"/>
      <c r="K3" s="602"/>
    </row>
    <row r="4" spans="2:14">
      <c r="B4" t="s">
        <v>231</v>
      </c>
      <c r="C4" s="433">
        <f>IF(N1="yes",'191 Sales Volumes '!Q65,'191 Sales Volumes '!P65)</f>
        <v>27936660</v>
      </c>
      <c r="D4" s="433">
        <f>IF(N1="yes",'191 Sales Volumes '!Q64,'191 Sales Volumes '!P64)</f>
        <v>70638973</v>
      </c>
      <c r="E4" s="433">
        <f>C4+D4</f>
        <v>98575633</v>
      </c>
      <c r="G4" s="603">
        <f>Rates!T33</f>
        <v>0</v>
      </c>
      <c r="H4" s="604">
        <f>Rates!T32</f>
        <v>0</v>
      </c>
      <c r="I4" s="605">
        <f>C4*G4</f>
        <v>0</v>
      </c>
      <c r="J4" s="605">
        <f>D4*H4</f>
        <v>0</v>
      </c>
      <c r="K4" s="606">
        <f>I4+J4</f>
        <v>0</v>
      </c>
    </row>
    <row r="5" spans="2:14">
      <c r="B5" t="s">
        <v>316</v>
      </c>
      <c r="C5" s="433">
        <f>IF(N1="yes",'191 Sales Volumes '!Q71,'191 Sales Volumes '!P71)</f>
        <v>2414448</v>
      </c>
      <c r="D5" s="433">
        <f>IF(N1="yes",'191 Sales Volumes '!Q70,'191 Sales Volumes '!P70)</f>
        <v>2449722</v>
      </c>
      <c r="E5" s="433">
        <f>C5+D5</f>
        <v>4864170</v>
      </c>
      <c r="G5" s="603">
        <f>Rates!T35</f>
        <v>0</v>
      </c>
      <c r="H5" s="604">
        <f>Rates!T34</f>
        <v>0</v>
      </c>
      <c r="I5" s="605">
        <f t="shared" ref="I5:I7" si="0">C5*G5</f>
        <v>0</v>
      </c>
      <c r="J5" s="605">
        <f t="shared" ref="J5:J7" si="1">D5*H5</f>
        <v>0</v>
      </c>
      <c r="K5" s="606">
        <f t="shared" ref="K5:K7" si="2">I5+J5</f>
        <v>0</v>
      </c>
    </row>
    <row r="6" spans="2:14">
      <c r="B6" t="s">
        <v>143</v>
      </c>
      <c r="C6" s="433">
        <f>'191 Sales Volumes '!D12*7</f>
        <v>278530</v>
      </c>
      <c r="D6" s="433">
        <f>'191 Sales Volumes '!I12*5</f>
        <v>307230</v>
      </c>
      <c r="E6" s="433">
        <f>C6+D6</f>
        <v>585760</v>
      </c>
      <c r="G6" s="603">
        <f>Rates!T37</f>
        <v>0</v>
      </c>
      <c r="H6" s="604">
        <f>Rates!T37</f>
        <v>0</v>
      </c>
      <c r="I6" s="605">
        <f t="shared" si="0"/>
        <v>0</v>
      </c>
      <c r="J6" s="605">
        <f t="shared" si="1"/>
        <v>0</v>
      </c>
      <c r="K6" s="606">
        <f t="shared" si="2"/>
        <v>0</v>
      </c>
    </row>
    <row r="7" spans="2:14">
      <c r="B7" t="s">
        <v>335</v>
      </c>
      <c r="C7" s="613">
        <f>'191 Sales Volumes '!D15+'191 Sales Volumes '!E15+'191 Sales Volumes '!F15+'191 Sales Volumes '!G15+'191 Sales Volumes '!H15+'191 Sales Volumes '!N15+'191 Sales Volumes '!O15</f>
        <v>1534312</v>
      </c>
      <c r="D7" s="613">
        <f>'191 Sales Volumes '!I15+'191 Sales Volumes '!J15+'191 Sales Volumes '!K15+'191 Sales Volumes '!L15+'191 Sales Volumes '!M15</f>
        <v>1097135</v>
      </c>
      <c r="E7" s="613">
        <f>C7+D7</f>
        <v>2631447</v>
      </c>
      <c r="G7" s="603">
        <f>Rates!T38</f>
        <v>0</v>
      </c>
      <c r="H7" s="604">
        <f>Rates!T38</f>
        <v>0</v>
      </c>
      <c r="I7" s="605">
        <f t="shared" si="0"/>
        <v>0</v>
      </c>
      <c r="J7" s="605">
        <f t="shared" si="1"/>
        <v>0</v>
      </c>
      <c r="K7" s="606">
        <f t="shared" si="2"/>
        <v>0</v>
      </c>
    </row>
    <row r="8" spans="2:14" ht="12" thickBot="1">
      <c r="E8">
        <f>SUM(E4:E7)</f>
        <v>106657010</v>
      </c>
      <c r="G8" s="607"/>
      <c r="H8" s="601"/>
      <c r="I8" s="596">
        <f>SUM(I4:I7)</f>
        <v>0</v>
      </c>
      <c r="J8" s="596">
        <f>SUM(J4:J7)</f>
        <v>0</v>
      </c>
      <c r="K8" s="608">
        <f>IF(N1="yes",0,I8+J8)</f>
        <v>0</v>
      </c>
    </row>
    <row r="9" spans="2:14" ht="12" thickTop="1">
      <c r="G9" s="607"/>
      <c r="H9" s="601"/>
      <c r="I9" s="601"/>
      <c r="J9" s="601"/>
      <c r="K9" s="602"/>
    </row>
    <row r="10" spans="2:14" ht="12" thickBot="1">
      <c r="G10" s="609"/>
      <c r="H10" s="610"/>
      <c r="I10" s="610"/>
      <c r="J10" s="610"/>
      <c r="K10" s="611"/>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C1:G64"/>
  <sheetViews>
    <sheetView workbookViewId="0">
      <selection activeCell="F27" sqref="F27"/>
    </sheetView>
  </sheetViews>
  <sheetFormatPr defaultRowHeight="11.25"/>
  <cols>
    <col min="3" max="3" width="17.5" customWidth="1"/>
    <col min="4" max="4" width="11.1640625" bestFit="1" customWidth="1"/>
    <col min="5" max="5" width="11.6640625" customWidth="1"/>
    <col min="6" max="6" width="10.5" customWidth="1"/>
    <col min="7" max="7" width="11.33203125" customWidth="1"/>
  </cols>
  <sheetData>
    <row r="1" spans="3:7" ht="12" thickBot="1"/>
    <row r="2" spans="3:7">
      <c r="C2" s="555"/>
      <c r="D2" s="557" t="s">
        <v>490</v>
      </c>
      <c r="E2" s="574"/>
      <c r="F2" s="385"/>
      <c r="G2" s="575"/>
    </row>
    <row r="3" spans="3:7">
      <c r="C3" s="387"/>
      <c r="D3" s="389"/>
      <c r="E3" s="505"/>
      <c r="F3" s="389"/>
      <c r="G3" s="571"/>
    </row>
    <row r="4" spans="3:7">
      <c r="C4" s="394" t="s">
        <v>380</v>
      </c>
      <c r="D4" s="576" t="s">
        <v>372</v>
      </c>
      <c r="E4" s="577"/>
      <c r="F4" s="388" t="s">
        <v>493</v>
      </c>
      <c r="G4" s="578"/>
    </row>
    <row r="5" spans="3:7">
      <c r="C5" s="579" t="s">
        <v>373</v>
      </c>
      <c r="D5" s="388">
        <f>'191 Sales Volumes '!P20+'191 Sales Volumes '!P48</f>
        <v>110787566</v>
      </c>
      <c r="E5" s="505"/>
      <c r="F5" s="389">
        <f>D5-('191 Sales Volumes '!P20+'191 Sales Volumes '!P48)</f>
        <v>0</v>
      </c>
      <c r="G5" s="571"/>
    </row>
    <row r="6" spans="3:7">
      <c r="C6" s="394" t="s">
        <v>382</v>
      </c>
      <c r="D6" s="580">
        <v>550007</v>
      </c>
      <c r="E6" s="505"/>
      <c r="F6" s="389"/>
      <c r="G6" s="571"/>
    </row>
    <row r="7" spans="3:7">
      <c r="C7" s="581"/>
      <c r="D7" s="580">
        <v>0</v>
      </c>
      <c r="E7" s="505"/>
      <c r="F7" s="389"/>
      <c r="G7" s="571"/>
    </row>
    <row r="8" spans="3:7">
      <c r="C8" s="394" t="s">
        <v>383</v>
      </c>
      <c r="D8" s="388">
        <f>D5+D6+D7</f>
        <v>111337573</v>
      </c>
      <c r="E8" s="505"/>
      <c r="F8" s="389"/>
      <c r="G8" s="583"/>
    </row>
    <row r="9" spans="3:7">
      <c r="C9" s="584"/>
      <c r="D9" s="580"/>
      <c r="E9" s="585"/>
      <c r="F9" s="582"/>
      <c r="G9" s="583"/>
    </row>
    <row r="10" spans="3:7">
      <c r="C10" s="394" t="s">
        <v>371</v>
      </c>
      <c r="D10" s="580"/>
      <c r="E10" s="505"/>
      <c r="F10" s="389"/>
      <c r="G10" s="571"/>
    </row>
    <row r="11" spans="3:7">
      <c r="C11" s="394" t="s">
        <v>374</v>
      </c>
      <c r="D11" s="388">
        <f>Costs!H20</f>
        <v>74434458</v>
      </c>
      <c r="E11" s="505"/>
      <c r="F11" s="389">
        <f>D11-Costs!H20</f>
        <v>0</v>
      </c>
      <c r="G11" s="586"/>
    </row>
    <row r="12" spans="3:7">
      <c r="C12" s="581" t="s">
        <v>384</v>
      </c>
      <c r="D12" s="580">
        <v>-3654732</v>
      </c>
      <c r="E12" s="505"/>
      <c r="F12" s="389"/>
      <c r="G12" s="583"/>
    </row>
    <row r="13" spans="3:7">
      <c r="C13" s="394" t="s">
        <v>375</v>
      </c>
      <c r="D13" s="388">
        <f>'Purchases Detail 1.2'!D8+'Purchases Detail 1.2'!D12+'Purchases Detail 1.2'!D14</f>
        <v>42429544</v>
      </c>
      <c r="E13" s="505"/>
      <c r="F13" s="389">
        <f>D13-Costs!H28</f>
        <v>0</v>
      </c>
      <c r="G13" s="586"/>
    </row>
    <row r="14" spans="3:7">
      <c r="C14" s="581" t="s">
        <v>384</v>
      </c>
      <c r="D14" s="580">
        <v>-729788</v>
      </c>
      <c r="E14" s="505"/>
      <c r="F14" s="389"/>
      <c r="G14" s="583"/>
    </row>
    <row r="15" spans="3:7">
      <c r="C15" s="394" t="s">
        <v>491</v>
      </c>
      <c r="D15" s="388">
        <f>D31</f>
        <v>-1141908</v>
      </c>
      <c r="E15" s="505"/>
      <c r="F15" s="389"/>
      <c r="G15" s="571"/>
    </row>
    <row r="16" spans="3:7">
      <c r="C16" s="394"/>
      <c r="D16" s="580"/>
      <c r="E16" s="505"/>
      <c r="F16" s="389"/>
      <c r="G16" s="571"/>
    </row>
    <row r="17" spans="3:7">
      <c r="C17" s="394" t="s">
        <v>1</v>
      </c>
      <c r="D17" s="388">
        <f>SUM(D11:D15)</f>
        <v>111337574</v>
      </c>
      <c r="E17" s="505"/>
      <c r="F17" s="389"/>
      <c r="G17" s="588"/>
    </row>
    <row r="18" spans="3:7">
      <c r="C18" s="581"/>
      <c r="D18" s="580"/>
      <c r="E18" s="505"/>
      <c r="F18" s="389"/>
      <c r="G18" s="583"/>
    </row>
    <row r="19" spans="3:7">
      <c r="C19" s="581" t="s">
        <v>492</v>
      </c>
      <c r="D19" s="388">
        <f>D8-D17</f>
        <v>-1</v>
      </c>
      <c r="E19" s="505"/>
      <c r="F19" s="389"/>
      <c r="G19" s="583"/>
    </row>
    <row r="20" spans="3:7">
      <c r="C20" s="584"/>
      <c r="D20" s="580"/>
      <c r="E20" s="585"/>
      <c r="F20" s="582"/>
      <c r="G20" s="571"/>
    </row>
    <row r="21" spans="3:7">
      <c r="C21" s="394"/>
      <c r="D21" s="580"/>
      <c r="E21" s="505"/>
      <c r="F21" s="389"/>
      <c r="G21" s="588"/>
    </row>
    <row r="22" spans="3:7">
      <c r="C22" s="584"/>
      <c r="D22" s="580"/>
      <c r="E22" s="585"/>
      <c r="F22" s="582"/>
      <c r="G22" s="571"/>
    </row>
    <row r="23" spans="3:7">
      <c r="C23" s="387"/>
      <c r="D23" s="580"/>
      <c r="E23" s="505"/>
      <c r="F23" s="389"/>
      <c r="G23" s="571"/>
    </row>
    <row r="24" spans="3:7">
      <c r="C24" s="394"/>
      <c r="D24" s="580"/>
      <c r="E24" s="505"/>
      <c r="F24" s="389"/>
      <c r="G24" s="588"/>
    </row>
    <row r="25" spans="3:7">
      <c r="C25" s="394" t="s">
        <v>376</v>
      </c>
      <c r="D25" s="580"/>
      <c r="E25" s="505"/>
      <c r="F25" s="389"/>
      <c r="G25" s="571"/>
    </row>
    <row r="26" spans="3:7">
      <c r="C26" s="394" t="s">
        <v>377</v>
      </c>
      <c r="D26" s="580">
        <v>-17250588</v>
      </c>
      <c r="E26" s="505"/>
      <c r="F26" s="389">
        <f>D26-((Costs!H82+Costs!H86)*-1)</f>
        <v>-1457744</v>
      </c>
      <c r="G26" s="571"/>
    </row>
    <row r="27" spans="3:7">
      <c r="C27" s="394" t="s">
        <v>378</v>
      </c>
      <c r="D27" s="580">
        <v>16913574</v>
      </c>
      <c r="E27" s="505"/>
      <c r="F27" s="389">
        <f>D27-(Costs!H83+Costs!H87)</f>
        <v>1992000</v>
      </c>
      <c r="G27" s="571"/>
    </row>
    <row r="28" spans="3:7">
      <c r="C28" s="581" t="s">
        <v>381</v>
      </c>
      <c r="D28" s="795">
        <f>D26+D27</f>
        <v>-337014</v>
      </c>
      <c r="E28" s="505"/>
      <c r="F28" s="389"/>
      <c r="G28" s="571"/>
    </row>
    <row r="29" spans="3:7">
      <c r="C29" s="581" t="s">
        <v>385</v>
      </c>
      <c r="D29" s="580">
        <v>-804894</v>
      </c>
      <c r="E29" s="505"/>
      <c r="F29" s="389"/>
      <c r="G29" s="571"/>
    </row>
    <row r="30" spans="3:7">
      <c r="C30" s="387"/>
      <c r="D30" s="580"/>
      <c r="E30" s="505"/>
      <c r="F30" s="389"/>
      <c r="G30" s="571"/>
    </row>
    <row r="31" spans="3:7" ht="12" thickBot="1">
      <c r="C31" s="395"/>
      <c r="D31" s="618">
        <f>D28+D29</f>
        <v>-1141908</v>
      </c>
      <c r="E31" s="590"/>
      <c r="F31" s="396"/>
      <c r="G31" s="591"/>
    </row>
    <row r="33" spans="3:7" ht="12" thickBot="1"/>
    <row r="34" spans="3:7">
      <c r="C34" s="555"/>
      <c r="D34" s="557" t="s">
        <v>496</v>
      </c>
      <c r="E34" s="574"/>
      <c r="F34" s="385"/>
      <c r="G34" s="575"/>
    </row>
    <row r="35" spans="3:7">
      <c r="C35" s="387"/>
      <c r="D35" s="389"/>
      <c r="E35" s="505"/>
      <c r="F35" s="389"/>
      <c r="G35" s="571"/>
    </row>
    <row r="36" spans="3:7">
      <c r="C36" s="394" t="s">
        <v>380</v>
      </c>
      <c r="D36" s="576" t="s">
        <v>372</v>
      </c>
      <c r="E36" s="577" t="s">
        <v>118</v>
      </c>
      <c r="F36" s="576" t="s">
        <v>166</v>
      </c>
      <c r="G36" s="578" t="s">
        <v>379</v>
      </c>
    </row>
    <row r="37" spans="3:7">
      <c r="C37" s="579" t="s">
        <v>373</v>
      </c>
      <c r="D37" s="388">
        <f>Costs!K7</f>
        <v>110787566</v>
      </c>
      <c r="E37" s="505">
        <f>D37*Costs!$N$8</f>
        <v>106764801</v>
      </c>
      <c r="F37" s="389">
        <f>D37*Costs!$M$8</f>
        <v>4022765</v>
      </c>
      <c r="G37" s="586">
        <f>E37/$E$41</f>
        <v>0.9480042190237864</v>
      </c>
    </row>
    <row r="38" spans="3:7">
      <c r="C38" s="394" t="s">
        <v>382</v>
      </c>
      <c r="D38" s="388">
        <f>D6-D12-D14-D29</f>
        <v>5739421</v>
      </c>
      <c r="E38" s="505">
        <f>D38*Costs!$N$8</f>
        <v>5531019.0759152612</v>
      </c>
      <c r="F38" s="389">
        <f>D38*Costs!$M$8</f>
        <v>208401.92408473889</v>
      </c>
      <c r="G38" s="586">
        <f t="shared" ref="G38:G39" si="0">E38/$E$41</f>
        <v>4.9111967337144312E-2</v>
      </c>
    </row>
    <row r="39" spans="3:7" ht="12" thickBot="1">
      <c r="C39" s="581" t="s">
        <v>387</v>
      </c>
      <c r="D39" s="620">
        <f>IF(D61&lt;=0,D61*-1,0)</f>
        <v>337014</v>
      </c>
      <c r="E39" s="590">
        <f>D39*Costs!$N$8</f>
        <v>324776.81334937894</v>
      </c>
      <c r="F39" s="396">
        <f>D39*Costs!$M$8</f>
        <v>12237.186650621063</v>
      </c>
      <c r="G39" s="621">
        <f t="shared" si="0"/>
        <v>2.8838136390692288E-3</v>
      </c>
    </row>
    <row r="40" spans="3:7">
      <c r="C40" s="581"/>
      <c r="D40" s="582"/>
      <c r="E40" s="505"/>
      <c r="F40" s="389"/>
      <c r="G40" s="586"/>
    </row>
    <row r="41" spans="3:7">
      <c r="C41" s="619" t="s">
        <v>494</v>
      </c>
      <c r="D41" s="389">
        <f>D37+D38+D39</f>
        <v>116864001</v>
      </c>
      <c r="E41" s="505">
        <f>E37+E38+E39</f>
        <v>112620596.88926464</v>
      </c>
      <c r="F41" s="389">
        <f>F37+F38+F39</f>
        <v>4243404.1107353596</v>
      </c>
      <c r="G41" s="588">
        <f>G37+G38+G39</f>
        <v>0.99999999999999989</v>
      </c>
    </row>
    <row r="42" spans="3:7">
      <c r="C42" s="584"/>
      <c r="D42" s="582"/>
      <c r="E42" s="585"/>
      <c r="F42" s="582"/>
      <c r="G42" s="583"/>
    </row>
    <row r="43" spans="3:7">
      <c r="C43" s="394" t="s">
        <v>371</v>
      </c>
      <c r="D43" s="389"/>
      <c r="E43" s="505"/>
      <c r="F43" s="389"/>
      <c r="G43" s="602"/>
    </row>
    <row r="44" spans="3:7">
      <c r="C44" s="394" t="s">
        <v>374</v>
      </c>
      <c r="D44" s="389">
        <f>D11</f>
        <v>74434458</v>
      </c>
      <c r="E44" s="505">
        <f>D44*Costs!$N$8</f>
        <v>71731696.821580663</v>
      </c>
      <c r="F44" s="389">
        <f>D44*Costs!$M$8</f>
        <v>2702761.1784193362</v>
      </c>
      <c r="G44" s="586">
        <f>E44/$E$41</f>
        <v>0.63693230903501241</v>
      </c>
    </row>
    <row r="45" spans="3:7">
      <c r="C45" s="581"/>
      <c r="D45" s="587"/>
      <c r="E45" s="505"/>
      <c r="F45" s="389"/>
      <c r="G45" s="583"/>
    </row>
    <row r="46" spans="3:7">
      <c r="C46" s="394" t="s">
        <v>375</v>
      </c>
      <c r="D46" s="389">
        <f>D13</f>
        <v>42429544</v>
      </c>
      <c r="E46" s="505">
        <f>D46*Costs!$N$8</f>
        <v>40888901.031373359</v>
      </c>
      <c r="F46" s="389">
        <f>D46*Costs!$M$8</f>
        <v>1540642.9686266417</v>
      </c>
      <c r="G46" s="586">
        <f>E46/$E$41</f>
        <v>0.36306769952194262</v>
      </c>
    </row>
    <row r="47" spans="3:7">
      <c r="C47" s="581"/>
      <c r="D47" s="587"/>
      <c r="E47" s="505">
        <f>D47*$N$8</f>
        <v>0</v>
      </c>
      <c r="F47" s="389">
        <f>D47*$M$8</f>
        <v>0</v>
      </c>
      <c r="G47" s="583"/>
    </row>
    <row r="48" spans="3:7" ht="12" thickBot="1">
      <c r="C48" s="394" t="s">
        <v>386</v>
      </c>
      <c r="D48" s="396">
        <f>IF(D61&gt;=0,D61,0)</f>
        <v>0</v>
      </c>
      <c r="E48" s="590">
        <f>D48*Costs!$N$8</f>
        <v>0</v>
      </c>
      <c r="F48" s="396">
        <f>D48*Costs!$M$8</f>
        <v>0</v>
      </c>
      <c r="G48" s="621">
        <f>E48/$E$41</f>
        <v>0</v>
      </c>
    </row>
    <row r="49" spans="3:7">
      <c r="C49" s="394"/>
      <c r="D49" s="389"/>
      <c r="E49" s="505"/>
      <c r="F49" s="389"/>
      <c r="G49" s="571"/>
    </row>
    <row r="50" spans="3:7">
      <c r="C50" s="619" t="s">
        <v>383</v>
      </c>
      <c r="D50" s="389">
        <f>D44+D46+D48</f>
        <v>116864002</v>
      </c>
      <c r="E50" s="505">
        <f>D50*Costs!$N$8</f>
        <v>112620597.85295403</v>
      </c>
      <c r="F50" s="389">
        <f>D50*Costs!$M$8</f>
        <v>4243404.1470459783</v>
      </c>
      <c r="G50" s="588">
        <f>G44+G46+G48</f>
        <v>1.0000000085569551</v>
      </c>
    </row>
    <row r="51" spans="3:7">
      <c r="C51" s="581"/>
      <c r="D51" s="582"/>
      <c r="E51" s="505"/>
      <c r="F51" s="389"/>
      <c r="G51" s="583"/>
    </row>
    <row r="52" spans="3:7">
      <c r="C52" s="581"/>
      <c r="D52" s="582"/>
      <c r="E52" s="505"/>
      <c r="F52" s="389"/>
      <c r="G52" s="583"/>
    </row>
    <row r="53" spans="3:7">
      <c r="C53" s="581" t="s">
        <v>492</v>
      </c>
      <c r="D53" s="582">
        <f>D41-D50</f>
        <v>-1</v>
      </c>
      <c r="E53" s="585"/>
      <c r="F53" s="582"/>
      <c r="G53" s="571"/>
    </row>
    <row r="54" spans="3:7">
      <c r="C54" s="394"/>
      <c r="D54" s="389"/>
      <c r="E54" s="505"/>
      <c r="F54" s="389"/>
      <c r="G54" s="588"/>
    </row>
    <row r="55" spans="3:7">
      <c r="C55" s="584"/>
      <c r="D55" s="582"/>
      <c r="E55" s="585"/>
      <c r="F55" s="582"/>
      <c r="G55" s="571"/>
    </row>
    <row r="56" spans="3:7">
      <c r="C56" s="387"/>
      <c r="D56" s="389"/>
      <c r="E56" s="505"/>
      <c r="F56" s="389"/>
      <c r="G56" s="571"/>
    </row>
    <row r="57" spans="3:7">
      <c r="C57" s="394"/>
      <c r="D57" s="389"/>
      <c r="E57" s="505"/>
      <c r="F57" s="389"/>
      <c r="G57" s="588"/>
    </row>
    <row r="58" spans="3:7">
      <c r="C58" s="394" t="s">
        <v>495</v>
      </c>
      <c r="D58" s="389"/>
      <c r="E58" s="505"/>
      <c r="F58" s="389"/>
      <c r="G58" s="571"/>
    </row>
    <row r="59" spans="3:7">
      <c r="C59" s="394" t="s">
        <v>377</v>
      </c>
      <c r="D59" s="389">
        <f>D26</f>
        <v>-17250588</v>
      </c>
      <c r="E59" s="505">
        <f>D59*Costs!$N$8</f>
        <v>-16624208.487015484</v>
      </c>
      <c r="F59" s="389">
        <f>D59*Costs!$M$8</f>
        <v>-626379.51298451668</v>
      </c>
      <c r="G59" s="571"/>
    </row>
    <row r="60" spans="3:7">
      <c r="C60" s="394" t="s">
        <v>378</v>
      </c>
      <c r="D60" s="389">
        <f>D27</f>
        <v>16913574</v>
      </c>
      <c r="E60" s="505">
        <f>D60*Costs!$N$8</f>
        <v>16299431.673666105</v>
      </c>
      <c r="F60" s="389">
        <f>D60*Costs!$M$8</f>
        <v>614142.32633389567</v>
      </c>
      <c r="G60" s="571"/>
    </row>
    <row r="61" spans="3:7">
      <c r="C61" s="581" t="s">
        <v>381</v>
      </c>
      <c r="D61" s="582">
        <f>D59+D60</f>
        <v>-337014</v>
      </c>
      <c r="E61" s="505">
        <f>D61*Costs!$N$8</f>
        <v>-324776.81334937894</v>
      </c>
      <c r="F61" s="389">
        <f>D61*Costs!$M$8</f>
        <v>-12237.186650621063</v>
      </c>
      <c r="G61" s="571"/>
    </row>
    <row r="62" spans="3:7">
      <c r="C62" s="581"/>
      <c r="D62" s="589"/>
      <c r="E62" s="505"/>
      <c r="F62" s="389"/>
      <c r="G62" s="571"/>
    </row>
    <row r="63" spans="3:7">
      <c r="C63" s="387"/>
      <c r="D63" s="389"/>
      <c r="E63" s="505"/>
      <c r="F63" s="389"/>
      <c r="G63" s="571"/>
    </row>
    <row r="64" spans="3:7" ht="12" thickBot="1">
      <c r="C64" s="395"/>
      <c r="D64" s="396"/>
      <c r="E64" s="590"/>
      <c r="F64" s="396"/>
      <c r="G64" s="591"/>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L469"/>
  <sheetViews>
    <sheetView topLeftCell="AC22" zoomScaleNormal="100" workbookViewId="0">
      <pane xSplit="13" topLeftCell="BW1" activePane="topRight" state="frozen"/>
      <selection activeCell="AC1" sqref="AC1"/>
      <selection pane="topRight" activeCell="BW60" sqref="BW60"/>
    </sheetView>
  </sheetViews>
  <sheetFormatPr defaultRowHeight="12.75" outlineLevelRow="1" outlineLevelCol="1"/>
  <cols>
    <col min="1" max="1" width="13.1640625" style="628" bestFit="1" customWidth="1"/>
    <col min="2" max="2" width="25.33203125" style="628" customWidth="1"/>
    <col min="3" max="3" width="16.1640625" style="628" bestFit="1" customWidth="1"/>
    <col min="4" max="4" width="14.5" style="628" bestFit="1" customWidth="1"/>
    <col min="5" max="5" width="14.83203125" style="628" customWidth="1"/>
    <col min="6" max="6" width="18" style="628" customWidth="1"/>
    <col min="7" max="9" width="14.5" style="628" bestFit="1" customWidth="1"/>
    <col min="10" max="10" width="17" style="628" bestFit="1" customWidth="1"/>
    <col min="11" max="11" width="14.33203125" style="628" bestFit="1" customWidth="1"/>
    <col min="12" max="13" width="14.5" style="628" bestFit="1" customWidth="1"/>
    <col min="14" max="14" width="16.1640625" style="628" bestFit="1" customWidth="1"/>
    <col min="15" max="15" width="16.33203125" style="628" customWidth="1"/>
    <col min="16" max="16" width="18.33203125" style="628" bestFit="1" customWidth="1"/>
    <col min="17" max="17" width="15.6640625" style="628" customWidth="1"/>
    <col min="18" max="18" width="15.83203125" style="628" customWidth="1"/>
    <col min="19" max="19" width="18.83203125" style="628" bestFit="1" customWidth="1"/>
    <col min="20" max="20" width="18.33203125" style="628" bestFit="1" customWidth="1"/>
    <col min="21" max="21" width="17.1640625" style="628" bestFit="1" customWidth="1"/>
    <col min="22" max="23" width="15.5" style="628" bestFit="1" customWidth="1"/>
    <col min="24" max="24" width="15.1640625" style="628" customWidth="1"/>
    <col min="25" max="25" width="17.33203125" style="628" customWidth="1"/>
    <col min="26" max="26" width="16.33203125" style="628" customWidth="1"/>
    <col min="27" max="27" width="13.33203125" style="628" bestFit="1" customWidth="1"/>
    <col min="28" max="28" width="18.6640625" style="628" bestFit="1" customWidth="1"/>
    <col min="29" max="29" width="23.5" style="628" customWidth="1"/>
    <col min="30" max="30" width="10.83203125" style="628" hidden="1" customWidth="1" outlineLevel="1"/>
    <col min="31" max="31" width="11.33203125" style="628" hidden="1" customWidth="1" outlineLevel="1"/>
    <col min="32" max="32" width="12" style="628" hidden="1" customWidth="1" outlineLevel="1"/>
    <col min="33" max="41" width="10.83203125" style="628" hidden="1" customWidth="1" outlineLevel="1"/>
    <col min="42" max="42" width="11.5" style="628" hidden="1" customWidth="1" collapsed="1"/>
    <col min="43" max="45" width="11.5" style="628" hidden="1" customWidth="1"/>
    <col min="46" max="46" width="10.6640625" style="628" hidden="1" customWidth="1"/>
    <col min="47" max="47" width="11.5" style="628" hidden="1" customWidth="1"/>
    <col min="48" max="48" width="10.5" style="628" hidden="1" customWidth="1"/>
    <col min="49" max="49" width="11.83203125" style="628" hidden="1" customWidth="1"/>
    <col min="50" max="55" width="11.5" style="628" hidden="1" customWidth="1"/>
    <col min="56" max="56" width="14.1640625" style="628" hidden="1" customWidth="1"/>
    <col min="57" max="62" width="11.5" style="628" hidden="1" customWidth="1"/>
    <col min="63" max="63" width="13.5" style="628" hidden="1" customWidth="1"/>
    <col min="64" max="70" width="0" style="628" hidden="1" customWidth="1"/>
    <col min="71" max="75" width="9.33203125" style="628"/>
    <col min="76" max="76" width="9.33203125" style="628" customWidth="1"/>
    <col min="77" max="77" width="9.1640625" style="628" customWidth="1"/>
    <col min="78" max="78" width="10.83203125" style="628" customWidth="1"/>
    <col min="79" max="80" width="9.33203125" style="628" customWidth="1"/>
    <col min="81" max="89" width="9.33203125" style="628"/>
    <col min="90" max="92" width="9.33203125" style="628" customWidth="1"/>
    <col min="93" max="16384" width="9.33203125" style="628"/>
  </cols>
  <sheetData>
    <row r="1" spans="1:116">
      <c r="O1" s="628">
        <f t="shared" ref="O1:Z1" si="0">O15</f>
        <v>0</v>
      </c>
      <c r="P1" s="628">
        <f t="shared" si="0"/>
        <v>0</v>
      </c>
      <c r="Q1" s="628">
        <f t="shared" si="0"/>
        <v>0</v>
      </c>
      <c r="R1" s="628">
        <f t="shared" si="0"/>
        <v>0</v>
      </c>
      <c r="S1" s="628">
        <f t="shared" si="0"/>
        <v>0</v>
      </c>
      <c r="T1" s="628">
        <f t="shared" si="0"/>
        <v>0</v>
      </c>
      <c r="U1" s="628">
        <f t="shared" si="0"/>
        <v>0</v>
      </c>
      <c r="V1" s="628">
        <f t="shared" si="0"/>
        <v>0</v>
      </c>
      <c r="W1" s="628">
        <f t="shared" si="0"/>
        <v>0</v>
      </c>
      <c r="X1" s="628">
        <f t="shared" si="0"/>
        <v>0</v>
      </c>
      <c r="Y1" s="628">
        <f t="shared" si="0"/>
        <v>0</v>
      </c>
      <c r="Z1" s="628">
        <f t="shared" si="0"/>
        <v>0</v>
      </c>
      <c r="AC1" s="629">
        <v>39479</v>
      </c>
      <c r="AD1" s="630">
        <v>1</v>
      </c>
      <c r="AE1" s="630">
        <v>2</v>
      </c>
      <c r="AF1" s="630">
        <v>3</v>
      </c>
      <c r="AG1" s="630">
        <v>4</v>
      </c>
      <c r="AH1" s="630">
        <v>5</v>
      </c>
      <c r="AI1" s="630">
        <v>6</v>
      </c>
      <c r="AJ1" s="630">
        <v>7</v>
      </c>
      <c r="AK1" s="630">
        <v>8</v>
      </c>
      <c r="AL1" s="630">
        <v>9</v>
      </c>
      <c r="AM1" s="630">
        <v>10</v>
      </c>
      <c r="AN1" s="630">
        <v>11</v>
      </c>
      <c r="AO1" s="630">
        <v>12</v>
      </c>
      <c r="AP1" s="630">
        <v>31</v>
      </c>
      <c r="AQ1" s="630">
        <v>30</v>
      </c>
      <c r="AR1" s="630">
        <v>31</v>
      </c>
      <c r="AS1" s="630">
        <v>30</v>
      </c>
      <c r="AT1" s="630">
        <v>31</v>
      </c>
      <c r="AU1" s="630">
        <v>31</v>
      </c>
      <c r="AV1" s="630">
        <v>28</v>
      </c>
      <c r="AW1" s="630">
        <v>31</v>
      </c>
      <c r="AX1" s="630">
        <v>30</v>
      </c>
      <c r="AY1" s="630">
        <v>31</v>
      </c>
      <c r="AZ1" s="630">
        <v>30</v>
      </c>
      <c r="BA1" s="630">
        <v>31</v>
      </c>
      <c r="BB1" s="630">
        <v>31</v>
      </c>
      <c r="BC1" s="630">
        <v>30</v>
      </c>
      <c r="BD1" s="630">
        <v>31</v>
      </c>
      <c r="BE1" s="630">
        <v>30</v>
      </c>
      <c r="BF1" s="630">
        <v>31</v>
      </c>
      <c r="BG1" s="630">
        <v>31</v>
      </c>
      <c r="BH1" s="630">
        <v>29</v>
      </c>
      <c r="BI1" s="630">
        <v>31</v>
      </c>
      <c r="BJ1" s="630">
        <v>30</v>
      </c>
      <c r="BK1" s="630">
        <v>31</v>
      </c>
      <c r="BL1" s="630">
        <v>30</v>
      </c>
      <c r="BM1" s="630">
        <v>31</v>
      </c>
      <c r="BN1" s="630">
        <v>31</v>
      </c>
      <c r="BO1" s="630">
        <v>30</v>
      </c>
      <c r="BP1" s="630">
        <v>31</v>
      </c>
      <c r="BQ1" s="630">
        <v>30</v>
      </c>
      <c r="BR1" s="630">
        <v>31</v>
      </c>
      <c r="BS1" s="630">
        <v>31</v>
      </c>
      <c r="BT1" s="630">
        <v>28</v>
      </c>
      <c r="BU1" s="630">
        <v>31</v>
      </c>
      <c r="BV1" s="630">
        <v>30</v>
      </c>
      <c r="BW1" s="630">
        <v>31</v>
      </c>
      <c r="BX1" s="630">
        <v>30</v>
      </c>
      <c r="BY1" s="630">
        <v>31</v>
      </c>
      <c r="BZ1" s="630">
        <v>31</v>
      </c>
      <c r="CA1" s="630">
        <v>30</v>
      </c>
      <c r="CB1" s="630">
        <v>31</v>
      </c>
      <c r="CC1" s="630">
        <v>30</v>
      </c>
      <c r="CD1" s="630">
        <v>31</v>
      </c>
      <c r="CE1" s="630">
        <v>31</v>
      </c>
      <c r="CF1" s="630">
        <v>28</v>
      </c>
      <c r="CG1" s="630">
        <v>31</v>
      </c>
      <c r="CH1" s="630">
        <v>30</v>
      </c>
      <c r="CI1" s="630">
        <v>31</v>
      </c>
      <c r="CJ1" s="630">
        <v>30</v>
      </c>
      <c r="CK1" s="630">
        <v>31</v>
      </c>
      <c r="CL1" s="630">
        <v>31</v>
      </c>
      <c r="CM1" s="630">
        <v>30</v>
      </c>
      <c r="CN1" s="630">
        <v>31</v>
      </c>
      <c r="CO1" s="630">
        <v>30</v>
      </c>
      <c r="CP1" s="630">
        <v>31</v>
      </c>
      <c r="CQ1" s="630">
        <v>31</v>
      </c>
      <c r="CR1" s="630">
        <v>28</v>
      </c>
      <c r="CS1" s="630">
        <v>31</v>
      </c>
      <c r="CT1" s="630">
        <v>30</v>
      </c>
      <c r="CU1" s="630">
        <v>31</v>
      </c>
      <c r="CV1" s="630">
        <v>30</v>
      </c>
      <c r="CW1" s="630">
        <v>31</v>
      </c>
      <c r="CX1" s="630">
        <v>31</v>
      </c>
      <c r="CY1" s="630">
        <v>31</v>
      </c>
      <c r="CZ1" s="630">
        <v>31</v>
      </c>
      <c r="DA1" s="630">
        <v>30</v>
      </c>
      <c r="DB1" s="630">
        <v>31</v>
      </c>
      <c r="DC1" s="630">
        <v>30</v>
      </c>
      <c r="DD1" s="630">
        <v>31</v>
      </c>
      <c r="DE1" s="630">
        <v>31</v>
      </c>
      <c r="DF1" s="630">
        <v>28</v>
      </c>
      <c r="DG1" s="630">
        <v>31</v>
      </c>
      <c r="DH1" s="630">
        <v>30</v>
      </c>
      <c r="DI1" s="630">
        <v>31</v>
      </c>
      <c r="DJ1" s="630">
        <v>30</v>
      </c>
      <c r="DK1" s="630">
        <v>31</v>
      </c>
      <c r="DL1" s="630">
        <v>31</v>
      </c>
    </row>
    <row r="2" spans="1:116" hidden="1" outlineLevel="1">
      <c r="N2" s="628" t="s">
        <v>497</v>
      </c>
      <c r="O2" s="631">
        <v>5.99</v>
      </c>
      <c r="P2" s="631">
        <v>6.85</v>
      </c>
      <c r="Q2" s="631">
        <v>7.38</v>
      </c>
      <c r="R2" s="631">
        <v>7.24</v>
      </c>
      <c r="S2" s="631">
        <v>7.29</v>
      </c>
      <c r="T2" s="631">
        <v>7.13</v>
      </c>
      <c r="U2" s="631">
        <v>6.5</v>
      </c>
      <c r="V2" s="631">
        <v>6.55</v>
      </c>
      <c r="W2" s="631">
        <v>6.7</v>
      </c>
      <c r="X2" s="631">
        <v>6.65</v>
      </c>
      <c r="Y2" s="631">
        <v>6.89</v>
      </c>
      <c r="Z2" s="631">
        <v>7.71</v>
      </c>
    </row>
    <row r="3" spans="1:116" hidden="1" outlineLevel="1">
      <c r="C3" s="631"/>
      <c r="D3" s="631"/>
      <c r="E3" s="631"/>
      <c r="F3" s="631"/>
      <c r="G3" s="631"/>
      <c r="H3" s="631"/>
      <c r="I3" s="631"/>
      <c r="J3" s="631"/>
      <c r="K3" s="631"/>
      <c r="L3" s="631"/>
      <c r="M3" s="631"/>
      <c r="N3" s="631" t="s">
        <v>498</v>
      </c>
      <c r="O3" s="632">
        <v>4.6934625668449206</v>
      </c>
      <c r="P3" s="632">
        <v>5.389426369863016</v>
      </c>
      <c r="Q3" s="632">
        <v>5.5250941780821927</v>
      </c>
      <c r="R3" s="632">
        <v>5.4965325342465743</v>
      </c>
      <c r="S3" s="632">
        <v>5.7664124293785317</v>
      </c>
      <c r="T3" s="632">
        <v>5.8476119402985081</v>
      </c>
      <c r="U3" s="632">
        <v>5.4551851851851865</v>
      </c>
      <c r="V3" s="632">
        <v>5.3251851851851857</v>
      </c>
      <c r="W3" s="632">
        <v>5.4551851851851865</v>
      </c>
      <c r="X3" s="632">
        <v>5.2951851851851863</v>
      </c>
      <c r="Y3" s="632">
        <v>4.8351851851851846</v>
      </c>
      <c r="Z3" s="632">
        <v>4.975185185185186</v>
      </c>
      <c r="AA3" s="633">
        <f>SUM(O3:Z3)/12</f>
        <v>5.3383042608187381</v>
      </c>
      <c r="AB3" s="631"/>
      <c r="AC3" s="631"/>
      <c r="AD3" s="631"/>
      <c r="AE3" s="631"/>
      <c r="AF3" s="631"/>
      <c r="AG3" s="631"/>
      <c r="AH3" s="631"/>
      <c r="AI3" s="631"/>
      <c r="AJ3" s="631"/>
    </row>
    <row r="4" spans="1:116" s="634" customFormat="1" collapsed="1">
      <c r="C4" s="635"/>
      <c r="D4" s="635"/>
      <c r="E4" s="635"/>
      <c r="F4" s="635"/>
      <c r="G4" s="635"/>
      <c r="H4" s="635"/>
      <c r="I4" s="635"/>
      <c r="J4" s="635"/>
      <c r="K4" s="635"/>
      <c r="L4" s="635"/>
      <c r="M4" s="636"/>
      <c r="N4" s="635"/>
      <c r="O4" s="637"/>
      <c r="P4" s="637"/>
      <c r="Q4" s="637"/>
      <c r="R4" s="637"/>
      <c r="S4" s="637"/>
      <c r="T4" s="637"/>
      <c r="U4" s="637"/>
      <c r="V4" s="637"/>
      <c r="W4" s="637"/>
      <c r="X4" s="637"/>
      <c r="Y4" s="637"/>
      <c r="Z4" s="637"/>
      <c r="AB4" s="635"/>
      <c r="AC4" s="629"/>
      <c r="AD4" s="629">
        <v>39661</v>
      </c>
      <c r="AE4" s="629">
        <v>39692</v>
      </c>
      <c r="AF4" s="629">
        <v>39722</v>
      </c>
      <c r="AG4" s="629">
        <v>39753</v>
      </c>
      <c r="AH4" s="629">
        <v>39783</v>
      </c>
      <c r="AI4" s="629">
        <v>39814</v>
      </c>
      <c r="AJ4" s="629">
        <v>39845</v>
      </c>
      <c r="AK4" s="629">
        <v>39873</v>
      </c>
      <c r="AL4" s="629">
        <v>39904</v>
      </c>
      <c r="AM4" s="629">
        <v>39934</v>
      </c>
      <c r="AN4" s="629">
        <v>39965</v>
      </c>
      <c r="AO4" s="629">
        <v>39995</v>
      </c>
      <c r="AP4" s="917">
        <v>40391</v>
      </c>
      <c r="AQ4" s="917">
        <f>AP4+AP1</f>
        <v>40422</v>
      </c>
      <c r="AR4" s="917">
        <f>AQ4+AQ1</f>
        <v>40452</v>
      </c>
      <c r="AS4" s="917">
        <f t="shared" ref="AS4:BX4" si="1">AR4+AR1</f>
        <v>40483</v>
      </c>
      <c r="AT4" s="917">
        <f t="shared" si="1"/>
        <v>40513</v>
      </c>
      <c r="AU4" s="917">
        <f t="shared" si="1"/>
        <v>40544</v>
      </c>
      <c r="AV4" s="917">
        <f t="shared" si="1"/>
        <v>40575</v>
      </c>
      <c r="AW4" s="917">
        <f t="shared" si="1"/>
        <v>40603</v>
      </c>
      <c r="AX4" s="917">
        <f t="shared" si="1"/>
        <v>40634</v>
      </c>
      <c r="AY4" s="917">
        <f t="shared" si="1"/>
        <v>40664</v>
      </c>
      <c r="AZ4" s="917">
        <f t="shared" si="1"/>
        <v>40695</v>
      </c>
      <c r="BA4" s="917">
        <f t="shared" si="1"/>
        <v>40725</v>
      </c>
      <c r="BB4" s="917">
        <f t="shared" si="1"/>
        <v>40756</v>
      </c>
      <c r="BC4" s="917">
        <f t="shared" si="1"/>
        <v>40787</v>
      </c>
      <c r="BD4" s="917">
        <f t="shared" si="1"/>
        <v>40817</v>
      </c>
      <c r="BE4" s="917">
        <f t="shared" si="1"/>
        <v>40848</v>
      </c>
      <c r="BF4" s="917">
        <f t="shared" si="1"/>
        <v>40878</v>
      </c>
      <c r="BG4" s="917">
        <f t="shared" si="1"/>
        <v>40909</v>
      </c>
      <c r="BH4" s="917">
        <f t="shared" si="1"/>
        <v>40940</v>
      </c>
      <c r="BI4" s="917">
        <f t="shared" si="1"/>
        <v>40969</v>
      </c>
      <c r="BJ4" s="917">
        <f t="shared" si="1"/>
        <v>41000</v>
      </c>
      <c r="BK4" s="917">
        <f t="shared" si="1"/>
        <v>41030</v>
      </c>
      <c r="BL4" s="917">
        <f t="shared" si="1"/>
        <v>41061</v>
      </c>
      <c r="BM4" s="917">
        <f t="shared" si="1"/>
        <v>41091</v>
      </c>
      <c r="BN4" s="917">
        <f t="shared" si="1"/>
        <v>41122</v>
      </c>
      <c r="BO4" s="917">
        <f t="shared" si="1"/>
        <v>41153</v>
      </c>
      <c r="BP4" s="917">
        <f t="shared" si="1"/>
        <v>41183</v>
      </c>
      <c r="BQ4" s="917">
        <f t="shared" si="1"/>
        <v>41214</v>
      </c>
      <c r="BR4" s="917">
        <f t="shared" si="1"/>
        <v>41244</v>
      </c>
      <c r="BS4" s="917">
        <f t="shared" si="1"/>
        <v>41275</v>
      </c>
      <c r="BT4" s="917">
        <f t="shared" si="1"/>
        <v>41306</v>
      </c>
      <c r="BU4" s="917">
        <f t="shared" si="1"/>
        <v>41334</v>
      </c>
      <c r="BV4" s="917">
        <f t="shared" si="1"/>
        <v>41365</v>
      </c>
      <c r="BW4" s="917">
        <f t="shared" si="1"/>
        <v>41395</v>
      </c>
      <c r="BX4" s="917">
        <f t="shared" si="1"/>
        <v>41426</v>
      </c>
      <c r="BY4" s="917">
        <f t="shared" ref="BY4" si="2">BX4+BX1</f>
        <v>41456</v>
      </c>
      <c r="BZ4" s="917">
        <f t="shared" ref="BZ4" si="3">BY4+BY1</f>
        <v>41487</v>
      </c>
      <c r="CA4" s="917">
        <f t="shared" ref="CA4" si="4">BZ4+BZ1</f>
        <v>41518</v>
      </c>
      <c r="CB4" s="917">
        <f t="shared" ref="CB4" si="5">CA4+CA1</f>
        <v>41548</v>
      </c>
      <c r="CC4" s="917">
        <f t="shared" ref="CC4" si="6">CB4+CB1</f>
        <v>41579</v>
      </c>
      <c r="CD4" s="917">
        <f t="shared" ref="CD4" si="7">CC4+CC1</f>
        <v>41609</v>
      </c>
      <c r="CE4" s="917">
        <f t="shared" ref="CE4" si="8">CD4+CD1</f>
        <v>41640</v>
      </c>
      <c r="CF4" s="917">
        <f t="shared" ref="CF4" si="9">CE4+CE1</f>
        <v>41671</v>
      </c>
      <c r="CG4" s="917">
        <f t="shared" ref="CG4" si="10">CF4+CF1</f>
        <v>41699</v>
      </c>
      <c r="CH4" s="917">
        <f t="shared" ref="CH4" si="11">CG4+CG1</f>
        <v>41730</v>
      </c>
      <c r="CI4" s="917">
        <f t="shared" ref="CI4" si="12">CH4+CH1</f>
        <v>41760</v>
      </c>
      <c r="CJ4" s="917">
        <f t="shared" ref="CJ4" si="13">CI4+CI1</f>
        <v>41791</v>
      </c>
      <c r="CK4" s="917">
        <f t="shared" ref="CK4" si="14">CJ4+CJ1</f>
        <v>41821</v>
      </c>
      <c r="CL4" s="917">
        <f t="shared" ref="CL4" si="15">CK4+CK1</f>
        <v>41852</v>
      </c>
      <c r="CM4" s="917">
        <f t="shared" ref="CM4" si="16">CL4+CL1</f>
        <v>41883</v>
      </c>
      <c r="CN4" s="917">
        <f t="shared" ref="CN4" si="17">CM4+CM1</f>
        <v>41913</v>
      </c>
      <c r="CO4" s="917">
        <f t="shared" ref="CO4" si="18">CN4+CN1</f>
        <v>41944</v>
      </c>
      <c r="CP4" s="917">
        <f t="shared" ref="CP4" si="19">CO4+CO1</f>
        <v>41974</v>
      </c>
      <c r="CQ4" s="917">
        <f t="shared" ref="CQ4" si="20">CP4+CP1</f>
        <v>42005</v>
      </c>
      <c r="CR4" s="917">
        <f t="shared" ref="CR4" si="21">CQ4+CQ1</f>
        <v>42036</v>
      </c>
      <c r="CS4" s="917">
        <f t="shared" ref="CS4" si="22">CR4+CR1</f>
        <v>42064</v>
      </c>
      <c r="CT4" s="917">
        <f t="shared" ref="CT4" si="23">CS4+CS1</f>
        <v>42095</v>
      </c>
      <c r="CU4" s="917">
        <f t="shared" ref="CU4" si="24">CT4+CT1</f>
        <v>42125</v>
      </c>
      <c r="CV4" s="917">
        <f t="shared" ref="CV4" si="25">CU4+CU1</f>
        <v>42156</v>
      </c>
      <c r="CW4" s="917">
        <f t="shared" ref="CW4" si="26">CV4+CV1</f>
        <v>42186</v>
      </c>
      <c r="CX4" s="917">
        <f t="shared" ref="CX4" si="27">CW4+CW1</f>
        <v>42217</v>
      </c>
      <c r="CY4" s="917">
        <f t="shared" ref="CY4" si="28">CX4+CX1</f>
        <v>42248</v>
      </c>
      <c r="CZ4" s="917">
        <f t="shared" ref="CZ4" si="29">CY4+CY1</f>
        <v>42279</v>
      </c>
      <c r="DA4" s="917">
        <f t="shared" ref="DA4" si="30">CZ4+CZ1</f>
        <v>42310</v>
      </c>
      <c r="DB4" s="917">
        <f t="shared" ref="DB4" si="31">DA4+DA1</f>
        <v>42340</v>
      </c>
      <c r="DC4" s="917">
        <f t="shared" ref="DC4" si="32">DB4+DB1</f>
        <v>42371</v>
      </c>
      <c r="DD4" s="917">
        <f t="shared" ref="DD4" si="33">DC4+DC1</f>
        <v>42401</v>
      </c>
      <c r="DE4" s="917">
        <f t="shared" ref="DE4" si="34">DD4+DD1</f>
        <v>42432</v>
      </c>
      <c r="DF4" s="917">
        <f t="shared" ref="DF4" si="35">DE4+DE1</f>
        <v>42463</v>
      </c>
      <c r="DG4" s="917">
        <f t="shared" ref="DG4" si="36">DF4+DF1</f>
        <v>42491</v>
      </c>
      <c r="DH4" s="917">
        <f t="shared" ref="DH4" si="37">DG4+DG1</f>
        <v>42522</v>
      </c>
      <c r="DI4" s="917">
        <f t="shared" ref="DI4" si="38">DH4+DH1</f>
        <v>42552</v>
      </c>
      <c r="DJ4" s="917">
        <f t="shared" ref="DJ4" si="39">DI4+DI1</f>
        <v>42583</v>
      </c>
      <c r="DK4" s="917">
        <f t="shared" ref="DK4" si="40">DJ4+DJ1</f>
        <v>42613</v>
      </c>
      <c r="DL4" s="917">
        <f t="shared" ref="DL4" si="41">DK4+DK1</f>
        <v>42644</v>
      </c>
    </row>
    <row r="5" spans="1:116" s="634" customFormat="1">
      <c r="C5" s="635"/>
      <c r="D5" s="635"/>
      <c r="E5" s="635"/>
      <c r="F5" s="635"/>
      <c r="G5" s="635"/>
      <c r="H5" s="635"/>
      <c r="I5" s="635"/>
      <c r="J5" s="635"/>
      <c r="K5" s="635"/>
      <c r="L5" s="635"/>
      <c r="M5" s="636"/>
      <c r="N5" s="635"/>
      <c r="O5" s="637"/>
      <c r="P5" s="637"/>
      <c r="Q5" s="637"/>
      <c r="R5" s="637"/>
      <c r="S5" s="637"/>
      <c r="T5" s="637"/>
      <c r="U5" s="637"/>
      <c r="V5" s="637"/>
      <c r="W5" s="637"/>
      <c r="X5" s="637"/>
      <c r="Y5" s="637"/>
      <c r="Z5" s="637"/>
      <c r="AA5" s="638"/>
      <c r="AB5" s="635"/>
      <c r="AC5" s="635" t="s">
        <v>652</v>
      </c>
      <c r="AD5" s="635">
        <v>6.51</v>
      </c>
      <c r="AE5" s="635">
        <v>1.77</v>
      </c>
      <c r="AF5" s="635">
        <v>3.36</v>
      </c>
      <c r="AG5" s="635">
        <v>2.61</v>
      </c>
      <c r="AH5" s="635">
        <v>4.83</v>
      </c>
      <c r="AI5" s="635">
        <v>4.21</v>
      </c>
      <c r="AJ5" s="635">
        <v>2.87</v>
      </c>
      <c r="AK5" s="639">
        <v>2.4300000000000002</v>
      </c>
      <c r="AL5" s="639">
        <v>2.2799999999999998</v>
      </c>
      <c r="AM5" s="639">
        <v>2.46</v>
      </c>
      <c r="AN5" s="639">
        <v>2.4</v>
      </c>
      <c r="AO5" s="639">
        <v>2.61</v>
      </c>
      <c r="AP5" s="826">
        <v>3.6</v>
      </c>
      <c r="AQ5" s="826">
        <v>2.57</v>
      </c>
      <c r="AR5" s="826">
        <v>3.28</v>
      </c>
      <c r="AS5" s="826">
        <v>3.9</v>
      </c>
      <c r="AT5" s="826">
        <v>3.9</v>
      </c>
      <c r="AU5" s="826">
        <v>3.77</v>
      </c>
      <c r="AV5" s="826">
        <v>4.09</v>
      </c>
      <c r="AW5" s="826">
        <v>3.54</v>
      </c>
      <c r="AX5" s="826">
        <v>3.98</v>
      </c>
      <c r="AY5" s="826">
        <v>3.99</v>
      </c>
      <c r="AZ5" s="826">
        <v>3.93</v>
      </c>
      <c r="BA5" s="826">
        <v>3.88</v>
      </c>
      <c r="BB5" s="826">
        <v>4.04</v>
      </c>
      <c r="BC5" s="826">
        <v>3.61</v>
      </c>
      <c r="BD5" s="826">
        <v>3.55</v>
      </c>
      <c r="BE5" s="826">
        <v>3.38</v>
      </c>
      <c r="BF5" s="826">
        <v>3.33</v>
      </c>
      <c r="BG5" s="826">
        <v>3.09</v>
      </c>
      <c r="BH5" s="826">
        <v>2.6</v>
      </c>
      <c r="BI5" s="826">
        <v>2.2999999999999998</v>
      </c>
      <c r="BJ5" s="826">
        <v>1.85</v>
      </c>
      <c r="BK5" s="826">
        <v>1.75</v>
      </c>
      <c r="BL5" s="826">
        <v>2.21</v>
      </c>
      <c r="BM5" s="826">
        <v>2.4700000000000002</v>
      </c>
      <c r="BN5" s="826">
        <v>2.68</v>
      </c>
      <c r="BO5" s="915">
        <v>2.4</v>
      </c>
      <c r="BP5" s="924">
        <v>2.69</v>
      </c>
      <c r="BQ5" s="924">
        <v>3.28</v>
      </c>
      <c r="BR5" s="924">
        <v>3.5</v>
      </c>
      <c r="BS5" s="924">
        <v>3.27</v>
      </c>
      <c r="BT5" s="924">
        <v>3.25</v>
      </c>
      <c r="BU5" s="924">
        <v>3.3</v>
      </c>
      <c r="BV5" s="924">
        <v>3.77</v>
      </c>
      <c r="BW5" s="924">
        <v>3.78</v>
      </c>
      <c r="BX5" s="924">
        <v>3.96</v>
      </c>
      <c r="BY5" s="924">
        <v>3.3</v>
      </c>
      <c r="BZ5" s="924">
        <v>3.39</v>
      </c>
      <c r="CA5" s="924">
        <v>3.24</v>
      </c>
      <c r="CB5" s="924">
        <v>3.33</v>
      </c>
      <c r="CC5" s="924">
        <v>3.51</v>
      </c>
      <c r="CD5" s="924">
        <v>3.6</v>
      </c>
      <c r="CE5" s="924">
        <v>4.33</v>
      </c>
      <c r="CF5" s="924">
        <v>4.78</v>
      </c>
      <c r="CG5" s="924">
        <v>5.31</v>
      </c>
      <c r="CH5" s="924">
        <v>4.28</v>
      </c>
      <c r="CI5" s="924">
        <v>4.46</v>
      </c>
      <c r="CJ5" s="980"/>
      <c r="CK5" s="980"/>
      <c r="CL5" s="980"/>
      <c r="CM5" s="980"/>
      <c r="CN5" s="924"/>
      <c r="CO5" s="924"/>
      <c r="CP5" s="924"/>
      <c r="CQ5" s="924"/>
      <c r="CR5" s="924"/>
      <c r="CS5" s="924"/>
      <c r="CT5" s="924"/>
      <c r="CU5" s="924"/>
      <c r="CV5" s="924"/>
      <c r="CW5" s="924"/>
      <c r="CX5" s="924"/>
      <c r="CY5" s="914"/>
    </row>
    <row r="6" spans="1:116">
      <c r="M6" s="636"/>
      <c r="N6" s="635"/>
      <c r="O6" s="641"/>
      <c r="P6" s="641"/>
      <c r="Q6" s="641"/>
      <c r="R6" s="641"/>
      <c r="S6" s="641"/>
      <c r="T6" s="641"/>
      <c r="U6" s="641"/>
      <c r="V6" s="641"/>
      <c r="W6" s="641"/>
      <c r="X6" s="641"/>
      <c r="Y6" s="641"/>
      <c r="Z6" s="641"/>
      <c r="AC6" s="642" t="s">
        <v>500</v>
      </c>
      <c r="AK6" s="643">
        <v>2.94</v>
      </c>
      <c r="AL6" s="643">
        <v>2.8266666666666667</v>
      </c>
      <c r="AM6" s="643">
        <v>2.9299999999999997</v>
      </c>
      <c r="AN6" s="643">
        <v>3.19</v>
      </c>
      <c r="AO6" s="643">
        <v>3.5799999999999996</v>
      </c>
      <c r="AP6" s="641">
        <v>3.57</v>
      </c>
      <c r="AQ6" s="641">
        <v>3.3049999999999997</v>
      </c>
      <c r="AR6" s="641">
        <v>3.2750000000000004</v>
      </c>
      <c r="AS6" s="641">
        <v>3.9450000000000003</v>
      </c>
      <c r="AT6" s="641">
        <v>4.2149999999999999</v>
      </c>
      <c r="AU6" s="641">
        <v>3.66</v>
      </c>
      <c r="AV6" s="641">
        <v>3.42</v>
      </c>
      <c r="AW6" s="641">
        <v>3.0049999999999999</v>
      </c>
      <c r="AX6" s="641">
        <v>3.06</v>
      </c>
      <c r="AY6" s="641">
        <v>3.2800000000000002</v>
      </c>
      <c r="AZ6" s="641">
        <v>3.38</v>
      </c>
      <c r="BA6" s="641">
        <v>3.52</v>
      </c>
      <c r="BB6" s="641">
        <v>3.5149999999999997</v>
      </c>
      <c r="BC6" s="641">
        <v>3.61</v>
      </c>
      <c r="BD6" s="641">
        <v>3.61</v>
      </c>
      <c r="BE6" s="641">
        <v>3.75</v>
      </c>
      <c r="BF6" s="641">
        <v>3.87</v>
      </c>
      <c r="BG6" s="641">
        <v>3.95</v>
      </c>
      <c r="BH6" s="641">
        <v>3.87</v>
      </c>
      <c r="BI6" s="641">
        <v>3.72</v>
      </c>
      <c r="BJ6" s="641">
        <v>3.89</v>
      </c>
      <c r="BK6" s="641">
        <v>3.93</v>
      </c>
      <c r="BL6" s="641">
        <v>4.0199999999999996</v>
      </c>
      <c r="BM6" s="641">
        <v>4.1399999999999997</v>
      </c>
      <c r="BN6" s="641">
        <v>4.1500000000000004</v>
      </c>
      <c r="BO6" s="920">
        <v>4.08</v>
      </c>
      <c r="BP6" s="919"/>
      <c r="BQ6" s="919"/>
      <c r="BR6" s="919"/>
      <c r="BS6" s="919"/>
      <c r="BT6" s="919"/>
      <c r="BU6" s="919"/>
      <c r="BV6" s="919"/>
      <c r="BW6" s="919"/>
      <c r="BX6" s="919"/>
      <c r="BY6" s="919"/>
      <c r="BZ6" s="919"/>
      <c r="CA6" s="919"/>
      <c r="CB6" s="919"/>
      <c r="CC6" s="919"/>
      <c r="CD6" s="919"/>
      <c r="CE6" s="919"/>
      <c r="CF6" s="919"/>
      <c r="CG6" s="919"/>
      <c r="CH6" s="919"/>
      <c r="CI6" s="919"/>
      <c r="CJ6" s="919"/>
      <c r="CK6" s="919"/>
      <c r="CL6" s="919"/>
      <c r="CM6" s="919"/>
      <c r="CN6" s="920"/>
      <c r="CO6" s="920"/>
      <c r="CP6" s="920"/>
      <c r="CQ6" s="920"/>
      <c r="CR6" s="920"/>
      <c r="CS6" s="920"/>
      <c r="CT6" s="920"/>
      <c r="CU6" s="920"/>
      <c r="CV6" s="920"/>
      <c r="CW6" s="920"/>
      <c r="CX6" s="920"/>
      <c r="CY6" s="913"/>
    </row>
    <row r="7" spans="1:116" hidden="1">
      <c r="M7" s="636"/>
      <c r="N7" s="635"/>
      <c r="O7" s="641"/>
      <c r="P7" s="641"/>
      <c r="Q7" s="641"/>
      <c r="R7" s="641"/>
      <c r="S7" s="641"/>
      <c r="T7" s="641"/>
      <c r="U7" s="641"/>
      <c r="V7" s="641"/>
      <c r="W7" s="641"/>
      <c r="X7" s="641"/>
      <c r="Y7" s="641"/>
      <c r="Z7" s="641"/>
      <c r="AC7" s="642"/>
      <c r="AK7" s="643"/>
      <c r="AL7" s="643"/>
      <c r="AM7" s="643"/>
      <c r="AN7" s="643"/>
      <c r="AO7" s="643"/>
      <c r="AP7" s="641"/>
      <c r="AQ7" s="641"/>
      <c r="AR7" s="641"/>
      <c r="AS7" s="641"/>
      <c r="AT7" s="641"/>
      <c r="AU7" s="641"/>
      <c r="AV7" s="641"/>
      <c r="AW7" s="641"/>
      <c r="AX7" s="641"/>
      <c r="AY7" s="641"/>
      <c r="AZ7" s="641"/>
      <c r="BA7" s="641"/>
      <c r="BB7" s="641"/>
      <c r="BC7" s="641"/>
      <c r="BD7" s="641"/>
      <c r="BE7" s="641"/>
      <c r="BF7" s="641"/>
      <c r="BG7" s="641"/>
      <c r="BH7" s="641"/>
      <c r="BI7" s="641"/>
      <c r="BJ7" s="641"/>
      <c r="BK7" s="641"/>
      <c r="BL7" s="641"/>
      <c r="BM7" s="641"/>
      <c r="BN7" s="641"/>
      <c r="BO7" s="641"/>
      <c r="BP7" s="646"/>
      <c r="BQ7" s="646"/>
      <c r="BR7" s="646"/>
      <c r="BS7" s="646"/>
      <c r="BT7" s="646"/>
      <c r="BU7" s="646"/>
      <c r="BV7" s="646"/>
      <c r="BW7" s="646"/>
      <c r="BX7" s="646"/>
      <c r="BY7" s="646"/>
      <c r="BZ7" s="646"/>
      <c r="CA7" s="920"/>
      <c r="CB7" s="920"/>
      <c r="CC7" s="920"/>
      <c r="CD7" s="920"/>
      <c r="CE7" s="920"/>
      <c r="CF7" s="920"/>
      <c r="CG7" s="920"/>
      <c r="CH7" s="920"/>
      <c r="CI7" s="920"/>
      <c r="CJ7" s="920"/>
      <c r="CK7" s="920"/>
      <c r="CL7" s="920"/>
      <c r="CM7" s="920"/>
      <c r="CN7" s="920"/>
      <c r="CO7" s="920"/>
      <c r="CP7" s="920"/>
      <c r="CQ7" s="920"/>
      <c r="CR7" s="920"/>
      <c r="CS7" s="920"/>
      <c r="CT7" s="920"/>
      <c r="CU7" s="920"/>
      <c r="CV7" s="920"/>
      <c r="CW7" s="920"/>
      <c r="CX7" s="920"/>
      <c r="CY7" s="913"/>
    </row>
    <row r="8" spans="1:116" hidden="1">
      <c r="M8" s="636"/>
      <c r="N8" s="635"/>
      <c r="O8" s="644"/>
      <c r="P8" s="644"/>
      <c r="Q8" s="644"/>
      <c r="R8" s="644"/>
      <c r="S8" s="644"/>
      <c r="T8" s="644"/>
      <c r="U8" s="644"/>
      <c r="V8" s="644"/>
      <c r="W8" s="644"/>
      <c r="X8" s="644"/>
      <c r="Y8" s="644"/>
      <c r="Z8" s="644"/>
      <c r="AA8" s="645"/>
      <c r="AC8" s="646" t="s">
        <v>501</v>
      </c>
      <c r="AP8" s="641"/>
      <c r="AQ8" s="641"/>
      <c r="AR8" s="641"/>
      <c r="AS8" s="641"/>
      <c r="AT8" s="641"/>
      <c r="AU8" s="641"/>
      <c r="AV8" s="641"/>
      <c r="AW8" s="641"/>
      <c r="AX8" s="641"/>
      <c r="AY8" s="641"/>
      <c r="AZ8" s="641"/>
      <c r="BA8" s="641"/>
      <c r="BB8" s="641"/>
      <c r="BC8" s="641"/>
      <c r="BD8" s="641"/>
      <c r="BE8" s="641"/>
      <c r="BF8" s="641"/>
      <c r="BG8" s="641"/>
      <c r="BH8" s="641"/>
      <c r="BI8" s="641"/>
      <c r="BJ8" s="641"/>
      <c r="BK8" s="641"/>
      <c r="BL8" s="641"/>
      <c r="BM8" s="641"/>
      <c r="BN8" s="641">
        <v>2.64</v>
      </c>
      <c r="BO8" s="641">
        <v>2.4900000000000002</v>
      </c>
      <c r="BP8" s="641">
        <v>2.58</v>
      </c>
      <c r="BQ8" s="641">
        <v>2.99</v>
      </c>
      <c r="BR8" s="641">
        <v>3.14</v>
      </c>
      <c r="BS8" s="641">
        <v>3.31</v>
      </c>
      <c r="BT8" s="641">
        <v>3.38</v>
      </c>
      <c r="BU8" s="641">
        <v>3.46</v>
      </c>
      <c r="BV8" s="641">
        <v>3.6</v>
      </c>
      <c r="BW8" s="641">
        <v>3.75</v>
      </c>
      <c r="BX8" s="641">
        <v>3.96</v>
      </c>
      <c r="BY8" s="641">
        <v>4.1500000000000004</v>
      </c>
      <c r="BZ8" s="641">
        <v>4.16</v>
      </c>
      <c r="CA8" s="920">
        <f t="shared" ref="CA8:CM8" si="42">+CA14</f>
        <v>3.29</v>
      </c>
      <c r="CB8" s="920">
        <f t="shared" si="42"/>
        <v>3.26</v>
      </c>
      <c r="CC8" s="920">
        <f t="shared" si="42"/>
        <v>3.56</v>
      </c>
      <c r="CD8" s="920">
        <f t="shared" si="42"/>
        <v>3.77</v>
      </c>
      <c r="CE8" s="920">
        <f t="shared" si="42"/>
        <v>3.8</v>
      </c>
      <c r="CF8" s="920">
        <f t="shared" si="42"/>
        <v>3.7</v>
      </c>
      <c r="CG8" s="920">
        <f t="shared" si="42"/>
        <v>3.67</v>
      </c>
      <c r="CH8" s="920">
        <f t="shared" si="42"/>
        <v>3.63</v>
      </c>
      <c r="CI8" s="920">
        <f t="shared" si="42"/>
        <v>3.58</v>
      </c>
      <c r="CJ8" s="920">
        <f t="shared" si="42"/>
        <v>3.56</v>
      </c>
      <c r="CK8" s="920">
        <f t="shared" si="42"/>
        <v>3.67</v>
      </c>
      <c r="CL8" s="920">
        <f t="shared" si="42"/>
        <v>3.68</v>
      </c>
      <c r="CM8" s="920">
        <f t="shared" si="42"/>
        <v>3.74</v>
      </c>
      <c r="CN8" s="920"/>
      <c r="CO8" s="920"/>
      <c r="CP8" s="920"/>
      <c r="CQ8" s="920"/>
      <c r="CR8" s="920"/>
      <c r="CS8" s="920"/>
      <c r="CT8" s="920"/>
      <c r="CU8" s="920"/>
      <c r="CV8" s="920"/>
      <c r="CW8" s="920"/>
      <c r="CX8" s="920"/>
      <c r="CY8" s="913"/>
    </row>
    <row r="9" spans="1:116" hidden="1">
      <c r="M9" s="636"/>
      <c r="N9" s="635"/>
      <c r="O9" s="644"/>
      <c r="P9" s="644"/>
      <c r="Q9" s="644"/>
      <c r="R9" s="644"/>
      <c r="S9" s="644"/>
      <c r="T9" s="644"/>
      <c r="U9" s="644"/>
      <c r="V9" s="644"/>
      <c r="W9" s="644"/>
      <c r="X9" s="644"/>
      <c r="Y9" s="644"/>
      <c r="Z9" s="644"/>
      <c r="AC9" s="628" t="s">
        <v>653</v>
      </c>
      <c r="AP9" s="826">
        <v>4.2375600000000002</v>
      </c>
      <c r="AQ9" s="826">
        <v>4.2375600000000002</v>
      </c>
      <c r="AR9" s="826">
        <v>4.2375600000000002</v>
      </c>
      <c r="AS9" s="826">
        <v>4.2375600000000002</v>
      </c>
      <c r="AT9" s="826">
        <v>4.2375600000000002</v>
      </c>
      <c r="AU9" s="826">
        <v>4.1506400000000001</v>
      </c>
      <c r="AV9" s="826">
        <v>4.1506400000000001</v>
      </c>
      <c r="AW9" s="826">
        <v>4.1506400000000001</v>
      </c>
      <c r="AX9" s="826">
        <v>4.1506400000000001</v>
      </c>
      <c r="AY9" s="826">
        <v>4.1506400000000001</v>
      </c>
      <c r="AZ9" s="826">
        <v>4.2133900000000004</v>
      </c>
      <c r="BA9" s="826">
        <v>4.2133900000000004</v>
      </c>
      <c r="BB9" s="826">
        <v>4.2133900000000004</v>
      </c>
      <c r="BC9" s="826">
        <v>4.2133900000000004</v>
      </c>
      <c r="BD9" s="826">
        <v>4.1666400000000001</v>
      </c>
      <c r="BE9" s="826">
        <v>4.1666400000000001</v>
      </c>
      <c r="BF9" s="826">
        <v>4.1666400000000001</v>
      </c>
      <c r="BG9" s="826">
        <v>4.1666400000000001</v>
      </c>
      <c r="BH9" s="826">
        <v>4.1666400000000001</v>
      </c>
      <c r="BI9" s="826">
        <v>4.1666400000000001</v>
      </c>
      <c r="BJ9" s="826">
        <v>4.1666400000000001</v>
      </c>
      <c r="BK9" s="826">
        <v>4.1666400000000001</v>
      </c>
      <c r="BL9" s="826">
        <v>4.1666400000000001</v>
      </c>
      <c r="BM9" s="826">
        <v>4.1666400000000001</v>
      </c>
      <c r="BN9" s="826">
        <v>4.1666400000000001</v>
      </c>
      <c r="BO9" s="826">
        <v>4.16</v>
      </c>
      <c r="BP9" s="826">
        <v>4.0888</v>
      </c>
      <c r="BQ9" s="826">
        <v>4.0888</v>
      </c>
      <c r="BR9" s="826">
        <v>4.0888</v>
      </c>
      <c r="BS9" s="826">
        <v>4.0888</v>
      </c>
      <c r="BT9" s="826">
        <v>4.0888</v>
      </c>
      <c r="BU9" s="826">
        <v>4.0888</v>
      </c>
      <c r="BV9" s="826">
        <v>4.0888</v>
      </c>
      <c r="BW9" s="826">
        <v>4.0888</v>
      </c>
      <c r="BX9" s="826">
        <v>4.16</v>
      </c>
      <c r="BY9" s="826">
        <v>4.16</v>
      </c>
      <c r="BZ9" s="826">
        <v>4.16</v>
      </c>
      <c r="CA9" s="916"/>
      <c r="CB9" s="916"/>
      <c r="CC9" s="916"/>
      <c r="CD9" s="916"/>
      <c r="CE9" s="916"/>
      <c r="CF9" s="916"/>
      <c r="CG9" s="916"/>
      <c r="CH9" s="916"/>
      <c r="CI9" s="916"/>
      <c r="CJ9" s="918"/>
      <c r="CK9" s="918"/>
      <c r="CL9" s="918"/>
      <c r="CM9" s="918"/>
      <c r="CN9" s="920"/>
      <c r="CO9" s="920"/>
      <c r="CP9" s="920"/>
      <c r="CQ9" s="920"/>
      <c r="CR9" s="920"/>
      <c r="CS9" s="920"/>
      <c r="CT9" s="920"/>
      <c r="CU9" s="920"/>
      <c r="CV9" s="920"/>
      <c r="CW9" s="920"/>
      <c r="CX9" s="920"/>
      <c r="CY9" s="913"/>
    </row>
    <row r="10" spans="1:116">
      <c r="N10" s="635"/>
      <c r="O10" s="644"/>
      <c r="P10" s="644"/>
      <c r="Q10" s="644"/>
      <c r="R10" s="644"/>
      <c r="S10" s="644"/>
      <c r="T10" s="644"/>
      <c r="U10" s="644"/>
      <c r="V10" s="644"/>
      <c r="W10" s="644"/>
      <c r="X10" s="644"/>
      <c r="Y10" s="644"/>
      <c r="Z10" s="644"/>
      <c r="BD10" s="646"/>
      <c r="BE10" s="646"/>
      <c r="BF10" s="646"/>
      <c r="BG10" s="646"/>
      <c r="BH10" s="646"/>
      <c r="BI10" s="646"/>
      <c r="BJ10" s="646"/>
      <c r="BK10" s="646"/>
      <c r="BL10" s="646"/>
      <c r="BM10" s="646"/>
      <c r="BN10" s="646"/>
      <c r="BO10" s="646"/>
      <c r="BP10" s="646"/>
      <c r="BQ10" s="646"/>
      <c r="BR10" s="646"/>
      <c r="BS10" s="646"/>
      <c r="BT10" s="646"/>
      <c r="BU10" s="646"/>
      <c r="BV10" s="646"/>
      <c r="BW10" s="646"/>
      <c r="BX10" s="646"/>
      <c r="BY10" s="646"/>
      <c r="BZ10" s="646"/>
      <c r="CO10" s="920"/>
      <c r="CP10" s="920"/>
      <c r="CQ10" s="920"/>
      <c r="CR10" s="920"/>
      <c r="CS10" s="920"/>
      <c r="CT10" s="920"/>
      <c r="CU10" s="920"/>
      <c r="CV10" s="920"/>
      <c r="CW10" s="920"/>
      <c r="CX10" s="920"/>
      <c r="CY10" s="913"/>
    </row>
    <row r="11" spans="1:116">
      <c r="AC11" s="628" t="s">
        <v>502</v>
      </c>
      <c r="BD11" s="646"/>
      <c r="BE11" s="646"/>
      <c r="BF11" s="646"/>
      <c r="BG11" s="646"/>
      <c r="BH11" s="646"/>
      <c r="BI11" s="646"/>
      <c r="BJ11" s="646"/>
      <c r="BK11" s="646"/>
      <c r="BL11" s="646"/>
      <c r="BM11" s="646"/>
      <c r="BN11" s="646"/>
      <c r="BO11" s="646"/>
      <c r="BP11" s="646"/>
      <c r="BQ11" s="646"/>
      <c r="BR11" s="646"/>
      <c r="BS11" s="646"/>
      <c r="BT11" s="646"/>
      <c r="BU11" s="646"/>
      <c r="BV11" s="646"/>
      <c r="BW11" s="646"/>
      <c r="BX11" s="646"/>
      <c r="BY11" s="646"/>
      <c r="BZ11" s="646"/>
      <c r="CA11" s="922">
        <f t="shared" ref="CA11:CM11" si="43">+CA4</f>
        <v>41518</v>
      </c>
      <c r="CB11" s="922">
        <f t="shared" si="43"/>
        <v>41548</v>
      </c>
      <c r="CC11" s="922">
        <f t="shared" si="43"/>
        <v>41579</v>
      </c>
      <c r="CD11" s="922">
        <f t="shared" si="43"/>
        <v>41609</v>
      </c>
      <c r="CE11" s="922">
        <f t="shared" si="43"/>
        <v>41640</v>
      </c>
      <c r="CF11" s="922">
        <f t="shared" si="43"/>
        <v>41671</v>
      </c>
      <c r="CG11" s="922">
        <f t="shared" si="43"/>
        <v>41699</v>
      </c>
      <c r="CH11" s="922">
        <f t="shared" si="43"/>
        <v>41730</v>
      </c>
      <c r="CI11" s="922">
        <f t="shared" si="43"/>
        <v>41760</v>
      </c>
      <c r="CJ11" s="922">
        <f t="shared" si="43"/>
        <v>41791</v>
      </c>
      <c r="CK11" s="922">
        <f t="shared" si="43"/>
        <v>41821</v>
      </c>
      <c r="CL11" s="922">
        <f t="shared" si="43"/>
        <v>41852</v>
      </c>
      <c r="CM11" s="922">
        <f t="shared" si="43"/>
        <v>41883</v>
      </c>
      <c r="CN11" s="920"/>
      <c r="CO11" s="646"/>
      <c r="CP11" s="646"/>
      <c r="CQ11" s="646"/>
      <c r="CR11" s="646"/>
      <c r="CS11" s="646"/>
      <c r="CT11" s="646"/>
      <c r="CU11" s="646"/>
      <c r="CV11" s="646"/>
      <c r="CW11" s="646"/>
      <c r="CX11" s="646"/>
    </row>
    <row r="12" spans="1:116">
      <c r="O12" s="648"/>
      <c r="AC12" s="628" t="s">
        <v>503</v>
      </c>
      <c r="BD12" s="646"/>
      <c r="BE12" s="646"/>
      <c r="BF12" s="646"/>
      <c r="BG12" s="646"/>
      <c r="BH12" s="646"/>
      <c r="BI12" s="646"/>
      <c r="BJ12" s="646"/>
      <c r="BK12" s="646"/>
      <c r="BL12" s="646"/>
      <c r="BM12" s="646"/>
      <c r="BN12" s="646"/>
      <c r="BO12" s="646"/>
      <c r="BP12" s="646"/>
      <c r="BQ12" s="646"/>
      <c r="BR12" s="646"/>
      <c r="BS12" s="646"/>
      <c r="BT12" s="646"/>
      <c r="BU12" s="646"/>
      <c r="BV12" s="646"/>
      <c r="BW12" s="646"/>
      <c r="BX12" s="646"/>
      <c r="BY12" s="646"/>
      <c r="BZ12" s="646"/>
      <c r="CA12" s="920">
        <v>3.12</v>
      </c>
      <c r="CB12" s="920">
        <v>3.09</v>
      </c>
      <c r="CC12" s="920">
        <v>3.51</v>
      </c>
      <c r="CD12" s="920">
        <v>3.57</v>
      </c>
      <c r="CE12" s="920">
        <v>3.69</v>
      </c>
      <c r="CF12" s="920">
        <v>3.62</v>
      </c>
      <c r="CG12" s="920">
        <v>3.68</v>
      </c>
      <c r="CH12" s="920">
        <v>3.63</v>
      </c>
      <c r="CI12" s="920">
        <v>3.57</v>
      </c>
      <c r="CJ12" s="920">
        <v>3.56</v>
      </c>
      <c r="CK12" s="920">
        <v>3.67</v>
      </c>
      <c r="CL12" s="920">
        <v>3.67</v>
      </c>
      <c r="CM12" s="920">
        <v>3.7</v>
      </c>
      <c r="CN12" s="646"/>
      <c r="CO12" s="646"/>
      <c r="CP12" s="646"/>
      <c r="CQ12" s="646"/>
      <c r="CR12" s="646"/>
      <c r="CS12" s="646"/>
      <c r="CT12" s="646"/>
      <c r="CU12" s="646"/>
      <c r="CV12" s="646"/>
      <c r="CW12" s="646"/>
      <c r="CX12" s="646"/>
    </row>
    <row r="13" spans="1:116">
      <c r="N13" s="649"/>
      <c r="O13" s="649"/>
      <c r="P13" s="649"/>
      <c r="Q13" s="649"/>
      <c r="R13" s="649"/>
      <c r="S13" s="649"/>
      <c r="T13" s="649"/>
      <c r="U13" s="649"/>
      <c r="V13" s="649"/>
      <c r="W13" s="649"/>
      <c r="X13" s="649"/>
      <c r="Y13" s="649"/>
      <c r="Z13" s="649"/>
      <c r="AC13" s="628" t="s">
        <v>368</v>
      </c>
      <c r="BD13" s="646"/>
      <c r="BE13" s="646"/>
      <c r="BF13" s="646"/>
      <c r="BG13" s="646"/>
      <c r="BH13" s="646"/>
      <c r="BI13" s="646"/>
      <c r="BJ13" s="646"/>
      <c r="BK13" s="646"/>
      <c r="BL13" s="646"/>
      <c r="BM13" s="646"/>
      <c r="BN13" s="646"/>
      <c r="BO13" s="646"/>
      <c r="BP13" s="646"/>
      <c r="BQ13" s="646"/>
      <c r="BR13" s="646"/>
      <c r="BS13" s="646"/>
      <c r="BT13" s="646"/>
      <c r="BU13" s="646"/>
      <c r="BV13" s="646"/>
      <c r="BW13" s="646"/>
      <c r="BX13" s="646"/>
      <c r="BY13" s="646"/>
      <c r="BZ13" s="646"/>
      <c r="CA13" s="920">
        <v>3.45</v>
      </c>
      <c r="CB13" s="920">
        <v>3.43</v>
      </c>
      <c r="CC13" s="920">
        <v>3.61</v>
      </c>
      <c r="CD13" s="920">
        <v>3.96</v>
      </c>
      <c r="CE13" s="920">
        <v>3.9</v>
      </c>
      <c r="CF13" s="920">
        <v>3.78</v>
      </c>
      <c r="CG13" s="920">
        <v>3.66</v>
      </c>
      <c r="CH13" s="920">
        <v>3.63</v>
      </c>
      <c r="CI13" s="920">
        <v>3.59</v>
      </c>
      <c r="CJ13" s="920">
        <v>3.56</v>
      </c>
      <c r="CK13" s="920">
        <v>3.67</v>
      </c>
      <c r="CL13" s="920">
        <v>3.68</v>
      </c>
      <c r="CM13" s="920">
        <v>3.78</v>
      </c>
      <c r="CN13" s="646"/>
      <c r="CO13" s="646"/>
      <c r="CP13" s="646"/>
      <c r="CQ13" s="646"/>
      <c r="CR13" s="646"/>
      <c r="CS13" s="646"/>
      <c r="CT13" s="646"/>
      <c r="CU13" s="646"/>
      <c r="CV13" s="646"/>
      <c r="CW13" s="646"/>
      <c r="CX13" s="646"/>
    </row>
    <row r="14" spans="1:116">
      <c r="O14" s="650"/>
      <c r="P14" s="650"/>
      <c r="Q14" s="650"/>
      <c r="R14" s="650"/>
      <c r="S14" s="650"/>
      <c r="T14" s="650"/>
      <c r="U14" s="650"/>
      <c r="V14" s="650"/>
      <c r="W14" s="650"/>
      <c r="X14" s="650"/>
      <c r="Y14" s="650"/>
      <c r="Z14" s="650"/>
      <c r="AP14" s="646"/>
      <c r="AQ14" s="646"/>
      <c r="AR14" s="646"/>
      <c r="AS14" s="646"/>
      <c r="AT14" s="646"/>
      <c r="AU14" s="646"/>
      <c r="AV14" s="646"/>
      <c r="AW14" s="646"/>
      <c r="AX14" s="646"/>
      <c r="AY14" s="646"/>
      <c r="AZ14" s="646"/>
      <c r="BA14" s="646"/>
      <c r="BB14" s="646"/>
      <c r="BC14" s="646"/>
      <c r="BD14" s="646"/>
      <c r="BE14" s="646"/>
      <c r="BF14" s="646"/>
      <c r="BG14" s="646"/>
      <c r="BH14" s="646"/>
      <c r="BI14" s="646"/>
      <c r="BJ14" s="646"/>
      <c r="BK14" s="646"/>
      <c r="BL14" s="646"/>
      <c r="BM14" s="646"/>
      <c r="BN14" s="646"/>
      <c r="BO14" s="646"/>
      <c r="BP14" s="646"/>
      <c r="BQ14" s="646"/>
      <c r="BR14" s="646"/>
      <c r="BS14" s="646"/>
      <c r="BT14" s="646"/>
      <c r="BU14" s="646"/>
      <c r="BV14" s="646"/>
      <c r="BW14" s="646"/>
      <c r="BX14" s="646"/>
      <c r="BY14" s="646"/>
      <c r="BZ14" s="646"/>
      <c r="CA14" s="921">
        <f t="shared" ref="CA14:CM14" si="44">ROUND(AVERAGE(CA12:CA13),2)</f>
        <v>3.29</v>
      </c>
      <c r="CB14" s="921">
        <f t="shared" si="44"/>
        <v>3.26</v>
      </c>
      <c r="CC14" s="921">
        <f t="shared" si="44"/>
        <v>3.56</v>
      </c>
      <c r="CD14" s="921">
        <f t="shared" si="44"/>
        <v>3.77</v>
      </c>
      <c r="CE14" s="921">
        <f t="shared" si="44"/>
        <v>3.8</v>
      </c>
      <c r="CF14" s="921">
        <f t="shared" si="44"/>
        <v>3.7</v>
      </c>
      <c r="CG14" s="921">
        <f t="shared" si="44"/>
        <v>3.67</v>
      </c>
      <c r="CH14" s="921">
        <f t="shared" si="44"/>
        <v>3.63</v>
      </c>
      <c r="CI14" s="921">
        <f t="shared" si="44"/>
        <v>3.58</v>
      </c>
      <c r="CJ14" s="921">
        <f t="shared" si="44"/>
        <v>3.56</v>
      </c>
      <c r="CK14" s="921">
        <f t="shared" si="44"/>
        <v>3.67</v>
      </c>
      <c r="CL14" s="921">
        <f t="shared" si="44"/>
        <v>3.68</v>
      </c>
      <c r="CM14" s="921">
        <f t="shared" si="44"/>
        <v>3.74</v>
      </c>
      <c r="CN14" s="920">
        <f>AVERAGE(CA14:CM14)</f>
        <v>3.6084615384615386</v>
      </c>
      <c r="CO14" s="646"/>
      <c r="CP14" s="646"/>
      <c r="CQ14" s="646"/>
      <c r="CR14" s="646"/>
      <c r="CS14" s="646"/>
      <c r="CT14" s="646"/>
      <c r="CU14" s="646"/>
      <c r="CV14" s="646"/>
      <c r="CW14" s="646"/>
      <c r="CX14" s="646"/>
    </row>
    <row r="15" spans="1:116">
      <c r="A15" s="651"/>
      <c r="C15" s="651"/>
      <c r="D15" s="651"/>
      <c r="E15" s="651"/>
      <c r="F15" s="651"/>
      <c r="G15" s="651"/>
      <c r="H15" s="651"/>
      <c r="I15" s="651"/>
      <c r="J15" s="651"/>
      <c r="K15" s="651"/>
      <c r="L15" s="651"/>
      <c r="M15" s="651"/>
      <c r="N15" s="651"/>
      <c r="O15" s="652"/>
      <c r="P15" s="652"/>
      <c r="Q15" s="652"/>
      <c r="R15" s="652"/>
      <c r="S15" s="652"/>
      <c r="T15" s="652"/>
      <c r="U15" s="652"/>
      <c r="V15" s="652"/>
      <c r="W15" s="652"/>
      <c r="X15" s="652"/>
      <c r="Y15" s="652"/>
      <c r="Z15" s="652"/>
      <c r="AP15" s="646"/>
      <c r="AQ15" s="646"/>
      <c r="AR15" s="646"/>
      <c r="AS15" s="646"/>
      <c r="AT15" s="646"/>
      <c r="AU15" s="646"/>
      <c r="AV15" s="646"/>
      <c r="AW15" s="646"/>
      <c r="AX15" s="646"/>
      <c r="AY15" s="646"/>
      <c r="AZ15" s="646"/>
      <c r="BA15" s="646"/>
      <c r="BB15" s="646"/>
      <c r="BC15" s="646"/>
      <c r="BD15" s="646"/>
      <c r="BE15" s="646"/>
      <c r="BF15" s="646"/>
      <c r="BG15" s="646"/>
      <c r="BH15" s="646"/>
      <c r="BI15" s="646"/>
      <c r="BJ15" s="646"/>
      <c r="BK15" s="646"/>
      <c r="BL15" s="646"/>
      <c r="BM15" s="646"/>
      <c r="BN15" s="917">
        <v>41131</v>
      </c>
      <c r="BO15" s="917">
        <f>BN15+30</f>
        <v>41161</v>
      </c>
      <c r="BP15" s="917">
        <f t="shared" ref="BP15:BZ15" si="45">BO15+30</f>
        <v>41191</v>
      </c>
      <c r="BQ15" s="917">
        <f t="shared" si="45"/>
        <v>41221</v>
      </c>
      <c r="BR15" s="917">
        <f t="shared" si="45"/>
        <v>41251</v>
      </c>
      <c r="BS15" s="917">
        <f t="shared" si="45"/>
        <v>41281</v>
      </c>
      <c r="BT15" s="917">
        <f t="shared" si="45"/>
        <v>41311</v>
      </c>
      <c r="BU15" s="917">
        <f t="shared" si="45"/>
        <v>41341</v>
      </c>
      <c r="BV15" s="917">
        <f t="shared" si="45"/>
        <v>41371</v>
      </c>
      <c r="BW15" s="917">
        <f t="shared" si="45"/>
        <v>41401</v>
      </c>
      <c r="BX15" s="917">
        <f t="shared" si="45"/>
        <v>41431</v>
      </c>
      <c r="BY15" s="917">
        <f t="shared" si="45"/>
        <v>41461</v>
      </c>
      <c r="BZ15" s="917">
        <f t="shared" si="45"/>
        <v>41491</v>
      </c>
      <c r="CA15" s="646"/>
      <c r="CB15" s="646"/>
      <c r="CC15" s="646"/>
      <c r="CD15" s="646"/>
      <c r="CE15" s="646"/>
      <c r="CF15" s="646"/>
      <c r="CG15" s="646"/>
      <c r="CH15" s="646"/>
      <c r="CI15" s="917">
        <v>41760</v>
      </c>
      <c r="CJ15" s="917">
        <v>41791</v>
      </c>
      <c r="CK15" s="917">
        <v>41821</v>
      </c>
      <c r="CL15" s="917">
        <v>41852</v>
      </c>
      <c r="CM15" s="917">
        <v>41883</v>
      </c>
      <c r="CN15" s="917">
        <v>41913</v>
      </c>
      <c r="CO15" s="917">
        <v>41944</v>
      </c>
      <c r="CP15" s="917">
        <v>41974</v>
      </c>
      <c r="CQ15" s="917">
        <v>42005</v>
      </c>
      <c r="CR15" s="917">
        <v>42036</v>
      </c>
      <c r="CS15" s="917">
        <v>42064</v>
      </c>
      <c r="CT15" s="917">
        <v>42095</v>
      </c>
      <c r="CU15" s="917">
        <v>42125</v>
      </c>
      <c r="CV15" s="646"/>
      <c r="CW15" s="646"/>
      <c r="CX15" s="646"/>
    </row>
    <row r="16" spans="1:116">
      <c r="C16" s="631"/>
      <c r="D16" s="631"/>
      <c r="E16" s="631"/>
      <c r="F16" s="631"/>
      <c r="G16" s="631"/>
      <c r="H16" s="631"/>
      <c r="I16" s="631"/>
      <c r="J16" s="631"/>
      <c r="K16" s="631"/>
      <c r="L16" s="631"/>
      <c r="M16" s="653"/>
      <c r="N16" s="631"/>
      <c r="O16" s="632"/>
      <c r="P16" s="632"/>
      <c r="Q16" s="632"/>
      <c r="R16" s="632"/>
      <c r="S16" s="632"/>
      <c r="T16" s="632"/>
      <c r="U16" s="632"/>
      <c r="V16" s="632"/>
      <c r="W16" s="632"/>
      <c r="X16" s="632"/>
      <c r="Y16" s="632"/>
      <c r="Z16" s="632"/>
      <c r="AA16" s="633"/>
      <c r="AB16" s="631"/>
      <c r="AC16" s="926" t="str">
        <f>+AC11</f>
        <v>CERA</v>
      </c>
      <c r="AD16" s="631"/>
      <c r="AE16" s="631"/>
      <c r="AF16" s="631"/>
      <c r="AG16" s="631"/>
      <c r="AH16" s="631"/>
      <c r="AI16" s="631"/>
      <c r="AJ16" s="631"/>
      <c r="AP16" s="646"/>
      <c r="AQ16" s="646"/>
      <c r="AR16" s="646"/>
      <c r="AS16" s="646"/>
      <c r="AT16" s="646"/>
      <c r="AU16" s="646"/>
      <c r="AV16" s="646"/>
      <c r="AW16" s="646"/>
      <c r="AX16" s="646"/>
      <c r="AY16" s="646"/>
      <c r="AZ16" s="646"/>
      <c r="BA16" s="646"/>
      <c r="BB16" s="646"/>
      <c r="BC16" s="646"/>
      <c r="BD16" s="646"/>
      <c r="BE16" s="646"/>
      <c r="BF16" s="646"/>
      <c r="BG16" s="646"/>
      <c r="BH16" s="646"/>
      <c r="BI16" s="646"/>
      <c r="BJ16" s="646"/>
      <c r="BK16" s="646"/>
      <c r="BL16" s="646"/>
      <c r="BM16" s="646"/>
      <c r="BN16" s="921">
        <v>2.5</v>
      </c>
      <c r="BO16" s="921">
        <v>2.39</v>
      </c>
      <c r="BP16" s="921">
        <v>2.2599999999999998</v>
      </c>
      <c r="BQ16" s="921">
        <v>2.72</v>
      </c>
      <c r="BR16" s="921">
        <v>2.76</v>
      </c>
      <c r="BS16" s="921">
        <v>2.87</v>
      </c>
      <c r="BT16" s="921">
        <v>3.04</v>
      </c>
      <c r="BU16" s="921">
        <v>3.19</v>
      </c>
      <c r="BV16" s="921">
        <v>3.28</v>
      </c>
      <c r="BW16" s="921">
        <v>3.39</v>
      </c>
      <c r="BX16" s="921">
        <v>3.66</v>
      </c>
      <c r="BY16" s="921">
        <v>3.83</v>
      </c>
      <c r="BZ16" s="921">
        <v>4.0199999999999996</v>
      </c>
      <c r="CA16" s="646"/>
      <c r="CB16" s="646"/>
      <c r="CC16" s="646"/>
      <c r="CD16" s="646"/>
      <c r="CE16" s="646"/>
      <c r="CF16" s="646"/>
      <c r="CG16" s="646"/>
      <c r="CH16" s="646"/>
      <c r="CI16" s="920">
        <v>4.96</v>
      </c>
      <c r="CJ16" s="920">
        <v>4.7699999999999996</v>
      </c>
      <c r="CK16" s="920">
        <v>5.09</v>
      </c>
      <c r="CL16" s="920">
        <v>4.9000000000000004</v>
      </c>
      <c r="CM16" s="920">
        <v>4.74</v>
      </c>
      <c r="CN16" s="920">
        <v>4.66</v>
      </c>
      <c r="CO16" s="920">
        <v>4.79</v>
      </c>
      <c r="CP16" s="920">
        <v>4.96</v>
      </c>
      <c r="CQ16" s="920">
        <v>4.8600000000000003</v>
      </c>
      <c r="CR16" s="920">
        <v>4.78</v>
      </c>
      <c r="CS16" s="920">
        <v>4.49</v>
      </c>
      <c r="CT16" s="920">
        <v>4.26</v>
      </c>
      <c r="CU16" s="920">
        <v>4.22</v>
      </c>
      <c r="CV16" s="646"/>
      <c r="CW16" s="646"/>
      <c r="CX16" s="646"/>
    </row>
    <row r="17" spans="1:102">
      <c r="C17" s="631"/>
      <c r="D17" s="631"/>
      <c r="E17" s="631"/>
      <c r="F17" s="631"/>
      <c r="G17" s="631"/>
      <c r="H17" s="631"/>
      <c r="I17" s="631"/>
      <c r="J17" s="631"/>
      <c r="K17" s="631"/>
      <c r="L17" s="631"/>
      <c r="M17" s="631"/>
      <c r="N17" s="631"/>
      <c r="O17" s="631"/>
      <c r="P17" s="631"/>
      <c r="Q17" s="631"/>
      <c r="R17" s="631"/>
      <c r="S17" s="631"/>
      <c r="T17" s="631"/>
      <c r="U17" s="631"/>
      <c r="V17" s="631"/>
      <c r="W17" s="631"/>
      <c r="X17" s="631"/>
      <c r="Y17" s="631"/>
      <c r="Z17" s="631"/>
      <c r="AA17" s="631"/>
      <c r="AB17" s="631"/>
      <c r="AC17" s="927" t="str">
        <f>+AC12</f>
        <v>PIRA</v>
      </c>
      <c r="AD17" s="631"/>
      <c r="AE17" s="631"/>
      <c r="AF17" s="631"/>
      <c r="AG17" s="631"/>
      <c r="AH17" s="631"/>
      <c r="AI17" s="631"/>
      <c r="AJ17" s="631"/>
      <c r="AP17" s="646"/>
      <c r="AQ17" s="646"/>
      <c r="AR17" s="646"/>
      <c r="AS17" s="646"/>
      <c r="AT17" s="646"/>
      <c r="AU17" s="646"/>
      <c r="AV17" s="646"/>
      <c r="AW17" s="646"/>
      <c r="AX17" s="646"/>
      <c r="AY17" s="646"/>
      <c r="AZ17" s="646"/>
      <c r="BA17" s="646"/>
      <c r="BB17" s="646"/>
      <c r="BC17" s="646"/>
      <c r="BD17" s="646"/>
      <c r="BE17" s="646"/>
      <c r="BF17" s="646"/>
      <c r="BG17" s="646"/>
      <c r="BH17" s="646"/>
      <c r="BI17" s="646"/>
      <c r="BJ17" s="646"/>
      <c r="BK17" s="646"/>
      <c r="BL17" s="646"/>
      <c r="BM17" s="646"/>
      <c r="BN17" s="921">
        <v>2.78</v>
      </c>
      <c r="BO17" s="921">
        <v>2.58</v>
      </c>
      <c r="BP17" s="921">
        <v>2.9</v>
      </c>
      <c r="BQ17" s="921">
        <v>3.25</v>
      </c>
      <c r="BR17" s="921">
        <v>3.52</v>
      </c>
      <c r="BS17" s="921">
        <v>3.74</v>
      </c>
      <c r="BT17" s="921">
        <v>3.72</v>
      </c>
      <c r="BU17" s="921">
        <v>3.73</v>
      </c>
      <c r="BV17" s="921">
        <v>3.91</v>
      </c>
      <c r="BW17" s="921">
        <v>4.0999999999999996</v>
      </c>
      <c r="BX17" s="921">
        <v>4.25</v>
      </c>
      <c r="BY17" s="921">
        <v>4.47</v>
      </c>
      <c r="BZ17" s="921">
        <v>4.29</v>
      </c>
      <c r="CA17" s="646"/>
      <c r="CB17" s="646"/>
      <c r="CC17" s="646"/>
      <c r="CD17" s="646"/>
      <c r="CE17" s="646"/>
      <c r="CF17" s="646"/>
      <c r="CG17" s="646"/>
      <c r="CH17" s="646"/>
      <c r="CI17" s="920">
        <v>4.66</v>
      </c>
      <c r="CJ17" s="920">
        <v>4.6100000000000003</v>
      </c>
      <c r="CK17" s="920">
        <v>4.72</v>
      </c>
      <c r="CL17" s="920">
        <v>4.7300000000000004</v>
      </c>
      <c r="CM17" s="920">
        <v>4.7</v>
      </c>
      <c r="CN17" s="920">
        <v>4.78</v>
      </c>
      <c r="CO17" s="920">
        <v>4.8499999999999996</v>
      </c>
      <c r="CP17" s="920">
        <v>4.97</v>
      </c>
      <c r="CQ17" s="920">
        <v>4.8899999999999997</v>
      </c>
      <c r="CR17" s="920">
        <v>4.78</v>
      </c>
      <c r="CS17" s="920">
        <v>4.5599999999999996</v>
      </c>
      <c r="CT17" s="920">
        <v>4.09</v>
      </c>
      <c r="CU17" s="920">
        <v>3.89</v>
      </c>
      <c r="CV17" s="646"/>
      <c r="CW17" s="646"/>
      <c r="CX17" s="646"/>
    </row>
    <row r="18" spans="1:102">
      <c r="B18" s="636"/>
      <c r="C18" s="654"/>
      <c r="D18" s="654"/>
      <c r="E18" s="654"/>
      <c r="F18" s="654"/>
      <c r="G18" s="654"/>
      <c r="H18" s="654"/>
      <c r="I18" s="654"/>
      <c r="J18" s="654"/>
      <c r="K18" s="654"/>
      <c r="L18" s="654"/>
      <c r="M18" s="654"/>
      <c r="N18" s="654"/>
      <c r="O18" s="654"/>
      <c r="P18" s="654"/>
      <c r="Q18" s="654"/>
      <c r="R18" s="654"/>
      <c r="S18" s="654"/>
      <c r="T18" s="654"/>
      <c r="U18" s="654"/>
      <c r="V18" s="654"/>
      <c r="W18" s="654"/>
      <c r="X18" s="654"/>
      <c r="Y18" s="654"/>
      <c r="Z18" s="654"/>
      <c r="AC18" s="628" t="str">
        <f>+AC13</f>
        <v>Average</v>
      </c>
      <c r="AP18" s="646"/>
      <c r="AQ18" s="646"/>
      <c r="AR18" s="646"/>
      <c r="AS18" s="646"/>
      <c r="AT18" s="646"/>
      <c r="AU18" s="646"/>
      <c r="AV18" s="646"/>
      <c r="AW18" s="646"/>
      <c r="AX18" s="646"/>
      <c r="AY18" s="646"/>
      <c r="AZ18" s="646"/>
      <c r="BA18" s="646"/>
      <c r="BB18" s="646"/>
      <c r="BC18" s="646"/>
      <c r="BD18" s="646"/>
      <c r="BE18" s="646"/>
      <c r="BF18" s="646"/>
      <c r="BG18" s="646"/>
      <c r="BH18" s="646"/>
      <c r="BI18" s="646"/>
      <c r="BJ18" s="646"/>
      <c r="BK18" s="646"/>
      <c r="BL18" s="646"/>
      <c r="BM18" s="646"/>
      <c r="BN18" s="921">
        <f>ROUND(AVERAGE(BN16:BN17),2)</f>
        <v>2.64</v>
      </c>
      <c r="BO18" s="921">
        <f t="shared" ref="BO18:BZ18" si="46">ROUND(AVERAGE(BO16:BO17),2)</f>
        <v>2.4900000000000002</v>
      </c>
      <c r="BP18" s="921">
        <f t="shared" si="46"/>
        <v>2.58</v>
      </c>
      <c r="BQ18" s="921">
        <f t="shared" si="46"/>
        <v>2.99</v>
      </c>
      <c r="BR18" s="921">
        <f t="shared" si="46"/>
        <v>3.14</v>
      </c>
      <c r="BS18" s="921">
        <f t="shared" si="46"/>
        <v>3.31</v>
      </c>
      <c r="BT18" s="921">
        <f t="shared" si="46"/>
        <v>3.38</v>
      </c>
      <c r="BU18" s="921">
        <f t="shared" si="46"/>
        <v>3.46</v>
      </c>
      <c r="BV18" s="921">
        <f t="shared" si="46"/>
        <v>3.6</v>
      </c>
      <c r="BW18" s="921">
        <f t="shared" si="46"/>
        <v>3.75</v>
      </c>
      <c r="BX18" s="921">
        <f t="shared" si="46"/>
        <v>3.96</v>
      </c>
      <c r="BY18" s="921">
        <f t="shared" si="46"/>
        <v>4.1500000000000004</v>
      </c>
      <c r="BZ18" s="921">
        <f t="shared" si="46"/>
        <v>4.16</v>
      </c>
      <c r="CA18" s="920">
        <f>AVERAGE(BN18:BZ18)</f>
        <v>3.3546153846153848</v>
      </c>
      <c r="CB18" s="646"/>
      <c r="CC18" s="646"/>
      <c r="CD18" s="646"/>
      <c r="CE18" s="646"/>
      <c r="CF18" s="646"/>
      <c r="CG18" s="646"/>
      <c r="CH18" s="646"/>
      <c r="CI18" s="921">
        <f t="shared" ref="CI18:CU18" si="47">ROUND(AVERAGE(CI16:CI17),2)</f>
        <v>4.8099999999999996</v>
      </c>
      <c r="CJ18" s="921">
        <f t="shared" si="47"/>
        <v>4.6900000000000004</v>
      </c>
      <c r="CK18" s="921">
        <f t="shared" si="47"/>
        <v>4.91</v>
      </c>
      <c r="CL18" s="921">
        <f t="shared" si="47"/>
        <v>4.82</v>
      </c>
      <c r="CM18" s="921">
        <f t="shared" si="47"/>
        <v>4.72</v>
      </c>
      <c r="CN18" s="921">
        <f t="shared" si="47"/>
        <v>4.72</v>
      </c>
      <c r="CO18" s="921">
        <f t="shared" si="47"/>
        <v>4.82</v>
      </c>
      <c r="CP18" s="921">
        <f t="shared" si="47"/>
        <v>4.97</v>
      </c>
      <c r="CQ18" s="921">
        <f t="shared" si="47"/>
        <v>4.88</v>
      </c>
      <c r="CR18" s="921">
        <f t="shared" si="47"/>
        <v>4.78</v>
      </c>
      <c r="CS18" s="921">
        <f t="shared" si="47"/>
        <v>4.53</v>
      </c>
      <c r="CT18" s="921">
        <f t="shared" si="47"/>
        <v>4.18</v>
      </c>
      <c r="CU18" s="921">
        <f t="shared" si="47"/>
        <v>4.0599999999999996</v>
      </c>
      <c r="CV18" s="920">
        <f>AVERAGE(CI18:CU18)</f>
        <v>4.6838461538461535</v>
      </c>
      <c r="CW18" s="646"/>
      <c r="CX18" s="646"/>
    </row>
    <row r="19" spans="1:102">
      <c r="C19" s="655"/>
      <c r="D19" s="652"/>
      <c r="E19" s="652"/>
      <c r="F19" s="656"/>
      <c r="G19" s="652"/>
      <c r="H19" s="652"/>
      <c r="J19" s="652"/>
      <c r="K19" s="652"/>
      <c r="L19" s="652"/>
      <c r="M19" s="652"/>
      <c r="N19" s="652"/>
      <c r="O19" s="657"/>
      <c r="P19" s="657"/>
      <c r="Q19" s="657"/>
      <c r="R19" s="657"/>
      <c r="S19" s="657"/>
      <c r="T19" s="657"/>
      <c r="U19" s="657"/>
      <c r="V19" s="657"/>
      <c r="W19" s="657"/>
      <c r="X19" s="657"/>
      <c r="Y19" s="657"/>
      <c r="Z19" s="657"/>
      <c r="AD19" s="628">
        <v>2</v>
      </c>
      <c r="AE19" s="628">
        <v>3</v>
      </c>
      <c r="AF19" s="628">
        <v>4</v>
      </c>
      <c r="AG19" s="628">
        <v>5</v>
      </c>
      <c r="AH19" s="628">
        <v>6</v>
      </c>
      <c r="AI19" s="628">
        <v>7</v>
      </c>
      <c r="AJ19" s="628">
        <v>8</v>
      </c>
      <c r="AK19" s="628">
        <v>9</v>
      </c>
      <c r="AL19" s="628">
        <v>10</v>
      </c>
      <c r="AM19" s="628">
        <v>11</v>
      </c>
      <c r="AN19" s="628">
        <v>12</v>
      </c>
    </row>
    <row r="20" spans="1:102">
      <c r="C20" s="658"/>
      <c r="D20" s="658"/>
      <c r="E20" s="658"/>
      <c r="F20" s="658"/>
      <c r="G20" s="658"/>
      <c r="H20" s="658"/>
      <c r="I20" s="658"/>
      <c r="J20" s="658"/>
      <c r="K20" s="658"/>
      <c r="L20" s="658"/>
      <c r="M20" s="658"/>
      <c r="N20" s="658"/>
      <c r="O20" s="656"/>
      <c r="P20" s="656"/>
      <c r="Q20" s="656"/>
      <c r="R20" s="656"/>
      <c r="S20" s="656"/>
      <c r="T20" s="656"/>
      <c r="U20" s="656"/>
      <c r="V20" s="656"/>
      <c r="W20" s="656"/>
      <c r="X20" s="656"/>
      <c r="Y20" s="656"/>
      <c r="Z20" s="656"/>
      <c r="BW20" s="923">
        <f>+BW4</f>
        <v>41395</v>
      </c>
      <c r="BX20" s="923">
        <f t="shared" ref="BX20:CI20" si="48">+BX4</f>
        <v>41426</v>
      </c>
      <c r="BY20" s="923">
        <f t="shared" si="48"/>
        <v>41456</v>
      </c>
      <c r="BZ20" s="923">
        <f t="shared" si="48"/>
        <v>41487</v>
      </c>
      <c r="CA20" s="923">
        <f t="shared" si="48"/>
        <v>41518</v>
      </c>
      <c r="CB20" s="923">
        <f t="shared" si="48"/>
        <v>41548</v>
      </c>
      <c r="CC20" s="923">
        <f t="shared" si="48"/>
        <v>41579</v>
      </c>
      <c r="CD20" s="923">
        <f t="shared" si="48"/>
        <v>41609</v>
      </c>
      <c r="CE20" s="923">
        <f t="shared" si="48"/>
        <v>41640</v>
      </c>
      <c r="CF20" s="923">
        <f t="shared" si="48"/>
        <v>41671</v>
      </c>
      <c r="CG20" s="923">
        <f t="shared" si="48"/>
        <v>41699</v>
      </c>
      <c r="CH20" s="923">
        <f t="shared" si="48"/>
        <v>41730</v>
      </c>
      <c r="CI20" s="923">
        <f t="shared" si="48"/>
        <v>41760</v>
      </c>
    </row>
    <row r="21" spans="1:102">
      <c r="B21" s="659"/>
      <c r="C21" s="660"/>
      <c r="D21" s="660"/>
      <c r="E21" s="660"/>
      <c r="F21" s="660"/>
      <c r="G21" s="660"/>
      <c r="H21" s="660"/>
      <c r="I21" s="660"/>
      <c r="J21" s="660"/>
      <c r="K21" s="660"/>
      <c r="L21" s="660"/>
      <c r="M21" s="660"/>
      <c r="N21" s="660"/>
      <c r="O21" s="661"/>
      <c r="P21" s="661"/>
      <c r="Q21" s="661"/>
      <c r="R21" s="661"/>
      <c r="S21" s="661"/>
      <c r="T21" s="661"/>
      <c r="U21" s="661"/>
      <c r="V21" s="661"/>
      <c r="W21" s="661"/>
      <c r="X21" s="661"/>
      <c r="Y21" s="661"/>
      <c r="Z21" s="661"/>
      <c r="AA21" s="651"/>
      <c r="AB21" s="649"/>
      <c r="AC21" s="662" t="str">
        <f>+AC16</f>
        <v>CERA</v>
      </c>
      <c r="AD21" s="662"/>
      <c r="AE21" s="662"/>
      <c r="AF21" s="662"/>
      <c r="AG21" s="662"/>
      <c r="AH21" s="662"/>
      <c r="AI21" s="662"/>
      <c r="AJ21" s="662"/>
      <c r="AK21" s="662"/>
      <c r="AL21" s="662"/>
      <c r="AM21" s="662"/>
      <c r="AN21" s="662"/>
      <c r="BW21" s="913">
        <v>3.99</v>
      </c>
      <c r="BX21" s="913">
        <v>3.98</v>
      </c>
      <c r="BY21" s="913">
        <v>4.21</v>
      </c>
      <c r="BZ21" s="913">
        <v>4.45</v>
      </c>
      <c r="CA21" s="913">
        <v>4.66</v>
      </c>
      <c r="CB21" s="913">
        <v>4.46</v>
      </c>
      <c r="CC21" s="913">
        <v>4.5599999999999996</v>
      </c>
      <c r="CD21" s="913">
        <v>4.8499999999999996</v>
      </c>
      <c r="CE21" s="913">
        <v>4.93</v>
      </c>
      <c r="CF21" s="913">
        <v>4.88</v>
      </c>
      <c r="CG21" s="913">
        <v>4.47</v>
      </c>
      <c r="CH21" s="913">
        <v>4.62</v>
      </c>
      <c r="CI21" s="913">
        <v>4.66</v>
      </c>
    </row>
    <row r="22" spans="1:102" s="634" customFormat="1">
      <c r="B22" s="659"/>
      <c r="C22" s="663"/>
      <c r="D22" s="663"/>
      <c r="E22" s="663"/>
      <c r="F22" s="663"/>
      <c r="G22" s="663"/>
      <c r="H22" s="663"/>
      <c r="I22" s="663"/>
      <c r="J22" s="663"/>
      <c r="K22" s="663"/>
      <c r="L22" s="663"/>
      <c r="M22" s="663"/>
      <c r="N22" s="663"/>
      <c r="O22" s="661"/>
      <c r="P22" s="661"/>
      <c r="Q22" s="661"/>
      <c r="R22" s="661"/>
      <c r="S22" s="664"/>
      <c r="T22" s="664"/>
      <c r="U22" s="664"/>
      <c r="V22" s="664"/>
      <c r="W22" s="664"/>
      <c r="X22" s="664"/>
      <c r="Y22" s="664"/>
      <c r="Z22" s="664"/>
      <c r="AA22" s="665"/>
      <c r="AB22" s="666"/>
      <c r="AC22" s="634" t="str">
        <f>+AC17</f>
        <v>PIRA</v>
      </c>
      <c r="BW22" s="914">
        <v>4.2</v>
      </c>
      <c r="BX22" s="914">
        <v>4.41</v>
      </c>
      <c r="BY22" s="914">
        <v>4.5199999999999996</v>
      </c>
      <c r="BZ22" s="914">
        <v>4.53</v>
      </c>
      <c r="CA22" s="914">
        <v>4.59</v>
      </c>
      <c r="CB22" s="914">
        <v>4.58</v>
      </c>
      <c r="CC22" s="914">
        <v>4.6500000000000004</v>
      </c>
      <c r="CD22" s="914">
        <v>4.78</v>
      </c>
      <c r="CE22" s="914">
        <v>4.5999999999999996</v>
      </c>
      <c r="CF22" s="914">
        <v>4.38</v>
      </c>
      <c r="CG22" s="914">
        <v>4.16</v>
      </c>
      <c r="CH22" s="914">
        <v>4.0199999999999996</v>
      </c>
      <c r="CI22" s="914">
        <v>3.98</v>
      </c>
    </row>
    <row r="23" spans="1:102">
      <c r="B23" s="659"/>
      <c r="C23" s="660"/>
      <c r="D23" s="660"/>
      <c r="E23" s="660"/>
      <c r="F23" s="660"/>
      <c r="G23" s="660"/>
      <c r="H23" s="660"/>
      <c r="I23" s="660"/>
      <c r="J23" s="660"/>
      <c r="K23" s="660"/>
      <c r="L23" s="660"/>
      <c r="M23" s="660"/>
      <c r="N23" s="660"/>
      <c r="O23" s="661"/>
      <c r="P23" s="661"/>
      <c r="Q23" s="661"/>
      <c r="R23" s="661"/>
      <c r="S23" s="661"/>
      <c r="T23" s="661"/>
      <c r="U23" s="661"/>
      <c r="V23" s="661"/>
      <c r="W23" s="661"/>
      <c r="X23" s="661"/>
      <c r="Y23" s="661"/>
      <c r="Z23" s="661"/>
      <c r="AA23" s="651"/>
      <c r="AC23" s="628" t="str">
        <f>+AC18</f>
        <v>Average</v>
      </c>
      <c r="BW23" s="921">
        <f t="shared" ref="BW23:CI23" si="49">ROUND(AVERAGE(BW21:BW22),2)</f>
        <v>4.0999999999999996</v>
      </c>
      <c r="BX23" s="921">
        <f t="shared" si="49"/>
        <v>4.2</v>
      </c>
      <c r="BY23" s="921">
        <f t="shared" si="49"/>
        <v>4.37</v>
      </c>
      <c r="BZ23" s="921">
        <f t="shared" si="49"/>
        <v>4.49</v>
      </c>
      <c r="CA23" s="921">
        <f t="shared" si="49"/>
        <v>4.63</v>
      </c>
      <c r="CB23" s="921">
        <f t="shared" si="49"/>
        <v>4.5199999999999996</v>
      </c>
      <c r="CC23" s="921">
        <f t="shared" si="49"/>
        <v>4.6100000000000003</v>
      </c>
      <c r="CD23" s="921">
        <f t="shared" si="49"/>
        <v>4.82</v>
      </c>
      <c r="CE23" s="921">
        <f t="shared" si="49"/>
        <v>4.7699999999999996</v>
      </c>
      <c r="CF23" s="921">
        <f t="shared" si="49"/>
        <v>4.63</v>
      </c>
      <c r="CG23" s="921">
        <f t="shared" si="49"/>
        <v>4.32</v>
      </c>
      <c r="CH23" s="921">
        <f t="shared" si="49"/>
        <v>4.32</v>
      </c>
      <c r="CI23" s="921">
        <f t="shared" si="49"/>
        <v>4.32</v>
      </c>
      <c r="CJ23" s="920">
        <f>AVERAGE(BW23:CI23)</f>
        <v>4.4692307692307702</v>
      </c>
    </row>
    <row r="24" spans="1:102">
      <c r="B24" s="659"/>
      <c r="C24" s="660"/>
      <c r="D24" s="660"/>
      <c r="E24" s="660"/>
      <c r="F24" s="660"/>
      <c r="G24" s="660"/>
      <c r="H24" s="660"/>
      <c r="I24" s="660"/>
      <c r="J24" s="660"/>
      <c r="K24" s="660"/>
      <c r="L24" s="660"/>
      <c r="M24" s="660"/>
      <c r="N24" s="660"/>
      <c r="O24" s="661"/>
      <c r="P24" s="661"/>
      <c r="Q24" s="661"/>
      <c r="R24" s="661"/>
      <c r="S24" s="661"/>
      <c r="T24" s="661"/>
      <c r="U24" s="661"/>
      <c r="V24" s="661"/>
      <c r="W24" s="661"/>
      <c r="X24" s="661"/>
      <c r="Y24" s="661"/>
      <c r="Z24" s="661"/>
      <c r="AA24" s="651"/>
    </row>
    <row r="25" spans="1:102" s="634" customFormat="1">
      <c r="B25" s="659"/>
      <c r="C25" s="663"/>
      <c r="D25" s="663"/>
      <c r="E25" s="663"/>
      <c r="F25" s="663"/>
      <c r="G25" s="663"/>
      <c r="H25" s="663"/>
      <c r="I25" s="663"/>
      <c r="J25" s="663"/>
      <c r="K25" s="663"/>
      <c r="L25" s="663"/>
      <c r="M25" s="663"/>
      <c r="N25" s="663"/>
      <c r="O25" s="661"/>
      <c r="P25" s="661"/>
      <c r="Q25" s="661"/>
      <c r="R25" s="661"/>
      <c r="S25" s="661"/>
      <c r="T25" s="661"/>
      <c r="U25" s="661"/>
      <c r="V25" s="661"/>
      <c r="W25" s="661"/>
      <c r="X25" s="661"/>
      <c r="Y25" s="661"/>
      <c r="Z25" s="661"/>
      <c r="AA25" s="665"/>
      <c r="AB25" s="665"/>
    </row>
    <row r="26" spans="1:102" s="634" customFormat="1">
      <c r="B26" s="659"/>
      <c r="C26" s="663"/>
      <c r="D26" s="663"/>
      <c r="E26" s="663"/>
      <c r="F26" s="663"/>
      <c r="G26" s="663"/>
      <c r="H26" s="663"/>
      <c r="I26" s="663"/>
      <c r="J26" s="663"/>
      <c r="K26" s="663"/>
      <c r="L26" s="663"/>
      <c r="M26" s="663"/>
      <c r="N26" s="663"/>
      <c r="O26" s="661"/>
      <c r="P26" s="661"/>
      <c r="Q26" s="661"/>
      <c r="R26" s="661"/>
      <c r="S26" s="661"/>
      <c r="T26" s="661"/>
      <c r="U26" s="661"/>
      <c r="V26" s="661"/>
      <c r="W26" s="661"/>
      <c r="X26" s="661"/>
      <c r="Y26" s="661"/>
      <c r="Z26" s="661"/>
      <c r="AA26" s="665"/>
      <c r="AB26" s="665"/>
    </row>
    <row r="27" spans="1:102">
      <c r="A27" s="634"/>
      <c r="B27" s="659"/>
      <c r="C27" s="660"/>
      <c r="D27" s="660"/>
      <c r="E27" s="660"/>
      <c r="F27" s="660"/>
      <c r="G27" s="660"/>
      <c r="H27" s="660"/>
      <c r="I27" s="660"/>
      <c r="J27" s="660"/>
      <c r="K27" s="660"/>
      <c r="L27" s="660"/>
      <c r="M27" s="660"/>
      <c r="N27" s="660"/>
      <c r="O27" s="661"/>
      <c r="P27" s="661"/>
      <c r="Q27" s="661"/>
      <c r="R27" s="661"/>
      <c r="S27" s="661"/>
      <c r="T27" s="661"/>
      <c r="U27" s="661"/>
      <c r="V27" s="661"/>
      <c r="W27" s="661"/>
      <c r="X27" s="661"/>
      <c r="Y27" s="661"/>
      <c r="Z27" s="661"/>
      <c r="AA27" s="651"/>
      <c r="AB27" s="662"/>
    </row>
    <row r="28" spans="1:102" s="634" customFormat="1">
      <c r="B28" s="659"/>
      <c r="C28" s="663"/>
      <c r="D28" s="663"/>
      <c r="E28" s="663"/>
      <c r="F28" s="663"/>
      <c r="G28" s="663"/>
      <c r="H28" s="663"/>
      <c r="I28" s="663"/>
      <c r="J28" s="663"/>
      <c r="K28" s="663"/>
      <c r="L28" s="663"/>
      <c r="M28" s="663"/>
      <c r="N28" s="663"/>
      <c r="O28" s="661"/>
      <c r="P28" s="661"/>
      <c r="Q28" s="661"/>
      <c r="R28" s="661"/>
      <c r="S28" s="661"/>
      <c r="T28" s="661"/>
      <c r="U28" s="661"/>
      <c r="V28" s="661"/>
      <c r="W28" s="661"/>
      <c r="X28" s="661"/>
      <c r="Y28" s="661"/>
      <c r="Z28" s="661"/>
      <c r="AA28" s="665"/>
    </row>
    <row r="29" spans="1:102" s="634" customFormat="1">
      <c r="B29" s="659"/>
      <c r="C29" s="663"/>
      <c r="D29" s="663"/>
      <c r="E29" s="663"/>
      <c r="F29" s="663"/>
      <c r="G29" s="663"/>
      <c r="H29" s="663"/>
      <c r="I29" s="663"/>
      <c r="J29" s="663"/>
      <c r="K29" s="663"/>
      <c r="L29" s="663"/>
      <c r="M29" s="663"/>
      <c r="N29" s="663"/>
      <c r="O29" s="661"/>
      <c r="P29" s="661"/>
      <c r="Q29" s="661"/>
      <c r="R29" s="661"/>
      <c r="S29" s="664"/>
      <c r="T29" s="664"/>
      <c r="U29" s="664"/>
      <c r="V29" s="664"/>
      <c r="W29" s="664"/>
      <c r="X29" s="664"/>
      <c r="Y29" s="664"/>
      <c r="Z29" s="664"/>
      <c r="AA29" s="665"/>
      <c r="AB29" s="665"/>
    </row>
    <row r="30" spans="1:102" s="634" customFormat="1">
      <c r="B30" s="659"/>
      <c r="C30" s="663"/>
      <c r="D30" s="663"/>
      <c r="E30" s="663"/>
      <c r="F30" s="663"/>
      <c r="G30" s="663"/>
      <c r="H30" s="663"/>
      <c r="I30" s="663"/>
      <c r="J30" s="663"/>
      <c r="K30" s="663"/>
      <c r="L30" s="663"/>
      <c r="M30" s="663"/>
      <c r="N30" s="663"/>
      <c r="O30" s="661"/>
      <c r="P30" s="661"/>
      <c r="Q30" s="661"/>
      <c r="R30" s="661"/>
      <c r="S30" s="664"/>
      <c r="T30" s="664"/>
      <c r="U30" s="664"/>
      <c r="V30" s="664"/>
      <c r="W30" s="664"/>
      <c r="X30" s="664"/>
      <c r="Y30" s="664"/>
      <c r="Z30" s="664"/>
      <c r="AA30" s="665"/>
      <c r="AB30" s="665"/>
    </row>
    <row r="31" spans="1:102">
      <c r="B31" s="659"/>
      <c r="C31" s="660"/>
      <c r="D31" s="660"/>
      <c r="E31" s="660"/>
      <c r="F31" s="660"/>
      <c r="G31" s="660"/>
      <c r="H31" s="660"/>
      <c r="I31" s="660"/>
      <c r="J31" s="660"/>
      <c r="K31" s="660"/>
      <c r="L31" s="660"/>
      <c r="M31" s="660"/>
      <c r="N31" s="660"/>
      <c r="O31" s="661"/>
      <c r="P31" s="661"/>
      <c r="Q31" s="661"/>
      <c r="R31" s="661"/>
      <c r="S31" s="661"/>
      <c r="T31" s="661"/>
      <c r="U31" s="661"/>
      <c r="V31" s="661"/>
      <c r="W31" s="661"/>
      <c r="X31" s="661"/>
      <c r="Y31" s="661"/>
      <c r="Z31" s="661"/>
      <c r="AA31" s="651"/>
    </row>
    <row r="32" spans="1:102" s="634" customFormat="1">
      <c r="B32" s="659"/>
      <c r="C32" s="663"/>
      <c r="D32" s="663"/>
      <c r="E32" s="663"/>
      <c r="F32" s="663"/>
      <c r="G32" s="663"/>
      <c r="H32" s="663"/>
      <c r="I32" s="663"/>
      <c r="J32" s="663"/>
      <c r="K32" s="663"/>
      <c r="L32" s="663"/>
      <c r="M32" s="663"/>
      <c r="N32" s="663"/>
      <c r="O32" s="661"/>
      <c r="P32" s="661"/>
      <c r="Q32" s="661"/>
      <c r="R32" s="661"/>
      <c r="S32" s="667"/>
      <c r="T32" s="664"/>
      <c r="U32" s="664"/>
      <c r="V32" s="664"/>
      <c r="W32" s="664"/>
      <c r="X32" s="664"/>
      <c r="Y32" s="664"/>
      <c r="Z32" s="664"/>
      <c r="AA32" s="665"/>
      <c r="AB32" s="665"/>
    </row>
    <row r="33" spans="1:28" s="634" customFormat="1">
      <c r="B33" s="659"/>
      <c r="C33" s="663"/>
      <c r="D33" s="663"/>
      <c r="E33" s="663"/>
      <c r="F33" s="663"/>
      <c r="G33" s="663"/>
      <c r="H33" s="663"/>
      <c r="I33" s="663"/>
      <c r="J33" s="663"/>
      <c r="K33" s="663"/>
      <c r="L33" s="663"/>
      <c r="M33" s="663"/>
      <c r="N33" s="663"/>
      <c r="O33" s="661"/>
      <c r="P33" s="661"/>
      <c r="Q33" s="661"/>
      <c r="R33" s="661"/>
      <c r="S33" s="667"/>
      <c r="T33" s="664"/>
      <c r="U33" s="664"/>
      <c r="V33" s="664"/>
      <c r="W33" s="664"/>
      <c r="X33" s="664"/>
      <c r="Y33" s="664"/>
      <c r="Z33" s="664"/>
      <c r="AA33" s="665"/>
      <c r="AB33" s="665"/>
    </row>
    <row r="34" spans="1:28" s="634" customFormat="1">
      <c r="B34" s="659"/>
      <c r="C34" s="663"/>
      <c r="D34" s="663"/>
      <c r="E34" s="663"/>
      <c r="F34" s="663"/>
      <c r="G34" s="663"/>
      <c r="H34" s="663"/>
      <c r="I34" s="663"/>
      <c r="J34" s="663"/>
      <c r="K34" s="663"/>
      <c r="L34" s="663"/>
      <c r="M34" s="663"/>
      <c r="N34" s="663"/>
      <c r="O34" s="667"/>
      <c r="P34" s="667"/>
      <c r="Q34" s="667"/>
      <c r="R34" s="667"/>
      <c r="S34" s="664"/>
      <c r="T34" s="664"/>
      <c r="U34" s="664"/>
      <c r="V34" s="664"/>
      <c r="W34" s="664"/>
      <c r="X34" s="664"/>
      <c r="Y34" s="664"/>
      <c r="Z34" s="664"/>
      <c r="AA34" s="665"/>
      <c r="AB34" s="665"/>
    </row>
    <row r="35" spans="1:28">
      <c r="B35" s="659"/>
      <c r="C35" s="660"/>
      <c r="D35" s="660"/>
      <c r="E35" s="660"/>
      <c r="F35" s="660"/>
      <c r="G35" s="660"/>
      <c r="H35" s="660"/>
      <c r="I35" s="660"/>
      <c r="J35" s="660"/>
      <c r="K35" s="660"/>
      <c r="L35" s="660"/>
      <c r="M35" s="660"/>
      <c r="N35" s="660"/>
      <c r="O35" s="668"/>
      <c r="P35" s="668"/>
      <c r="Q35" s="668"/>
      <c r="R35" s="668"/>
      <c r="S35" s="661"/>
      <c r="T35" s="661"/>
      <c r="U35" s="661"/>
      <c r="V35" s="661"/>
      <c r="W35" s="661"/>
      <c r="X35" s="661"/>
      <c r="Y35" s="661"/>
      <c r="Z35" s="661"/>
      <c r="AA35" s="651"/>
      <c r="AB35" s="651"/>
    </row>
    <row r="36" spans="1:28" s="634" customFormat="1">
      <c r="B36" s="659"/>
      <c r="C36" s="663"/>
      <c r="D36" s="663"/>
      <c r="E36" s="663"/>
      <c r="F36" s="663"/>
      <c r="G36" s="663"/>
      <c r="H36" s="663"/>
      <c r="I36" s="663"/>
      <c r="J36" s="663"/>
      <c r="K36" s="663"/>
      <c r="L36" s="663"/>
      <c r="M36" s="663"/>
      <c r="N36" s="663"/>
      <c r="O36" s="667"/>
      <c r="P36" s="667"/>
      <c r="Q36" s="667"/>
      <c r="R36" s="667"/>
      <c r="S36" s="667"/>
      <c r="T36" s="664"/>
      <c r="U36" s="664"/>
      <c r="V36" s="664"/>
      <c r="W36" s="664"/>
      <c r="X36" s="664"/>
      <c r="Y36" s="664"/>
      <c r="Z36" s="664"/>
      <c r="AA36" s="665"/>
      <c r="AB36" s="665"/>
    </row>
    <row r="37" spans="1:28" s="634" customFormat="1">
      <c r="B37" s="659"/>
      <c r="C37" s="663"/>
      <c r="D37" s="663"/>
      <c r="E37" s="663"/>
      <c r="F37" s="663"/>
      <c r="G37" s="663"/>
      <c r="H37" s="663"/>
      <c r="I37" s="663"/>
      <c r="J37" s="663"/>
      <c r="K37" s="663"/>
      <c r="L37" s="663"/>
      <c r="M37" s="663"/>
      <c r="N37" s="663"/>
      <c r="O37" s="667"/>
      <c r="P37" s="667"/>
      <c r="Q37" s="667"/>
      <c r="R37" s="667"/>
      <c r="S37" s="664"/>
      <c r="T37" s="664"/>
      <c r="U37" s="664"/>
      <c r="V37" s="664"/>
      <c r="W37" s="664"/>
      <c r="X37" s="664"/>
      <c r="Y37" s="664"/>
      <c r="Z37" s="664"/>
      <c r="AA37" s="665"/>
      <c r="AB37" s="665"/>
    </row>
    <row r="38" spans="1:28" s="634" customFormat="1">
      <c r="B38" s="659"/>
      <c r="C38" s="663"/>
      <c r="D38" s="663"/>
      <c r="E38" s="663"/>
      <c r="F38" s="663"/>
      <c r="G38" s="663"/>
      <c r="H38" s="663"/>
      <c r="I38" s="663"/>
      <c r="J38" s="663"/>
      <c r="K38" s="663"/>
      <c r="L38" s="663"/>
      <c r="M38" s="663"/>
      <c r="N38" s="663"/>
      <c r="O38" s="667"/>
      <c r="P38" s="667"/>
      <c r="Q38" s="667"/>
      <c r="R38" s="667"/>
      <c r="S38" s="664"/>
      <c r="T38" s="664"/>
      <c r="U38" s="664"/>
      <c r="V38" s="664"/>
      <c r="W38" s="664"/>
      <c r="X38" s="664"/>
      <c r="Y38" s="664"/>
      <c r="Z38" s="664"/>
      <c r="AA38" s="665"/>
      <c r="AB38" s="665"/>
    </row>
    <row r="39" spans="1:28" s="634" customFormat="1">
      <c r="B39" s="659"/>
      <c r="C39" s="663"/>
      <c r="D39" s="663"/>
      <c r="E39" s="663"/>
      <c r="F39" s="663"/>
      <c r="G39" s="663"/>
      <c r="H39" s="663"/>
      <c r="I39" s="663"/>
      <c r="J39" s="663"/>
      <c r="K39" s="663"/>
      <c r="L39" s="663"/>
      <c r="M39" s="663"/>
      <c r="N39" s="663"/>
      <c r="O39" s="667"/>
      <c r="P39" s="667"/>
      <c r="Q39" s="667"/>
      <c r="R39" s="667"/>
      <c r="S39" s="664"/>
      <c r="T39" s="664"/>
      <c r="U39" s="664"/>
      <c r="V39" s="664"/>
      <c r="W39" s="664"/>
      <c r="X39" s="664"/>
      <c r="Y39" s="664"/>
      <c r="Z39" s="664"/>
      <c r="AA39" s="665"/>
      <c r="AB39" s="665"/>
    </row>
    <row r="40" spans="1:28" s="634" customFormat="1">
      <c r="B40" s="659"/>
      <c r="C40" s="663"/>
      <c r="D40" s="663"/>
      <c r="E40" s="663"/>
      <c r="F40" s="663"/>
      <c r="G40" s="663"/>
      <c r="H40" s="663"/>
      <c r="I40" s="663"/>
      <c r="J40" s="663"/>
      <c r="K40" s="663"/>
      <c r="L40" s="663"/>
      <c r="M40" s="663"/>
      <c r="N40" s="663"/>
      <c r="O40" s="667"/>
      <c r="P40" s="664"/>
      <c r="Q40" s="664"/>
      <c r="R40" s="664"/>
      <c r="S40" s="664"/>
      <c r="T40" s="664"/>
      <c r="U40" s="664"/>
      <c r="V40" s="664"/>
      <c r="W40" s="664"/>
      <c r="X40" s="664"/>
      <c r="Y40" s="664"/>
      <c r="Z40" s="664"/>
      <c r="AA40" s="665"/>
      <c r="AB40" s="665"/>
    </row>
    <row r="41" spans="1:28" s="634" customFormat="1">
      <c r="B41" s="659"/>
      <c r="C41" s="663"/>
      <c r="D41" s="663"/>
      <c r="E41" s="663"/>
      <c r="F41" s="663"/>
      <c r="G41" s="663"/>
      <c r="H41" s="663"/>
      <c r="I41" s="663"/>
      <c r="J41" s="663"/>
      <c r="K41" s="663"/>
      <c r="L41" s="663"/>
      <c r="M41" s="663"/>
      <c r="N41" s="663"/>
      <c r="O41" s="668"/>
      <c r="P41" s="668"/>
      <c r="Q41" s="668"/>
      <c r="R41" s="668"/>
      <c r="S41" s="661"/>
      <c r="T41" s="661"/>
      <c r="U41" s="661"/>
      <c r="V41" s="661"/>
      <c r="W41" s="661"/>
      <c r="X41" s="661"/>
      <c r="Y41" s="661"/>
      <c r="Z41" s="661"/>
      <c r="AA41" s="665"/>
      <c r="AB41" s="665"/>
    </row>
    <row r="42" spans="1:28" s="634" customFormat="1">
      <c r="B42" s="659"/>
      <c r="C42" s="663"/>
      <c r="D42" s="663"/>
      <c r="E42" s="663"/>
      <c r="F42" s="663"/>
      <c r="G42" s="663"/>
      <c r="H42" s="663"/>
      <c r="I42" s="663"/>
      <c r="J42" s="663"/>
      <c r="K42" s="663"/>
      <c r="L42" s="663"/>
      <c r="M42" s="663"/>
      <c r="N42" s="663"/>
      <c r="O42" s="667"/>
      <c r="P42" s="667"/>
      <c r="Q42" s="667"/>
      <c r="R42" s="667"/>
      <c r="S42" s="667"/>
      <c r="T42" s="664"/>
      <c r="U42" s="664"/>
      <c r="V42" s="664"/>
      <c r="W42" s="664"/>
      <c r="X42" s="664"/>
      <c r="Y42" s="664"/>
      <c r="Z42" s="664"/>
      <c r="AA42" s="665"/>
      <c r="AB42" s="665"/>
    </row>
    <row r="43" spans="1:28">
      <c r="A43" s="634"/>
      <c r="B43" s="659"/>
      <c r="C43" s="660"/>
      <c r="D43" s="660"/>
      <c r="E43" s="660"/>
      <c r="F43" s="660"/>
      <c r="G43" s="660"/>
      <c r="H43" s="660"/>
      <c r="I43" s="660"/>
      <c r="J43" s="660"/>
      <c r="K43" s="660"/>
      <c r="L43" s="660"/>
      <c r="M43" s="660"/>
      <c r="N43" s="660"/>
      <c r="O43" s="661"/>
      <c r="P43" s="661"/>
      <c r="Q43" s="661"/>
      <c r="R43" s="661"/>
      <c r="S43" s="661"/>
      <c r="T43" s="661"/>
      <c r="U43" s="661"/>
      <c r="V43" s="661"/>
      <c r="W43" s="661"/>
      <c r="X43" s="661"/>
      <c r="Y43" s="661"/>
      <c r="Z43" s="661"/>
      <c r="AA43" s="651"/>
    </row>
    <row r="44" spans="1:28" s="634" customFormat="1">
      <c r="B44" s="659"/>
      <c r="C44" s="663"/>
      <c r="D44" s="663"/>
      <c r="E44" s="663"/>
      <c r="F44" s="663"/>
      <c r="G44" s="663"/>
      <c r="H44" s="663"/>
      <c r="I44" s="663"/>
      <c r="J44" s="663"/>
      <c r="K44" s="663"/>
      <c r="L44" s="663"/>
      <c r="M44" s="663"/>
      <c r="N44" s="663"/>
      <c r="O44" s="667"/>
      <c r="P44" s="664"/>
      <c r="Q44" s="664"/>
      <c r="R44" s="664"/>
      <c r="S44" s="664"/>
      <c r="T44" s="664"/>
      <c r="U44" s="664"/>
      <c r="V44" s="664"/>
      <c r="W44" s="664"/>
      <c r="X44" s="664"/>
      <c r="Y44" s="664"/>
      <c r="Z44" s="664"/>
      <c r="AA44" s="665"/>
      <c r="AB44" s="665"/>
    </row>
    <row r="45" spans="1:28" s="634" customFormat="1">
      <c r="B45" s="659"/>
      <c r="C45" s="663"/>
      <c r="D45" s="663"/>
      <c r="E45" s="663"/>
      <c r="F45" s="663"/>
      <c r="G45" s="663"/>
      <c r="H45" s="663"/>
      <c r="I45" s="663"/>
      <c r="J45" s="663"/>
      <c r="K45" s="663"/>
      <c r="L45" s="663"/>
      <c r="M45" s="663"/>
      <c r="N45" s="663"/>
      <c r="O45" s="667"/>
      <c r="P45" s="667"/>
      <c r="Q45" s="664"/>
      <c r="R45" s="664"/>
      <c r="S45" s="664"/>
      <c r="T45" s="664"/>
      <c r="U45" s="664"/>
      <c r="V45" s="664"/>
      <c r="W45" s="664"/>
      <c r="X45" s="664"/>
      <c r="Y45" s="664"/>
      <c r="Z45" s="664"/>
      <c r="AA45" s="665"/>
      <c r="AB45" s="665"/>
    </row>
    <row r="46" spans="1:28" s="634" customFormat="1">
      <c r="B46" s="659"/>
      <c r="C46" s="663"/>
      <c r="D46" s="663"/>
      <c r="E46" s="663"/>
      <c r="F46" s="663"/>
      <c r="G46" s="663"/>
      <c r="H46" s="663"/>
      <c r="I46" s="663"/>
      <c r="J46" s="663"/>
      <c r="K46" s="663"/>
      <c r="L46" s="663"/>
      <c r="M46" s="663"/>
      <c r="N46" s="663"/>
      <c r="O46" s="664"/>
      <c r="P46" s="664"/>
      <c r="Q46" s="667"/>
      <c r="R46" s="667"/>
      <c r="S46" s="667"/>
      <c r="T46" s="664"/>
      <c r="U46" s="664"/>
      <c r="V46" s="664"/>
      <c r="W46" s="664"/>
      <c r="X46" s="664"/>
      <c r="Y46" s="664"/>
      <c r="Z46" s="664"/>
      <c r="AA46" s="665"/>
      <c r="AB46" s="665"/>
    </row>
    <row r="47" spans="1:28" s="634" customFormat="1">
      <c r="B47" s="659"/>
      <c r="C47" s="663"/>
      <c r="D47" s="663"/>
      <c r="E47" s="663"/>
      <c r="F47" s="663"/>
      <c r="G47" s="663"/>
      <c r="H47" s="663"/>
      <c r="I47" s="663"/>
      <c r="J47" s="663"/>
      <c r="K47" s="663"/>
      <c r="L47" s="663"/>
      <c r="M47" s="663"/>
      <c r="N47" s="663"/>
      <c r="O47" s="664"/>
      <c r="P47" s="661"/>
      <c r="Q47" s="661"/>
      <c r="R47" s="661"/>
      <c r="S47" s="661"/>
      <c r="T47" s="661"/>
      <c r="U47" s="661"/>
      <c r="V47" s="661"/>
      <c r="W47" s="661"/>
      <c r="X47" s="661"/>
      <c r="Y47" s="661"/>
      <c r="Z47" s="661"/>
      <c r="AA47" s="665"/>
    </row>
    <row r="48" spans="1:28" s="634" customFormat="1">
      <c r="B48" s="659"/>
      <c r="C48" s="663"/>
      <c r="D48" s="663"/>
      <c r="E48" s="663"/>
      <c r="F48" s="663"/>
      <c r="G48" s="663"/>
      <c r="H48" s="663"/>
      <c r="I48" s="663"/>
      <c r="J48" s="663"/>
      <c r="K48" s="663"/>
      <c r="L48" s="663"/>
      <c r="M48" s="663"/>
      <c r="N48" s="663"/>
      <c r="O48" s="669"/>
      <c r="P48" s="667"/>
      <c r="Q48" s="667"/>
      <c r="R48" s="667"/>
      <c r="S48" s="667"/>
      <c r="T48" s="664"/>
      <c r="U48" s="664"/>
      <c r="V48" s="664"/>
      <c r="W48" s="664"/>
      <c r="X48" s="664"/>
      <c r="Y48" s="664"/>
      <c r="Z48" s="664"/>
      <c r="AA48" s="665"/>
      <c r="AB48" s="665"/>
    </row>
    <row r="49" spans="2:28" s="634" customFormat="1">
      <c r="B49" s="659"/>
      <c r="C49" s="663"/>
      <c r="D49" s="663"/>
      <c r="E49" s="663"/>
      <c r="F49" s="663"/>
      <c r="G49" s="663"/>
      <c r="H49" s="663"/>
      <c r="I49" s="663"/>
      <c r="J49" s="663"/>
      <c r="K49" s="663"/>
      <c r="L49" s="663"/>
      <c r="M49" s="663"/>
      <c r="N49" s="663"/>
      <c r="O49" s="669"/>
      <c r="P49" s="669"/>
      <c r="Q49" s="669"/>
      <c r="R49" s="669"/>
      <c r="S49" s="667"/>
      <c r="T49" s="664"/>
      <c r="U49" s="664"/>
      <c r="V49" s="664"/>
      <c r="W49" s="664"/>
      <c r="X49" s="664"/>
      <c r="Y49" s="664"/>
      <c r="Z49" s="664"/>
      <c r="AA49" s="665"/>
      <c r="AB49" s="665"/>
    </row>
    <row r="50" spans="2:28" s="634" customFormat="1">
      <c r="B50" s="659"/>
      <c r="C50" s="663"/>
      <c r="D50" s="663"/>
      <c r="E50" s="663"/>
      <c r="F50" s="663"/>
      <c r="G50" s="663"/>
      <c r="H50" s="663"/>
      <c r="I50" s="663"/>
      <c r="J50" s="663"/>
      <c r="K50" s="663"/>
      <c r="L50" s="663"/>
      <c r="M50" s="663"/>
      <c r="N50" s="663"/>
      <c r="O50" s="667"/>
      <c r="P50" s="667"/>
      <c r="Q50" s="667"/>
      <c r="R50" s="667"/>
      <c r="S50" s="667"/>
      <c r="T50" s="664"/>
      <c r="U50" s="664"/>
      <c r="V50" s="664"/>
      <c r="W50" s="664"/>
      <c r="X50" s="664"/>
      <c r="Y50" s="664"/>
      <c r="Z50" s="664"/>
      <c r="AA50" s="665"/>
      <c r="AB50" s="665"/>
    </row>
    <row r="51" spans="2:28" s="634" customFormat="1">
      <c r="B51" s="659"/>
      <c r="C51" s="663"/>
      <c r="D51" s="663"/>
      <c r="E51" s="663"/>
      <c r="F51" s="663"/>
      <c r="G51" s="663"/>
      <c r="H51" s="663"/>
      <c r="I51" s="663"/>
      <c r="J51" s="663"/>
      <c r="K51" s="663"/>
      <c r="L51" s="663"/>
      <c r="M51" s="663"/>
      <c r="N51" s="663"/>
      <c r="O51" s="667"/>
      <c r="P51" s="667"/>
      <c r="Q51" s="667"/>
      <c r="R51" s="667"/>
      <c r="S51" s="667"/>
      <c r="T51" s="664"/>
      <c r="U51" s="664"/>
      <c r="V51" s="664"/>
      <c r="W51" s="664"/>
      <c r="X51" s="664"/>
      <c r="Y51" s="664"/>
      <c r="Z51" s="664"/>
      <c r="AA51" s="665"/>
      <c r="AB51" s="665"/>
    </row>
    <row r="52" spans="2:28" s="634" customFormat="1">
      <c r="B52" s="659"/>
      <c r="C52" s="663"/>
      <c r="D52" s="663"/>
      <c r="E52" s="663"/>
      <c r="F52" s="663"/>
      <c r="G52" s="663"/>
      <c r="H52" s="663"/>
      <c r="I52" s="663"/>
      <c r="J52" s="663"/>
      <c r="K52" s="663"/>
      <c r="L52" s="663"/>
      <c r="M52" s="663"/>
      <c r="N52" s="663"/>
      <c r="O52" s="667"/>
      <c r="P52" s="667"/>
      <c r="Q52" s="667"/>
      <c r="R52" s="667"/>
      <c r="S52" s="667"/>
      <c r="T52" s="664"/>
      <c r="U52" s="664"/>
      <c r="V52" s="664"/>
      <c r="W52" s="664"/>
      <c r="X52" s="664"/>
      <c r="Y52" s="664"/>
      <c r="Z52" s="664"/>
      <c r="AA52" s="665"/>
      <c r="AB52" s="665"/>
    </row>
    <row r="53" spans="2:28" s="634" customFormat="1">
      <c r="B53" s="659"/>
      <c r="C53" s="663"/>
      <c r="D53" s="663"/>
      <c r="E53" s="663"/>
      <c r="F53" s="663"/>
      <c r="G53" s="663"/>
      <c r="H53" s="663"/>
      <c r="I53" s="663"/>
      <c r="J53" s="663"/>
      <c r="K53" s="663"/>
      <c r="L53" s="663"/>
      <c r="M53" s="663"/>
      <c r="N53" s="663"/>
      <c r="O53" s="664"/>
      <c r="P53" s="664"/>
      <c r="Q53" s="664"/>
      <c r="R53" s="664"/>
      <c r="S53" s="664"/>
      <c r="T53" s="664"/>
      <c r="U53" s="664"/>
      <c r="V53" s="664"/>
      <c r="W53" s="664"/>
      <c r="X53" s="664"/>
      <c r="Y53" s="664"/>
      <c r="Z53" s="664"/>
      <c r="AA53" s="665"/>
    </row>
    <row r="54" spans="2:28" s="634" customFormat="1" ht="12" customHeight="1">
      <c r="B54" s="659"/>
      <c r="C54" s="663"/>
      <c r="D54" s="663"/>
      <c r="E54" s="663"/>
      <c r="F54" s="663"/>
      <c r="G54" s="663"/>
      <c r="H54" s="663"/>
      <c r="I54" s="663"/>
      <c r="J54" s="663"/>
      <c r="K54" s="663"/>
      <c r="L54" s="663"/>
      <c r="M54" s="663"/>
      <c r="N54" s="663"/>
      <c r="O54" s="669"/>
      <c r="P54" s="669"/>
      <c r="Q54" s="669"/>
      <c r="R54" s="669"/>
      <c r="S54" s="664"/>
      <c r="T54" s="664"/>
      <c r="U54" s="664"/>
      <c r="V54" s="664"/>
      <c r="W54" s="664"/>
      <c r="X54" s="664"/>
      <c r="Y54" s="664"/>
      <c r="Z54" s="664"/>
      <c r="AA54" s="665"/>
      <c r="AB54" s="665"/>
    </row>
    <row r="55" spans="2:28" s="634" customFormat="1">
      <c r="B55" s="659"/>
      <c r="C55" s="663"/>
      <c r="D55" s="663"/>
      <c r="E55" s="663"/>
      <c r="F55" s="663"/>
      <c r="G55" s="663"/>
      <c r="H55" s="663"/>
      <c r="I55" s="663"/>
      <c r="J55" s="663"/>
      <c r="K55" s="663"/>
      <c r="L55" s="663"/>
      <c r="M55" s="663"/>
      <c r="N55" s="663"/>
      <c r="O55" s="661"/>
      <c r="P55" s="661"/>
      <c r="Q55" s="661"/>
      <c r="R55" s="661"/>
      <c r="S55" s="661"/>
      <c r="T55" s="661"/>
      <c r="U55" s="661"/>
      <c r="V55" s="661"/>
      <c r="W55" s="661"/>
      <c r="X55" s="661"/>
      <c r="Y55" s="661"/>
      <c r="Z55" s="661"/>
      <c r="AA55" s="665"/>
    </row>
    <row r="56" spans="2:28" s="634" customFormat="1">
      <c r="B56" s="659"/>
      <c r="C56" s="663"/>
      <c r="D56" s="663"/>
      <c r="E56" s="663"/>
      <c r="F56" s="663"/>
      <c r="G56" s="663"/>
      <c r="H56" s="663"/>
      <c r="I56" s="663"/>
      <c r="J56" s="663"/>
      <c r="K56" s="663"/>
      <c r="L56" s="663"/>
      <c r="M56" s="663"/>
      <c r="N56" s="663"/>
      <c r="O56" s="661"/>
      <c r="P56" s="661"/>
      <c r="Q56" s="661"/>
      <c r="R56" s="661"/>
      <c r="S56" s="661"/>
      <c r="T56" s="661"/>
      <c r="U56" s="661"/>
      <c r="V56" s="661"/>
      <c r="W56" s="661"/>
      <c r="X56" s="661"/>
      <c r="Y56" s="661"/>
      <c r="Z56" s="661"/>
      <c r="AA56" s="665"/>
    </row>
    <row r="57" spans="2:28" s="634" customFormat="1">
      <c r="B57" s="659"/>
      <c r="C57" s="663"/>
      <c r="D57" s="663"/>
      <c r="E57" s="663"/>
      <c r="F57" s="663"/>
      <c r="G57" s="663"/>
      <c r="H57" s="663"/>
      <c r="I57" s="663"/>
      <c r="J57" s="663"/>
      <c r="K57" s="663"/>
      <c r="L57" s="663"/>
      <c r="M57" s="663"/>
      <c r="N57" s="663"/>
      <c r="O57" s="664"/>
      <c r="P57" s="661"/>
      <c r="Q57" s="661"/>
      <c r="R57" s="661"/>
      <c r="S57" s="661"/>
      <c r="T57" s="661"/>
      <c r="U57" s="661"/>
      <c r="V57" s="661"/>
      <c r="W57" s="661"/>
      <c r="X57" s="661"/>
      <c r="Y57" s="661"/>
      <c r="Z57" s="661"/>
      <c r="AA57" s="665"/>
    </row>
    <row r="58" spans="2:28" s="634" customFormat="1">
      <c r="B58" s="659"/>
      <c r="C58" s="663"/>
      <c r="D58" s="663"/>
      <c r="E58" s="663"/>
      <c r="F58" s="663"/>
      <c r="G58" s="663"/>
      <c r="H58" s="663"/>
      <c r="I58" s="663"/>
      <c r="J58" s="663"/>
      <c r="K58" s="663"/>
      <c r="L58" s="663"/>
      <c r="M58" s="663"/>
      <c r="N58" s="663"/>
      <c r="O58" s="664"/>
      <c r="P58" s="661"/>
      <c r="Q58" s="661"/>
      <c r="R58" s="661"/>
      <c r="S58" s="661"/>
      <c r="T58" s="661"/>
      <c r="U58" s="661"/>
      <c r="V58" s="661"/>
      <c r="W58" s="661"/>
      <c r="X58" s="661"/>
      <c r="Y58" s="661"/>
      <c r="Z58" s="661"/>
      <c r="AA58" s="665"/>
    </row>
    <row r="59" spans="2:28" s="634" customFormat="1">
      <c r="B59" s="659"/>
      <c r="C59" s="663"/>
      <c r="D59" s="663"/>
      <c r="E59" s="663"/>
      <c r="F59" s="663"/>
      <c r="G59" s="663"/>
      <c r="H59" s="663"/>
      <c r="I59" s="663"/>
      <c r="J59" s="663"/>
      <c r="K59" s="663"/>
      <c r="L59" s="663"/>
      <c r="M59" s="663"/>
      <c r="N59" s="663"/>
      <c r="O59" s="664"/>
      <c r="P59" s="661"/>
      <c r="Q59" s="661"/>
      <c r="R59" s="661"/>
      <c r="S59" s="661"/>
      <c r="T59" s="661"/>
      <c r="U59" s="661"/>
      <c r="V59" s="661"/>
      <c r="W59" s="661"/>
      <c r="X59" s="661"/>
      <c r="Y59" s="661"/>
      <c r="Z59" s="661"/>
      <c r="AA59" s="665"/>
    </row>
    <row r="60" spans="2:28" s="634" customFormat="1">
      <c r="B60" s="670"/>
      <c r="C60" s="663"/>
      <c r="D60" s="663"/>
      <c r="E60" s="663"/>
      <c r="F60" s="663"/>
      <c r="G60" s="663"/>
      <c r="H60" s="663"/>
      <c r="I60" s="663"/>
      <c r="J60" s="663"/>
      <c r="K60" s="663"/>
      <c r="L60" s="663"/>
      <c r="M60" s="663"/>
      <c r="N60" s="663"/>
      <c r="O60" s="664"/>
      <c r="P60" s="664"/>
      <c r="Q60" s="664"/>
      <c r="R60" s="664"/>
      <c r="S60" s="664"/>
      <c r="T60" s="664"/>
      <c r="U60" s="664"/>
      <c r="V60" s="664"/>
      <c r="W60" s="664"/>
      <c r="X60" s="664"/>
      <c r="Y60" s="664"/>
      <c r="Z60" s="664"/>
      <c r="AA60" s="665"/>
      <c r="AB60" s="665"/>
    </row>
    <row r="61" spans="2:28" s="634" customFormat="1">
      <c r="B61" s="670"/>
      <c r="C61" s="663"/>
      <c r="D61" s="663"/>
      <c r="E61" s="663"/>
      <c r="F61" s="663"/>
      <c r="G61" s="663"/>
      <c r="H61" s="663"/>
      <c r="I61" s="663"/>
      <c r="J61" s="663"/>
      <c r="K61" s="663"/>
      <c r="L61" s="663"/>
      <c r="M61" s="663"/>
      <c r="N61" s="663"/>
      <c r="O61" s="664"/>
      <c r="P61" s="664"/>
      <c r="Q61" s="664"/>
      <c r="R61" s="664"/>
      <c r="S61" s="664"/>
      <c r="T61" s="664"/>
      <c r="U61" s="664"/>
      <c r="V61" s="664"/>
      <c r="W61" s="664"/>
      <c r="X61" s="664"/>
      <c r="Y61" s="664"/>
      <c r="Z61" s="664"/>
      <c r="AA61" s="665"/>
      <c r="AB61" s="665"/>
    </row>
    <row r="62" spans="2:28" s="634" customFormat="1">
      <c r="B62" s="670"/>
      <c r="C62" s="663"/>
      <c r="D62" s="663"/>
      <c r="E62" s="663"/>
      <c r="F62" s="663"/>
      <c r="G62" s="663"/>
      <c r="H62" s="663"/>
      <c r="I62" s="663"/>
      <c r="J62" s="663"/>
      <c r="K62" s="663"/>
      <c r="L62" s="663"/>
      <c r="M62" s="663"/>
      <c r="N62" s="663"/>
      <c r="O62" s="664"/>
      <c r="P62" s="664"/>
      <c r="Q62" s="664"/>
      <c r="R62" s="664"/>
      <c r="S62" s="664"/>
      <c r="T62" s="664"/>
      <c r="U62" s="664"/>
      <c r="V62" s="664"/>
      <c r="W62" s="664"/>
      <c r="X62" s="664"/>
      <c r="Y62" s="664"/>
      <c r="Z62" s="664"/>
      <c r="AA62" s="665"/>
      <c r="AB62" s="665"/>
    </row>
    <row r="63" spans="2:28" s="634" customFormat="1">
      <c r="B63" s="670"/>
      <c r="C63" s="663"/>
      <c r="D63" s="663"/>
      <c r="E63" s="663"/>
      <c r="F63" s="663"/>
      <c r="G63" s="663"/>
      <c r="H63" s="663"/>
      <c r="I63" s="663"/>
      <c r="J63" s="663"/>
      <c r="K63" s="663"/>
      <c r="L63" s="663"/>
      <c r="M63" s="663"/>
      <c r="N63" s="663"/>
      <c r="O63" s="664"/>
      <c r="P63" s="664"/>
      <c r="Q63" s="664"/>
      <c r="R63" s="664"/>
      <c r="S63" s="664"/>
      <c r="T63" s="664"/>
      <c r="U63" s="664"/>
      <c r="V63" s="664"/>
      <c r="W63" s="664"/>
      <c r="X63" s="664"/>
      <c r="Y63" s="664"/>
      <c r="Z63" s="664"/>
      <c r="AA63" s="665"/>
      <c r="AB63" s="665"/>
    </row>
    <row r="64" spans="2:28" s="634" customFormat="1" outlineLevel="1">
      <c r="B64" s="670"/>
      <c r="C64" s="663"/>
      <c r="D64" s="663"/>
      <c r="E64" s="663"/>
      <c r="F64" s="663"/>
      <c r="G64" s="663"/>
      <c r="H64" s="663"/>
      <c r="I64" s="663"/>
      <c r="J64" s="663"/>
      <c r="K64" s="663"/>
      <c r="L64" s="663"/>
      <c r="M64" s="663"/>
      <c r="N64" s="663"/>
      <c r="O64" s="664"/>
      <c r="P64" s="664"/>
      <c r="Q64" s="664"/>
      <c r="R64" s="664"/>
      <c r="S64" s="664"/>
      <c r="T64" s="664"/>
      <c r="U64" s="664"/>
      <c r="V64" s="664"/>
      <c r="W64" s="664"/>
      <c r="X64" s="664"/>
      <c r="Y64" s="664"/>
      <c r="Z64" s="664"/>
      <c r="AA64" s="665"/>
      <c r="AB64" s="665"/>
    </row>
    <row r="65" spans="2:29" s="634" customFormat="1" outlineLevel="1">
      <c r="B65" s="670"/>
      <c r="C65" s="663"/>
      <c r="D65" s="663"/>
      <c r="E65" s="663"/>
      <c r="F65" s="663"/>
      <c r="G65" s="663"/>
      <c r="H65" s="663"/>
      <c r="I65" s="663"/>
      <c r="J65" s="663"/>
      <c r="K65" s="663"/>
      <c r="L65" s="663"/>
      <c r="M65" s="663"/>
      <c r="N65" s="663"/>
      <c r="O65" s="664"/>
      <c r="P65" s="664"/>
      <c r="Q65" s="664"/>
      <c r="R65" s="664"/>
      <c r="S65" s="664"/>
      <c r="T65" s="664"/>
      <c r="U65" s="664"/>
      <c r="V65" s="664"/>
      <c r="W65" s="664"/>
      <c r="X65" s="664"/>
      <c r="Y65" s="664"/>
      <c r="Z65" s="664"/>
      <c r="AA65" s="665"/>
      <c r="AB65" s="665"/>
    </row>
    <row r="66" spans="2:29" s="634" customFormat="1" outlineLevel="1">
      <c r="B66" s="670"/>
      <c r="C66" s="663"/>
      <c r="D66" s="663"/>
      <c r="E66" s="663"/>
      <c r="F66" s="663"/>
      <c r="G66" s="663"/>
      <c r="H66" s="663"/>
      <c r="I66" s="663"/>
      <c r="J66" s="663"/>
      <c r="K66" s="663"/>
      <c r="L66" s="663"/>
      <c r="M66" s="663"/>
      <c r="N66" s="663"/>
      <c r="O66" s="664"/>
      <c r="P66" s="664"/>
      <c r="Q66" s="664"/>
      <c r="R66" s="664"/>
      <c r="S66" s="664"/>
      <c r="T66" s="664"/>
      <c r="U66" s="664"/>
      <c r="V66" s="664"/>
      <c r="W66" s="664"/>
      <c r="X66" s="664"/>
      <c r="Y66" s="664"/>
      <c r="Z66" s="664"/>
      <c r="AA66" s="665"/>
      <c r="AB66" s="665"/>
    </row>
    <row r="67" spans="2:29" s="634" customFormat="1" outlineLevel="1">
      <c r="B67" s="670"/>
      <c r="C67" s="663"/>
      <c r="D67" s="663"/>
      <c r="E67" s="663"/>
      <c r="F67" s="663"/>
      <c r="G67" s="663"/>
      <c r="H67" s="663"/>
      <c r="I67" s="663"/>
      <c r="J67" s="663"/>
      <c r="K67" s="663"/>
      <c r="L67" s="663"/>
      <c r="M67" s="663"/>
      <c r="N67" s="663"/>
      <c r="O67" s="664"/>
      <c r="P67" s="664"/>
      <c r="Q67" s="664"/>
      <c r="R67" s="664"/>
      <c r="S67" s="664"/>
      <c r="T67" s="664"/>
      <c r="U67" s="664"/>
      <c r="V67" s="664"/>
      <c r="W67" s="664"/>
      <c r="X67" s="664"/>
      <c r="Y67" s="664"/>
      <c r="Z67" s="664"/>
      <c r="AA67" s="665"/>
      <c r="AB67" s="665"/>
    </row>
    <row r="68" spans="2:29" s="634" customFormat="1" outlineLevel="1">
      <c r="B68" s="670"/>
      <c r="C68" s="663"/>
      <c r="D68" s="663"/>
      <c r="E68" s="663"/>
      <c r="F68" s="663"/>
      <c r="G68" s="663"/>
      <c r="H68" s="663"/>
      <c r="I68" s="663"/>
      <c r="J68" s="663"/>
      <c r="K68" s="663"/>
      <c r="L68" s="663"/>
      <c r="M68" s="663"/>
      <c r="N68" s="663"/>
      <c r="O68" s="664"/>
      <c r="P68" s="664"/>
      <c r="Q68" s="664"/>
      <c r="R68" s="664"/>
      <c r="S68" s="664"/>
      <c r="T68" s="664"/>
      <c r="U68" s="664"/>
      <c r="V68" s="664"/>
      <c r="W68" s="664"/>
      <c r="X68" s="664"/>
      <c r="Y68" s="664"/>
      <c r="Z68" s="664"/>
      <c r="AA68" s="665"/>
      <c r="AB68" s="665"/>
      <c r="AC68" s="665"/>
    </row>
    <row r="69" spans="2:29" s="634" customFormat="1" outlineLevel="1">
      <c r="B69" s="659"/>
      <c r="C69" s="663"/>
      <c r="D69" s="663"/>
      <c r="E69" s="663"/>
      <c r="F69" s="663"/>
      <c r="G69" s="663"/>
      <c r="H69" s="663"/>
      <c r="I69" s="663"/>
      <c r="J69" s="663"/>
      <c r="K69" s="663"/>
      <c r="L69" s="663"/>
      <c r="M69" s="663"/>
      <c r="N69" s="663"/>
      <c r="O69" s="664"/>
      <c r="P69" s="661"/>
      <c r="Q69" s="661"/>
      <c r="R69" s="661"/>
      <c r="S69" s="661"/>
      <c r="T69" s="661"/>
      <c r="U69" s="661"/>
      <c r="V69" s="661"/>
      <c r="W69" s="661"/>
      <c r="X69" s="661"/>
      <c r="Y69" s="661"/>
      <c r="Z69" s="661"/>
      <c r="AA69" s="665"/>
    </row>
    <row r="70" spans="2:29" s="634" customFormat="1" outlineLevel="1">
      <c r="B70" s="659"/>
      <c r="C70" s="663"/>
      <c r="D70" s="663"/>
      <c r="E70" s="663"/>
      <c r="F70" s="663"/>
      <c r="G70" s="663"/>
      <c r="H70" s="663"/>
      <c r="I70" s="663"/>
      <c r="J70" s="663"/>
      <c r="K70" s="663"/>
      <c r="L70" s="663"/>
      <c r="M70" s="663"/>
      <c r="N70" s="663"/>
      <c r="O70" s="664"/>
      <c r="P70" s="661"/>
      <c r="Q70" s="661"/>
      <c r="R70" s="661"/>
      <c r="S70" s="661"/>
      <c r="T70" s="661"/>
      <c r="U70" s="661"/>
      <c r="V70" s="661"/>
      <c r="W70" s="661"/>
      <c r="X70" s="661"/>
      <c r="Y70" s="661"/>
      <c r="Z70" s="661"/>
      <c r="AA70" s="665"/>
    </row>
    <row r="71" spans="2:29" s="634" customFormat="1" outlineLevel="1">
      <c r="B71" s="659"/>
      <c r="C71" s="663"/>
      <c r="D71" s="663"/>
      <c r="E71" s="663"/>
      <c r="F71" s="663"/>
      <c r="G71" s="663"/>
      <c r="H71" s="663"/>
      <c r="I71" s="663"/>
      <c r="J71" s="663"/>
      <c r="K71" s="663"/>
      <c r="L71" s="663"/>
      <c r="M71" s="663"/>
      <c r="N71" s="663"/>
      <c r="O71" s="664"/>
      <c r="P71" s="661"/>
      <c r="Q71" s="661"/>
      <c r="R71" s="661"/>
      <c r="S71" s="661"/>
      <c r="T71" s="661"/>
      <c r="U71" s="661"/>
      <c r="V71" s="661"/>
      <c r="W71" s="661"/>
      <c r="X71" s="661"/>
      <c r="Y71" s="661"/>
      <c r="Z71" s="661"/>
      <c r="AA71" s="665"/>
    </row>
    <row r="72" spans="2:29" s="634" customFormat="1" outlineLevel="1">
      <c r="B72" s="659"/>
      <c r="C72" s="663"/>
      <c r="D72" s="663"/>
      <c r="E72" s="663"/>
      <c r="F72" s="663"/>
      <c r="G72" s="663"/>
      <c r="H72" s="663"/>
      <c r="I72" s="663"/>
      <c r="J72" s="663"/>
      <c r="K72" s="663"/>
      <c r="L72" s="663"/>
      <c r="M72" s="663"/>
      <c r="N72" s="663"/>
      <c r="O72" s="664"/>
      <c r="P72" s="661"/>
      <c r="Q72" s="661"/>
      <c r="R72" s="661"/>
      <c r="S72" s="661"/>
      <c r="T72" s="661"/>
      <c r="U72" s="661"/>
      <c r="V72" s="661"/>
      <c r="W72" s="661"/>
      <c r="X72" s="661"/>
      <c r="Y72" s="661"/>
      <c r="Z72" s="661"/>
      <c r="AA72" s="665"/>
    </row>
    <row r="73" spans="2:29" s="634" customFormat="1" outlineLevel="1">
      <c r="B73" s="659"/>
      <c r="C73" s="663"/>
      <c r="D73" s="663"/>
      <c r="E73" s="663"/>
      <c r="F73" s="663"/>
      <c r="G73" s="663"/>
      <c r="H73" s="663"/>
      <c r="I73" s="663"/>
      <c r="J73" s="663"/>
      <c r="K73" s="663"/>
      <c r="L73" s="663"/>
      <c r="M73" s="663"/>
      <c r="N73" s="663"/>
      <c r="O73" s="664"/>
      <c r="P73" s="661"/>
      <c r="Q73" s="661"/>
      <c r="R73" s="661"/>
      <c r="S73" s="661"/>
      <c r="T73" s="661"/>
      <c r="U73" s="661"/>
      <c r="V73" s="661"/>
      <c r="W73" s="661"/>
      <c r="X73" s="661"/>
      <c r="Y73" s="661"/>
      <c r="Z73" s="661"/>
      <c r="AA73" s="665"/>
    </row>
    <row r="74" spans="2:29" s="634" customFormat="1" outlineLevel="1">
      <c r="B74" s="659"/>
      <c r="C74" s="663"/>
      <c r="D74" s="663"/>
      <c r="E74" s="663"/>
      <c r="F74" s="663"/>
      <c r="G74" s="663"/>
      <c r="H74" s="663"/>
      <c r="I74" s="663"/>
      <c r="J74" s="663"/>
      <c r="K74" s="663"/>
      <c r="L74" s="663"/>
      <c r="M74" s="663"/>
      <c r="N74" s="663"/>
      <c r="O74" s="664"/>
      <c r="P74" s="661"/>
      <c r="Q74" s="661"/>
      <c r="R74" s="661"/>
      <c r="S74" s="661"/>
      <c r="T74" s="661"/>
      <c r="U74" s="661"/>
      <c r="V74" s="661"/>
      <c r="W74" s="661"/>
      <c r="X74" s="661"/>
      <c r="Y74" s="661"/>
      <c r="Z74" s="661"/>
      <c r="AA74" s="665"/>
    </row>
    <row r="75" spans="2:29" s="634" customFormat="1" outlineLevel="1">
      <c r="B75" s="659"/>
      <c r="C75" s="663"/>
      <c r="D75" s="663"/>
      <c r="E75" s="663"/>
      <c r="F75" s="663"/>
      <c r="G75" s="663"/>
      <c r="H75" s="663"/>
      <c r="I75" s="663"/>
      <c r="J75" s="663"/>
      <c r="K75" s="663"/>
      <c r="L75" s="663"/>
      <c r="M75" s="663"/>
      <c r="N75" s="663"/>
      <c r="O75" s="664"/>
      <c r="P75" s="661"/>
      <c r="Q75" s="661"/>
      <c r="R75" s="661"/>
      <c r="S75" s="661"/>
      <c r="T75" s="661"/>
      <c r="U75" s="661"/>
      <c r="V75" s="661"/>
      <c r="W75" s="661"/>
      <c r="X75" s="661"/>
      <c r="Y75" s="661"/>
      <c r="Z75" s="661"/>
      <c r="AA75" s="665"/>
    </row>
    <row r="76" spans="2:29" s="634" customFormat="1" outlineLevel="1">
      <c r="B76" s="659"/>
      <c r="C76" s="663"/>
      <c r="D76" s="663"/>
      <c r="E76" s="663"/>
      <c r="F76" s="663"/>
      <c r="G76" s="663"/>
      <c r="H76" s="663"/>
      <c r="I76" s="663"/>
      <c r="J76" s="663"/>
      <c r="K76" s="663"/>
      <c r="L76" s="663"/>
      <c r="M76" s="663"/>
      <c r="N76" s="663"/>
      <c r="O76" s="664"/>
      <c r="P76" s="661"/>
      <c r="Q76" s="661"/>
      <c r="R76" s="661"/>
      <c r="S76" s="661"/>
      <c r="T76" s="661"/>
      <c r="U76" s="661"/>
      <c r="V76" s="661"/>
      <c r="W76" s="661"/>
      <c r="X76" s="661"/>
      <c r="Y76" s="661"/>
      <c r="Z76" s="661"/>
      <c r="AA76" s="665"/>
    </row>
    <row r="77" spans="2:29" outlineLevel="1">
      <c r="B77" s="659"/>
      <c r="C77" s="660"/>
      <c r="D77" s="660"/>
      <c r="E77" s="660"/>
      <c r="F77" s="660"/>
      <c r="G77" s="660"/>
      <c r="H77" s="660"/>
      <c r="I77" s="660"/>
      <c r="J77" s="660"/>
      <c r="K77" s="660"/>
      <c r="L77" s="660"/>
      <c r="M77" s="660"/>
      <c r="N77" s="660"/>
      <c r="O77" s="664"/>
      <c r="P77" s="661"/>
      <c r="Q77" s="661"/>
      <c r="R77" s="661"/>
      <c r="S77" s="661"/>
      <c r="T77" s="661"/>
      <c r="U77" s="661"/>
      <c r="V77" s="661"/>
      <c r="W77" s="661"/>
      <c r="X77" s="661"/>
      <c r="Y77" s="661"/>
      <c r="Z77" s="661"/>
      <c r="AA77" s="665"/>
    </row>
    <row r="78" spans="2:29" outlineLevel="1">
      <c r="B78" s="659"/>
      <c r="C78" s="660"/>
      <c r="D78" s="660"/>
      <c r="E78" s="660"/>
      <c r="F78" s="660"/>
      <c r="G78" s="660"/>
      <c r="H78" s="660"/>
      <c r="I78" s="660"/>
      <c r="J78" s="660"/>
      <c r="K78" s="660"/>
      <c r="L78" s="660"/>
      <c r="M78" s="660"/>
      <c r="N78" s="660"/>
      <c r="O78" s="664"/>
      <c r="P78" s="661"/>
      <c r="Q78" s="661"/>
      <c r="R78" s="661"/>
      <c r="S78" s="661"/>
      <c r="T78" s="661"/>
      <c r="U78" s="661"/>
      <c r="V78" s="661"/>
      <c r="W78" s="661"/>
      <c r="X78" s="661"/>
      <c r="Y78" s="661"/>
      <c r="Z78" s="661"/>
      <c r="AA78" s="665"/>
    </row>
    <row r="79" spans="2:29" outlineLevel="1">
      <c r="B79" s="659"/>
      <c r="C79" s="660"/>
      <c r="D79" s="660"/>
      <c r="E79" s="660"/>
      <c r="F79" s="660"/>
      <c r="G79" s="660"/>
      <c r="H79" s="660"/>
      <c r="I79" s="660"/>
      <c r="J79" s="660"/>
      <c r="K79" s="660"/>
      <c r="L79" s="660"/>
      <c r="M79" s="660"/>
      <c r="N79" s="660"/>
      <c r="O79" s="664"/>
      <c r="P79" s="661"/>
      <c r="Q79" s="661"/>
      <c r="R79" s="661"/>
      <c r="S79" s="661"/>
      <c r="T79" s="661"/>
      <c r="U79" s="661"/>
      <c r="V79" s="661"/>
      <c r="W79" s="661"/>
      <c r="X79" s="661"/>
      <c r="Y79" s="661"/>
      <c r="Z79" s="661"/>
      <c r="AA79" s="665"/>
    </row>
    <row r="80" spans="2:29" outlineLevel="1">
      <c r="B80" s="659"/>
      <c r="C80" s="671"/>
      <c r="D80" s="671"/>
      <c r="E80" s="671"/>
      <c r="F80" s="671"/>
      <c r="G80" s="671"/>
      <c r="H80" s="671"/>
      <c r="I80" s="671"/>
      <c r="J80" s="671"/>
      <c r="K80" s="671"/>
      <c r="L80" s="671"/>
      <c r="M80" s="671"/>
      <c r="N80" s="671"/>
      <c r="O80" s="664"/>
      <c r="P80" s="661"/>
      <c r="Q80" s="661"/>
      <c r="R80" s="661"/>
      <c r="S80" s="661"/>
      <c r="T80" s="661"/>
      <c r="U80" s="661"/>
      <c r="V80" s="661"/>
      <c r="W80" s="661"/>
      <c r="X80" s="661"/>
      <c r="Y80" s="661"/>
      <c r="Z80" s="661"/>
      <c r="AA80" s="665"/>
    </row>
    <row r="81" spans="2:27">
      <c r="B81" s="672"/>
      <c r="C81" s="660"/>
      <c r="D81" s="660"/>
      <c r="E81" s="660"/>
      <c r="F81" s="660"/>
      <c r="G81" s="660"/>
      <c r="H81" s="660"/>
      <c r="I81" s="660"/>
      <c r="J81" s="660"/>
      <c r="K81" s="660"/>
      <c r="L81" s="660"/>
      <c r="M81" s="660"/>
      <c r="N81" s="660"/>
      <c r="O81" s="673"/>
      <c r="P81" s="673"/>
      <c r="Q81" s="673"/>
      <c r="R81" s="673"/>
      <c r="S81" s="673"/>
      <c r="T81" s="673"/>
      <c r="U81" s="673"/>
      <c r="V81" s="673"/>
      <c r="W81" s="673"/>
      <c r="X81" s="673"/>
      <c r="Y81" s="673"/>
      <c r="Z81" s="673"/>
      <c r="AA81" s="651"/>
    </row>
    <row r="82" spans="2:27">
      <c r="B82" s="672"/>
      <c r="C82" s="660"/>
      <c r="D82" s="660"/>
      <c r="E82" s="660"/>
      <c r="F82" s="660"/>
      <c r="G82" s="660"/>
      <c r="H82" s="660"/>
      <c r="I82" s="660"/>
      <c r="J82" s="660"/>
      <c r="K82" s="660"/>
      <c r="L82" s="660"/>
      <c r="M82" s="660"/>
      <c r="N82" s="660"/>
      <c r="O82" s="673"/>
      <c r="P82" s="673"/>
      <c r="Q82" s="673"/>
      <c r="R82" s="673"/>
      <c r="S82" s="673"/>
      <c r="T82" s="673"/>
      <c r="U82" s="673"/>
      <c r="V82" s="673"/>
      <c r="W82" s="673"/>
      <c r="X82" s="673"/>
      <c r="Y82" s="673"/>
      <c r="Z82" s="673"/>
      <c r="AA82" s="651"/>
    </row>
    <row r="83" spans="2:27">
      <c r="B83" s="672"/>
      <c r="C83" s="660"/>
      <c r="D83" s="660"/>
      <c r="E83" s="660"/>
      <c r="F83" s="660"/>
      <c r="G83" s="660"/>
      <c r="H83" s="660"/>
      <c r="I83" s="660"/>
      <c r="J83" s="660"/>
      <c r="K83" s="660"/>
      <c r="L83" s="660"/>
      <c r="M83" s="660"/>
      <c r="N83" s="660"/>
      <c r="O83" s="673"/>
      <c r="P83" s="673"/>
      <c r="Q83" s="673"/>
      <c r="R83" s="673"/>
      <c r="S83" s="673"/>
      <c r="T83" s="673"/>
      <c r="U83" s="673"/>
      <c r="V83" s="673"/>
      <c r="W83" s="673"/>
      <c r="X83" s="673"/>
      <c r="Y83" s="673"/>
      <c r="Z83" s="673"/>
      <c r="AA83" s="651"/>
    </row>
    <row r="84" spans="2:27">
      <c r="B84" s="672"/>
      <c r="C84" s="660"/>
      <c r="D84" s="660"/>
      <c r="E84" s="660"/>
      <c r="F84" s="660"/>
      <c r="G84" s="660"/>
      <c r="H84" s="660"/>
      <c r="I84" s="660"/>
      <c r="J84" s="660"/>
      <c r="K84" s="660"/>
      <c r="L84" s="660"/>
      <c r="M84" s="660"/>
      <c r="N84" s="660"/>
      <c r="O84" s="673"/>
      <c r="P84" s="673"/>
      <c r="Q84" s="673"/>
      <c r="R84" s="673"/>
      <c r="S84" s="673"/>
      <c r="T84" s="673"/>
      <c r="U84" s="673"/>
      <c r="V84" s="673"/>
      <c r="W84" s="673"/>
      <c r="X84" s="673"/>
      <c r="Y84" s="673"/>
      <c r="Z84" s="673"/>
      <c r="AA84" s="651"/>
    </row>
    <row r="85" spans="2:27">
      <c r="B85" s="672"/>
      <c r="C85" s="660"/>
      <c r="D85" s="660"/>
      <c r="E85" s="660"/>
      <c r="F85" s="660"/>
      <c r="G85" s="660"/>
      <c r="H85" s="660"/>
      <c r="I85" s="660"/>
      <c r="J85" s="660"/>
      <c r="K85" s="660"/>
      <c r="L85" s="660"/>
      <c r="M85" s="660"/>
      <c r="N85" s="660"/>
      <c r="O85" s="673"/>
      <c r="P85" s="673"/>
      <c r="Q85" s="673"/>
      <c r="R85" s="673"/>
      <c r="S85" s="673"/>
      <c r="T85" s="673"/>
      <c r="U85" s="673"/>
      <c r="V85" s="673"/>
      <c r="W85" s="673"/>
      <c r="X85" s="673"/>
      <c r="Y85" s="673"/>
      <c r="Z85" s="673"/>
      <c r="AA85" s="651"/>
    </row>
    <row r="86" spans="2:27">
      <c r="B86" s="672"/>
      <c r="C86" s="660"/>
      <c r="D86" s="660"/>
      <c r="E86" s="660"/>
      <c r="F86" s="660"/>
      <c r="G86" s="660"/>
      <c r="H86" s="660"/>
      <c r="I86" s="660"/>
      <c r="J86" s="660"/>
      <c r="K86" s="660"/>
      <c r="L86" s="660"/>
      <c r="M86" s="660"/>
      <c r="N86" s="660"/>
      <c r="O86" s="673"/>
      <c r="P86" s="673"/>
      <c r="Q86" s="673"/>
      <c r="R86" s="673"/>
      <c r="S86" s="673"/>
      <c r="T86" s="673"/>
      <c r="U86" s="673"/>
      <c r="V86" s="673"/>
      <c r="W86" s="673"/>
      <c r="X86" s="673"/>
      <c r="Y86" s="673"/>
      <c r="Z86" s="673"/>
      <c r="AA86" s="651"/>
    </row>
    <row r="87" spans="2:27">
      <c r="B87" s="672"/>
      <c r="C87" s="660"/>
      <c r="D87" s="660"/>
      <c r="E87" s="660"/>
      <c r="F87" s="660"/>
      <c r="G87" s="660"/>
      <c r="H87" s="660"/>
      <c r="I87" s="660"/>
      <c r="J87" s="660"/>
      <c r="K87" s="660"/>
      <c r="L87" s="660"/>
      <c r="M87" s="660"/>
      <c r="N87" s="660"/>
      <c r="O87" s="673"/>
      <c r="P87" s="673"/>
      <c r="Q87" s="673"/>
      <c r="R87" s="673"/>
      <c r="S87" s="673"/>
      <c r="T87" s="673"/>
      <c r="U87" s="673"/>
      <c r="V87" s="673"/>
      <c r="W87" s="673"/>
      <c r="X87" s="673"/>
      <c r="Y87" s="673"/>
      <c r="Z87" s="673"/>
      <c r="AA87" s="651"/>
    </row>
    <row r="88" spans="2:27">
      <c r="B88" s="672"/>
      <c r="C88" s="660"/>
      <c r="D88" s="660"/>
      <c r="E88" s="660"/>
      <c r="F88" s="660"/>
      <c r="G88" s="660"/>
      <c r="H88" s="660"/>
      <c r="I88" s="660"/>
      <c r="J88" s="660"/>
      <c r="K88" s="660"/>
      <c r="L88" s="660"/>
      <c r="M88" s="660"/>
      <c r="N88" s="660"/>
      <c r="O88" s="673"/>
      <c r="P88" s="673"/>
      <c r="Q88" s="673"/>
      <c r="R88" s="673"/>
      <c r="S88" s="673"/>
      <c r="T88" s="673"/>
      <c r="U88" s="673"/>
      <c r="V88" s="673"/>
      <c r="W88" s="673"/>
      <c r="X88" s="673"/>
      <c r="Y88" s="673"/>
      <c r="Z88" s="673"/>
      <c r="AA88" s="651"/>
    </row>
    <row r="89" spans="2:27">
      <c r="B89" s="672"/>
      <c r="C89" s="660"/>
      <c r="D89" s="660"/>
      <c r="E89" s="660"/>
      <c r="F89" s="660"/>
      <c r="G89" s="660"/>
      <c r="H89" s="660"/>
      <c r="I89" s="660"/>
      <c r="J89" s="660"/>
      <c r="K89" s="660"/>
      <c r="L89" s="660"/>
      <c r="M89" s="660"/>
      <c r="N89" s="660"/>
      <c r="O89" s="673"/>
      <c r="P89" s="673"/>
      <c r="Q89" s="673"/>
      <c r="R89" s="673"/>
      <c r="S89" s="673"/>
      <c r="T89" s="673"/>
      <c r="U89" s="673"/>
      <c r="V89" s="673"/>
      <c r="W89" s="673"/>
      <c r="X89" s="673"/>
      <c r="Y89" s="673"/>
      <c r="Z89" s="673"/>
      <c r="AA89" s="651"/>
    </row>
    <row r="90" spans="2:27">
      <c r="B90" s="672"/>
      <c r="C90" s="660"/>
      <c r="D90" s="660"/>
      <c r="E90" s="660"/>
      <c r="F90" s="660"/>
      <c r="G90" s="660"/>
      <c r="H90" s="660"/>
      <c r="I90" s="660"/>
      <c r="J90" s="660"/>
      <c r="K90" s="660"/>
      <c r="L90" s="660"/>
      <c r="M90" s="660"/>
      <c r="N90" s="660"/>
      <c r="O90" s="673"/>
      <c r="P90" s="673"/>
      <c r="Q90" s="673"/>
      <c r="R90" s="673"/>
      <c r="S90" s="673"/>
      <c r="T90" s="673"/>
      <c r="U90" s="673"/>
      <c r="V90" s="673"/>
      <c r="W90" s="673"/>
      <c r="X90" s="673"/>
      <c r="Y90" s="673"/>
      <c r="Z90" s="673"/>
      <c r="AA90" s="651"/>
    </row>
    <row r="91" spans="2:27">
      <c r="B91" s="672"/>
      <c r="C91" s="660"/>
      <c r="D91" s="660"/>
      <c r="E91" s="660"/>
      <c r="F91" s="660"/>
      <c r="G91" s="660"/>
      <c r="H91" s="660"/>
      <c r="I91" s="660"/>
      <c r="J91" s="660"/>
      <c r="K91" s="660"/>
      <c r="L91" s="660"/>
      <c r="M91" s="660"/>
      <c r="N91" s="660"/>
      <c r="O91" s="673"/>
      <c r="P91" s="673"/>
      <c r="Q91" s="673"/>
      <c r="R91" s="673"/>
      <c r="S91" s="673"/>
      <c r="T91" s="673"/>
      <c r="U91" s="673"/>
      <c r="V91" s="673"/>
      <c r="W91" s="673"/>
      <c r="X91" s="673"/>
      <c r="Y91" s="673"/>
      <c r="Z91" s="673"/>
      <c r="AA91" s="651"/>
    </row>
    <row r="92" spans="2:27">
      <c r="B92" s="672"/>
      <c r="C92" s="660"/>
      <c r="D92" s="660"/>
      <c r="E92" s="660"/>
      <c r="F92" s="660"/>
      <c r="G92" s="660"/>
      <c r="H92" s="660"/>
      <c r="I92" s="660"/>
      <c r="J92" s="660"/>
      <c r="K92" s="660"/>
      <c r="L92" s="660"/>
      <c r="M92" s="660"/>
      <c r="N92" s="660"/>
      <c r="O92" s="673"/>
      <c r="P92" s="673"/>
      <c r="Q92" s="673"/>
      <c r="R92" s="673"/>
      <c r="S92" s="673"/>
      <c r="T92" s="673"/>
      <c r="U92" s="673"/>
      <c r="V92" s="673"/>
      <c r="W92" s="673"/>
      <c r="X92" s="673"/>
      <c r="Y92" s="673"/>
      <c r="Z92" s="673"/>
      <c r="AA92" s="651"/>
    </row>
    <row r="93" spans="2:27">
      <c r="B93" s="672"/>
      <c r="C93" s="660"/>
      <c r="D93" s="660"/>
      <c r="E93" s="660"/>
      <c r="F93" s="660"/>
      <c r="G93" s="660"/>
      <c r="H93" s="660"/>
      <c r="I93" s="660"/>
      <c r="J93" s="660"/>
      <c r="K93" s="660"/>
      <c r="L93" s="660"/>
      <c r="M93" s="660"/>
      <c r="N93" s="660"/>
      <c r="O93" s="673"/>
      <c r="P93" s="673"/>
      <c r="Q93" s="673"/>
      <c r="R93" s="673"/>
      <c r="S93" s="673"/>
      <c r="T93" s="673"/>
      <c r="U93" s="673"/>
      <c r="V93" s="673"/>
      <c r="W93" s="673"/>
      <c r="X93" s="673"/>
      <c r="Y93" s="673"/>
      <c r="Z93" s="673"/>
      <c r="AA93" s="651"/>
    </row>
    <row r="94" spans="2:27">
      <c r="B94" s="672"/>
      <c r="C94" s="660"/>
      <c r="D94" s="660"/>
      <c r="E94" s="660"/>
      <c r="F94" s="660"/>
      <c r="G94" s="660"/>
      <c r="H94" s="660"/>
      <c r="I94" s="660"/>
      <c r="J94" s="660"/>
      <c r="K94" s="660"/>
      <c r="L94" s="660"/>
      <c r="M94" s="660"/>
      <c r="N94" s="660"/>
      <c r="O94" s="673"/>
      <c r="P94" s="673"/>
      <c r="Q94" s="673"/>
      <c r="R94" s="673"/>
      <c r="S94" s="673"/>
      <c r="T94" s="673"/>
      <c r="U94" s="673"/>
      <c r="V94" s="673"/>
      <c r="W94" s="673"/>
      <c r="X94" s="673"/>
      <c r="Y94" s="673"/>
      <c r="Z94" s="673"/>
      <c r="AA94" s="651"/>
    </row>
    <row r="95" spans="2:27">
      <c r="B95" s="672"/>
      <c r="C95" s="660"/>
      <c r="D95" s="660"/>
      <c r="E95" s="660"/>
      <c r="F95" s="660"/>
      <c r="G95" s="660"/>
      <c r="H95" s="660"/>
      <c r="I95" s="660"/>
      <c r="J95" s="660"/>
      <c r="K95" s="660"/>
      <c r="L95" s="660"/>
      <c r="M95" s="660"/>
      <c r="N95" s="660"/>
      <c r="O95" s="673"/>
      <c r="P95" s="673"/>
      <c r="Q95" s="673"/>
      <c r="R95" s="673"/>
      <c r="S95" s="673"/>
      <c r="T95" s="673"/>
      <c r="U95" s="673"/>
      <c r="V95" s="673"/>
      <c r="W95" s="673"/>
      <c r="X95" s="673"/>
      <c r="Y95" s="673"/>
      <c r="Z95" s="673"/>
      <c r="AA95" s="651"/>
    </row>
    <row r="96" spans="2:27">
      <c r="B96" s="672"/>
      <c r="C96" s="660"/>
      <c r="D96" s="660"/>
      <c r="E96" s="660"/>
      <c r="F96" s="660"/>
      <c r="G96" s="660"/>
      <c r="H96" s="660"/>
      <c r="I96" s="660"/>
      <c r="J96" s="660"/>
      <c r="K96" s="660"/>
      <c r="L96" s="660"/>
      <c r="M96" s="660"/>
      <c r="N96" s="660"/>
      <c r="O96" s="673"/>
      <c r="P96" s="673"/>
      <c r="Q96" s="673"/>
      <c r="R96" s="673"/>
      <c r="S96" s="673"/>
      <c r="T96" s="673"/>
      <c r="U96" s="673"/>
      <c r="V96" s="673"/>
      <c r="W96" s="673"/>
      <c r="X96" s="673"/>
      <c r="Y96" s="673"/>
      <c r="Z96" s="673"/>
      <c r="AA96" s="651"/>
    </row>
    <row r="97" spans="2:27">
      <c r="B97" s="672"/>
      <c r="C97" s="660"/>
      <c r="D97" s="660"/>
      <c r="E97" s="660"/>
      <c r="F97" s="660"/>
      <c r="G97" s="660"/>
      <c r="I97" s="660"/>
      <c r="J97" s="660"/>
      <c r="K97" s="660"/>
      <c r="L97" s="660"/>
      <c r="M97" s="660"/>
      <c r="N97" s="660"/>
      <c r="O97" s="673"/>
      <c r="P97" s="673"/>
      <c r="Q97" s="673"/>
      <c r="R97" s="673"/>
      <c r="S97" s="673"/>
      <c r="T97" s="673"/>
      <c r="U97" s="673"/>
      <c r="V97" s="673"/>
      <c r="W97" s="673"/>
      <c r="X97" s="673"/>
      <c r="Y97" s="673"/>
      <c r="Z97" s="673"/>
      <c r="AA97" s="651"/>
    </row>
    <row r="98" spans="2:27">
      <c r="B98" s="672"/>
      <c r="C98" s="660"/>
      <c r="D98" s="660"/>
      <c r="E98" s="660"/>
      <c r="F98" s="660"/>
      <c r="G98" s="660"/>
      <c r="H98" s="660"/>
      <c r="I98" s="660"/>
      <c r="J98" s="660"/>
      <c r="K98" s="660"/>
      <c r="L98" s="660"/>
      <c r="M98" s="660"/>
      <c r="N98" s="660"/>
      <c r="O98" s="673"/>
      <c r="P98" s="673"/>
      <c r="Q98" s="673"/>
      <c r="R98" s="673"/>
      <c r="S98" s="673"/>
      <c r="T98" s="673"/>
      <c r="U98" s="673"/>
      <c r="V98" s="673"/>
      <c r="W98" s="673"/>
      <c r="X98" s="673"/>
      <c r="Y98" s="673"/>
      <c r="Z98" s="673"/>
      <c r="AA98" s="651"/>
    </row>
    <row r="99" spans="2:27">
      <c r="B99" s="672"/>
      <c r="C99" s="660"/>
      <c r="D99" s="660"/>
      <c r="E99" s="660"/>
      <c r="F99" s="660"/>
      <c r="G99" s="660"/>
      <c r="H99" s="660"/>
      <c r="I99" s="660"/>
      <c r="J99" s="660"/>
      <c r="K99" s="660"/>
      <c r="L99" s="660"/>
      <c r="M99" s="660"/>
      <c r="N99" s="660"/>
      <c r="O99" s="673"/>
      <c r="P99" s="673"/>
      <c r="Q99" s="673"/>
      <c r="R99" s="673"/>
      <c r="S99" s="673"/>
      <c r="T99" s="673"/>
      <c r="U99" s="673"/>
      <c r="V99" s="673"/>
      <c r="W99" s="673"/>
      <c r="X99" s="673"/>
      <c r="Y99" s="673"/>
      <c r="Z99" s="673"/>
      <c r="AA99" s="651"/>
    </row>
    <row r="100" spans="2:27">
      <c r="B100" s="672"/>
      <c r="C100" s="660"/>
      <c r="D100" s="660"/>
      <c r="E100" s="660"/>
      <c r="F100" s="660"/>
      <c r="G100" s="660"/>
      <c r="H100" s="660"/>
      <c r="I100" s="660"/>
      <c r="J100" s="660"/>
      <c r="K100" s="660"/>
      <c r="L100" s="660"/>
      <c r="M100" s="660"/>
      <c r="N100" s="660"/>
      <c r="O100" s="673"/>
      <c r="P100" s="673"/>
      <c r="Q100" s="673"/>
      <c r="R100" s="673"/>
      <c r="S100" s="673"/>
      <c r="T100" s="673"/>
      <c r="U100" s="673"/>
      <c r="V100" s="673"/>
      <c r="W100" s="673"/>
      <c r="X100" s="673"/>
      <c r="Y100" s="673"/>
      <c r="Z100" s="673"/>
      <c r="AA100" s="651"/>
    </row>
    <row r="101" spans="2:27">
      <c r="B101" s="672"/>
      <c r="C101" s="660"/>
      <c r="D101" s="660"/>
      <c r="E101" s="660"/>
      <c r="F101" s="660"/>
      <c r="G101" s="660"/>
      <c r="H101" s="660"/>
      <c r="I101" s="660"/>
      <c r="J101" s="660"/>
      <c r="K101" s="660"/>
      <c r="L101" s="660"/>
      <c r="M101" s="660"/>
      <c r="N101" s="660"/>
      <c r="O101" s="673"/>
      <c r="P101" s="673"/>
      <c r="Q101" s="673"/>
      <c r="R101" s="673"/>
      <c r="S101" s="673"/>
      <c r="T101" s="673"/>
      <c r="U101" s="673"/>
      <c r="V101" s="673"/>
      <c r="W101" s="673"/>
      <c r="X101" s="673"/>
      <c r="Y101" s="673"/>
      <c r="Z101" s="673"/>
      <c r="AA101" s="651"/>
    </row>
    <row r="102" spans="2:27">
      <c r="B102" s="672"/>
      <c r="C102" s="660"/>
      <c r="D102" s="660"/>
      <c r="E102" s="660"/>
      <c r="F102" s="660"/>
      <c r="G102" s="660"/>
      <c r="H102" s="660"/>
      <c r="I102" s="660"/>
      <c r="J102" s="660"/>
      <c r="K102" s="660"/>
      <c r="L102" s="660"/>
      <c r="M102" s="660"/>
      <c r="N102" s="660"/>
      <c r="O102" s="673"/>
      <c r="P102" s="673"/>
      <c r="Q102" s="673"/>
      <c r="R102" s="673"/>
      <c r="S102" s="673"/>
      <c r="T102" s="673"/>
      <c r="U102" s="673"/>
      <c r="V102" s="673"/>
      <c r="W102" s="673"/>
      <c r="X102" s="673"/>
      <c r="Y102" s="673"/>
      <c r="Z102" s="673"/>
      <c r="AA102" s="651"/>
    </row>
    <row r="103" spans="2:27">
      <c r="B103" s="672"/>
      <c r="C103" s="660"/>
      <c r="D103" s="660"/>
      <c r="E103" s="660"/>
      <c r="F103" s="660"/>
      <c r="G103" s="660"/>
      <c r="H103" s="660"/>
      <c r="I103" s="660"/>
      <c r="J103" s="660"/>
      <c r="K103" s="660"/>
      <c r="L103" s="660"/>
      <c r="M103" s="660"/>
      <c r="N103" s="660"/>
      <c r="O103" s="673"/>
      <c r="P103" s="673"/>
      <c r="Q103" s="673"/>
      <c r="R103" s="673"/>
      <c r="S103" s="673"/>
      <c r="T103" s="673"/>
      <c r="U103" s="673"/>
      <c r="V103" s="673"/>
      <c r="W103" s="673"/>
      <c r="X103" s="673"/>
      <c r="Y103" s="673"/>
      <c r="Z103" s="673"/>
      <c r="AA103" s="651"/>
    </row>
    <row r="104" spans="2:27">
      <c r="B104" s="672"/>
      <c r="C104" s="660"/>
      <c r="D104" s="660"/>
      <c r="E104" s="660"/>
      <c r="F104" s="660"/>
      <c r="G104" s="660"/>
      <c r="H104" s="660"/>
      <c r="I104" s="660"/>
      <c r="J104" s="660"/>
      <c r="K104" s="660"/>
      <c r="L104" s="660"/>
      <c r="M104" s="660"/>
      <c r="N104" s="660"/>
      <c r="O104" s="673"/>
      <c r="P104" s="673"/>
      <c r="Q104" s="673"/>
      <c r="R104" s="673"/>
      <c r="S104" s="673"/>
      <c r="T104" s="673"/>
      <c r="U104" s="673"/>
      <c r="V104" s="673"/>
      <c r="W104" s="673"/>
      <c r="X104" s="673"/>
      <c r="Y104" s="673"/>
      <c r="Z104" s="673"/>
      <c r="AA104" s="651"/>
    </row>
    <row r="105" spans="2:27">
      <c r="B105" s="672"/>
      <c r="C105" s="660"/>
      <c r="D105" s="660"/>
      <c r="E105" s="660"/>
      <c r="F105" s="660"/>
      <c r="G105" s="660"/>
      <c r="H105" s="660"/>
      <c r="I105" s="660"/>
      <c r="J105" s="660"/>
      <c r="K105" s="660"/>
      <c r="L105" s="660"/>
      <c r="M105" s="660"/>
      <c r="N105" s="660"/>
      <c r="O105" s="673"/>
      <c r="P105" s="673"/>
      <c r="Q105" s="673"/>
      <c r="R105" s="673"/>
      <c r="S105" s="673"/>
      <c r="T105" s="673"/>
      <c r="U105" s="673"/>
      <c r="V105" s="673"/>
      <c r="W105" s="673"/>
      <c r="X105" s="673"/>
      <c r="Y105" s="673"/>
      <c r="Z105" s="673"/>
      <c r="AA105" s="651"/>
    </row>
    <row r="106" spans="2:27">
      <c r="B106" s="672"/>
      <c r="C106" s="660"/>
      <c r="D106" s="660"/>
      <c r="E106" s="660"/>
      <c r="F106" s="660"/>
      <c r="G106" s="660"/>
      <c r="H106" s="660"/>
      <c r="I106" s="660"/>
      <c r="J106" s="660"/>
      <c r="K106" s="660"/>
      <c r="L106" s="660"/>
      <c r="M106" s="660"/>
      <c r="N106" s="660"/>
      <c r="O106" s="673"/>
      <c r="P106" s="673"/>
      <c r="Q106" s="673"/>
      <c r="R106" s="673"/>
      <c r="S106" s="673"/>
      <c r="T106" s="673"/>
      <c r="U106" s="673"/>
      <c r="V106" s="673"/>
      <c r="W106" s="673"/>
      <c r="X106" s="673"/>
      <c r="Y106" s="673"/>
      <c r="Z106" s="673"/>
      <c r="AA106" s="651"/>
    </row>
    <row r="107" spans="2:27">
      <c r="B107" s="672"/>
      <c r="C107" s="660"/>
      <c r="D107" s="660"/>
      <c r="E107" s="660"/>
      <c r="F107" s="660"/>
      <c r="G107" s="660"/>
      <c r="H107" s="660"/>
      <c r="I107" s="660"/>
      <c r="J107" s="660"/>
      <c r="K107" s="660"/>
      <c r="L107" s="660"/>
      <c r="M107" s="660"/>
      <c r="N107" s="660"/>
      <c r="O107" s="673"/>
      <c r="P107" s="673"/>
      <c r="Q107" s="673"/>
      <c r="R107" s="673"/>
      <c r="S107" s="673"/>
      <c r="T107" s="673"/>
      <c r="U107" s="673"/>
      <c r="V107" s="673"/>
      <c r="W107" s="673"/>
      <c r="X107" s="673"/>
      <c r="Y107" s="673"/>
      <c r="Z107" s="673"/>
      <c r="AA107" s="651"/>
    </row>
    <row r="108" spans="2:27">
      <c r="B108" s="672"/>
      <c r="C108" s="660"/>
      <c r="D108" s="660"/>
      <c r="E108" s="660"/>
      <c r="F108" s="660"/>
      <c r="G108" s="660"/>
      <c r="H108" s="660"/>
      <c r="I108" s="660"/>
      <c r="J108" s="660"/>
      <c r="K108" s="660"/>
      <c r="L108" s="660"/>
      <c r="M108" s="660"/>
      <c r="N108" s="660"/>
      <c r="O108" s="673"/>
      <c r="P108" s="673"/>
      <c r="Q108" s="673"/>
      <c r="R108" s="673"/>
      <c r="S108" s="673"/>
      <c r="T108" s="673"/>
      <c r="U108" s="673"/>
      <c r="V108" s="673"/>
      <c r="W108" s="673"/>
      <c r="X108" s="673"/>
      <c r="Y108" s="673"/>
      <c r="Z108" s="673"/>
      <c r="AA108" s="651"/>
    </row>
    <row r="109" spans="2:27">
      <c r="B109" s="672"/>
      <c r="C109" s="660"/>
      <c r="D109" s="660"/>
      <c r="E109" s="660"/>
      <c r="F109" s="660"/>
      <c r="G109" s="660"/>
      <c r="H109" s="660"/>
      <c r="I109" s="660"/>
      <c r="J109" s="660"/>
      <c r="K109" s="660"/>
      <c r="L109" s="660"/>
      <c r="M109" s="660"/>
      <c r="N109" s="660"/>
      <c r="O109" s="673"/>
      <c r="P109" s="673"/>
      <c r="Q109" s="673"/>
      <c r="R109" s="673"/>
      <c r="S109" s="673"/>
      <c r="T109" s="673"/>
      <c r="U109" s="673"/>
      <c r="V109" s="673"/>
      <c r="W109" s="673"/>
      <c r="X109" s="673"/>
      <c r="Y109" s="673"/>
      <c r="Z109" s="673"/>
      <c r="AA109" s="651"/>
    </row>
    <row r="110" spans="2:27">
      <c r="B110" s="672"/>
      <c r="C110" s="660"/>
      <c r="D110" s="660"/>
      <c r="E110" s="660"/>
      <c r="F110" s="660"/>
      <c r="G110" s="660"/>
      <c r="H110" s="660"/>
      <c r="I110" s="660"/>
      <c r="J110" s="660"/>
      <c r="K110" s="660"/>
      <c r="L110" s="660"/>
      <c r="M110" s="660"/>
      <c r="N110" s="660"/>
      <c r="O110" s="673"/>
      <c r="P110" s="673"/>
      <c r="Q110" s="673"/>
      <c r="R110" s="673"/>
      <c r="S110" s="673"/>
      <c r="T110" s="673"/>
      <c r="U110" s="673"/>
      <c r="V110" s="673"/>
      <c r="W110" s="673"/>
      <c r="X110" s="673"/>
      <c r="Y110" s="673"/>
      <c r="Z110" s="673"/>
      <c r="AA110" s="651"/>
    </row>
    <row r="111" spans="2:27">
      <c r="B111" s="672"/>
      <c r="C111" s="660"/>
      <c r="D111" s="660"/>
      <c r="E111" s="660"/>
      <c r="F111" s="660"/>
      <c r="G111" s="660"/>
      <c r="H111" s="660"/>
      <c r="I111" s="660"/>
      <c r="J111" s="660"/>
      <c r="K111" s="660"/>
      <c r="L111" s="660"/>
      <c r="M111" s="660"/>
      <c r="N111" s="660"/>
      <c r="O111" s="673"/>
      <c r="P111" s="673"/>
      <c r="Q111" s="673"/>
      <c r="R111" s="673"/>
      <c r="S111" s="673"/>
      <c r="T111" s="673"/>
      <c r="U111" s="673"/>
      <c r="V111" s="673"/>
      <c r="W111" s="673"/>
      <c r="X111" s="673"/>
      <c r="Y111" s="673"/>
      <c r="Z111" s="673"/>
      <c r="AA111" s="651"/>
    </row>
    <row r="112" spans="2:27">
      <c r="B112" s="672"/>
      <c r="C112" s="660"/>
      <c r="D112" s="660"/>
      <c r="E112" s="660"/>
      <c r="F112" s="660"/>
      <c r="G112" s="660"/>
      <c r="H112" s="660"/>
      <c r="I112" s="660"/>
      <c r="J112" s="660"/>
      <c r="K112" s="660"/>
      <c r="L112" s="660"/>
      <c r="M112" s="660"/>
      <c r="N112" s="660"/>
      <c r="O112" s="673"/>
      <c r="P112" s="673"/>
      <c r="Q112" s="673"/>
      <c r="R112" s="673"/>
      <c r="S112" s="673"/>
      <c r="T112" s="673"/>
      <c r="U112" s="673"/>
      <c r="V112" s="673"/>
      <c r="W112" s="673"/>
      <c r="X112" s="673"/>
      <c r="Y112" s="673"/>
      <c r="Z112" s="673"/>
      <c r="AA112" s="651"/>
    </row>
    <row r="113" spans="2:33">
      <c r="B113" s="672"/>
      <c r="C113" s="660"/>
      <c r="D113" s="660"/>
      <c r="E113" s="660"/>
      <c r="F113" s="660"/>
      <c r="G113" s="660"/>
      <c r="H113" s="660"/>
      <c r="I113" s="660"/>
      <c r="J113" s="660"/>
      <c r="K113" s="660"/>
      <c r="L113" s="660"/>
      <c r="M113" s="660"/>
      <c r="N113" s="660"/>
      <c r="O113" s="673"/>
      <c r="P113" s="673"/>
      <c r="Q113" s="673"/>
      <c r="R113" s="673"/>
      <c r="S113" s="673"/>
      <c r="T113" s="673"/>
      <c r="U113" s="673"/>
      <c r="V113" s="673"/>
      <c r="W113" s="673"/>
      <c r="X113" s="673"/>
      <c r="Y113" s="673"/>
      <c r="Z113" s="673"/>
      <c r="AA113" s="651"/>
    </row>
    <row r="114" spans="2:33">
      <c r="B114" s="672"/>
      <c r="C114" s="660"/>
      <c r="D114" s="660"/>
      <c r="E114" s="660"/>
      <c r="F114" s="660"/>
      <c r="G114" s="660"/>
      <c r="H114" s="660"/>
      <c r="I114" s="660"/>
      <c r="J114" s="660"/>
      <c r="K114" s="660"/>
      <c r="L114" s="660"/>
      <c r="M114" s="660"/>
      <c r="N114" s="660"/>
      <c r="O114" s="673"/>
      <c r="P114" s="673"/>
      <c r="Q114" s="673"/>
      <c r="R114" s="673"/>
      <c r="S114" s="673"/>
      <c r="T114" s="673"/>
      <c r="U114" s="673"/>
      <c r="V114" s="673"/>
      <c r="W114" s="673"/>
      <c r="X114" s="673"/>
      <c r="Y114" s="673"/>
      <c r="Z114" s="673"/>
      <c r="AA114" s="651"/>
    </row>
    <row r="115" spans="2:33">
      <c r="B115" s="672"/>
      <c r="C115" s="660"/>
      <c r="D115" s="660"/>
      <c r="E115" s="660"/>
      <c r="F115" s="660"/>
      <c r="G115" s="660"/>
      <c r="H115" s="660"/>
      <c r="I115" s="660"/>
      <c r="J115" s="660"/>
      <c r="K115" s="660"/>
      <c r="L115" s="660"/>
      <c r="M115" s="660"/>
      <c r="N115" s="660"/>
      <c r="O115" s="673"/>
      <c r="P115" s="673"/>
      <c r="Q115" s="673"/>
      <c r="R115" s="673"/>
      <c r="S115" s="673"/>
      <c r="T115" s="673"/>
      <c r="U115" s="673"/>
      <c r="V115" s="673"/>
      <c r="W115" s="673"/>
      <c r="X115" s="673"/>
      <c r="Y115" s="673"/>
      <c r="Z115" s="673"/>
      <c r="AA115" s="651"/>
    </row>
    <row r="116" spans="2:33">
      <c r="B116" s="672"/>
      <c r="C116" s="660"/>
      <c r="D116" s="660"/>
      <c r="E116" s="660"/>
      <c r="F116" s="660"/>
      <c r="G116" s="660"/>
      <c r="H116" s="660"/>
      <c r="I116" s="660"/>
      <c r="J116" s="660"/>
      <c r="K116" s="660"/>
      <c r="L116" s="660"/>
      <c r="M116" s="660"/>
      <c r="N116" s="660"/>
      <c r="O116" s="673"/>
      <c r="P116" s="673"/>
      <c r="Q116" s="673"/>
      <c r="R116" s="673"/>
      <c r="S116" s="673"/>
      <c r="T116" s="673"/>
      <c r="U116" s="673"/>
      <c r="V116" s="673"/>
      <c r="W116" s="673"/>
      <c r="X116" s="673"/>
      <c r="Y116" s="673"/>
      <c r="Z116" s="673"/>
      <c r="AA116" s="674"/>
      <c r="AB116" s="675"/>
    </row>
    <row r="117" spans="2:33">
      <c r="B117" s="672"/>
      <c r="C117" s="660"/>
      <c r="D117" s="660"/>
      <c r="E117" s="660"/>
      <c r="F117" s="660"/>
      <c r="G117" s="660"/>
      <c r="H117" s="660"/>
      <c r="I117" s="660"/>
      <c r="J117" s="660"/>
      <c r="K117" s="660"/>
      <c r="L117" s="660"/>
      <c r="M117" s="660"/>
      <c r="N117" s="660"/>
      <c r="O117" s="673"/>
      <c r="P117" s="673"/>
      <c r="Q117" s="673"/>
      <c r="R117" s="673"/>
      <c r="S117" s="673"/>
      <c r="T117" s="673"/>
      <c r="U117" s="673"/>
      <c r="V117" s="673"/>
      <c r="W117" s="673"/>
      <c r="X117" s="673"/>
      <c r="Y117" s="673"/>
      <c r="Z117" s="673"/>
      <c r="AA117" s="674"/>
      <c r="AB117" s="674"/>
    </row>
    <row r="118" spans="2:33">
      <c r="B118" s="676"/>
      <c r="C118" s="651"/>
      <c r="D118" s="651"/>
      <c r="E118" s="651"/>
      <c r="F118" s="651"/>
      <c r="G118" s="651"/>
      <c r="H118" s="651"/>
      <c r="I118" s="651"/>
      <c r="J118" s="651"/>
      <c r="K118" s="651"/>
      <c r="L118" s="651"/>
      <c r="M118" s="651"/>
      <c r="N118" s="651"/>
      <c r="O118" s="677"/>
      <c r="AA118" s="674"/>
      <c r="AB118" s="674"/>
    </row>
    <row r="119" spans="2:33">
      <c r="B119" s="672"/>
      <c r="C119" s="651"/>
      <c r="D119" s="651"/>
      <c r="E119" s="651"/>
      <c r="F119" s="651"/>
      <c r="G119" s="651"/>
      <c r="H119" s="651"/>
      <c r="I119" s="651"/>
      <c r="J119" s="651"/>
      <c r="K119" s="651"/>
      <c r="L119" s="651"/>
      <c r="M119" s="651"/>
      <c r="N119" s="651"/>
      <c r="O119" s="677"/>
      <c r="AA119" s="674"/>
      <c r="AB119" s="675"/>
    </row>
    <row r="120" spans="2:33">
      <c r="C120" s="660"/>
      <c r="D120" s="660"/>
      <c r="E120" s="660"/>
      <c r="F120" s="660"/>
      <c r="G120" s="660"/>
      <c r="H120" s="660"/>
      <c r="I120" s="660"/>
      <c r="J120" s="660"/>
      <c r="K120" s="660"/>
      <c r="L120" s="660"/>
      <c r="M120" s="660"/>
      <c r="N120" s="660"/>
      <c r="O120" s="677"/>
      <c r="AA120" s="674"/>
      <c r="AB120" s="674"/>
    </row>
    <row r="121" spans="2:33">
      <c r="O121" s="631"/>
      <c r="P121" s="631"/>
      <c r="AA121" s="675"/>
      <c r="AB121" s="674"/>
    </row>
    <row r="122" spans="2:33">
      <c r="B122" s="678"/>
      <c r="C122" s="679"/>
      <c r="D122" s="679"/>
      <c r="E122" s="679"/>
      <c r="F122" s="679"/>
      <c r="G122" s="679"/>
      <c r="H122" s="679"/>
      <c r="I122" s="679"/>
      <c r="J122" s="679"/>
      <c r="K122" s="679"/>
      <c r="L122" s="679"/>
      <c r="M122" s="679"/>
      <c r="N122" s="679"/>
      <c r="O122" s="679"/>
      <c r="P122" s="680"/>
      <c r="AA122" s="675"/>
      <c r="AB122" s="675"/>
    </row>
    <row r="123" spans="2:33">
      <c r="B123" s="678"/>
      <c r="C123" s="679"/>
      <c r="D123" s="679"/>
      <c r="E123" s="679"/>
      <c r="F123" s="679"/>
      <c r="G123" s="679"/>
      <c r="H123" s="679"/>
      <c r="I123" s="679"/>
      <c r="J123" s="679"/>
      <c r="K123" s="679"/>
      <c r="L123" s="679"/>
      <c r="M123" s="679"/>
      <c r="N123" s="679"/>
      <c r="O123" s="679"/>
      <c r="P123" s="680"/>
    </row>
    <row r="124" spans="2:33">
      <c r="B124" s="678"/>
      <c r="C124" s="679"/>
      <c r="D124" s="679"/>
      <c r="E124" s="679"/>
      <c r="F124" s="679"/>
      <c r="G124" s="679"/>
      <c r="H124" s="679"/>
      <c r="I124" s="679"/>
      <c r="J124" s="679"/>
      <c r="K124" s="679"/>
      <c r="L124" s="679"/>
      <c r="M124" s="679"/>
      <c r="N124" s="679"/>
      <c r="O124" s="679"/>
      <c r="P124" s="680"/>
      <c r="AG124" s="628">
        <f>360/48300</f>
        <v>7.4534161490683228E-3</v>
      </c>
    </row>
    <row r="125" spans="2:33">
      <c r="B125" s="678"/>
      <c r="C125" s="679"/>
      <c r="D125" s="679"/>
      <c r="E125" s="679"/>
      <c r="F125" s="679"/>
      <c r="G125" s="679"/>
      <c r="H125" s="679"/>
      <c r="I125" s="679"/>
      <c r="J125" s="679"/>
      <c r="K125" s="679"/>
      <c r="L125" s="679"/>
      <c r="M125" s="679"/>
      <c r="N125" s="679"/>
      <c r="O125" s="679"/>
      <c r="P125" s="680"/>
    </row>
    <row r="126" spans="2:33">
      <c r="B126" s="678"/>
      <c r="C126" s="679"/>
      <c r="D126" s="679"/>
      <c r="E126" s="679"/>
      <c r="F126" s="679"/>
      <c r="G126" s="679"/>
      <c r="H126" s="679"/>
      <c r="I126" s="679"/>
      <c r="J126" s="679"/>
      <c r="K126" s="679"/>
      <c r="L126" s="679"/>
      <c r="M126" s="679"/>
      <c r="N126" s="679"/>
      <c r="O126" s="681"/>
      <c r="P126" s="680"/>
    </row>
    <row r="127" spans="2:33">
      <c r="B127" s="678"/>
      <c r="C127" s="679"/>
      <c r="D127" s="679"/>
      <c r="E127" s="679"/>
      <c r="F127" s="679"/>
      <c r="G127" s="679"/>
      <c r="H127" s="679"/>
      <c r="I127" s="679"/>
      <c r="J127" s="679"/>
      <c r="K127" s="679"/>
      <c r="L127" s="679"/>
      <c r="M127" s="679"/>
      <c r="N127" s="679"/>
      <c r="O127" s="681"/>
      <c r="P127" s="680"/>
    </row>
    <row r="128" spans="2:33">
      <c r="B128" s="678"/>
      <c r="C128" s="679"/>
      <c r="D128" s="679"/>
      <c r="E128" s="679"/>
      <c r="F128" s="679"/>
      <c r="G128" s="679"/>
      <c r="H128" s="679"/>
      <c r="I128" s="679"/>
      <c r="J128" s="679"/>
      <c r="K128" s="679"/>
      <c r="L128" s="679"/>
      <c r="M128" s="679"/>
      <c r="N128" s="679"/>
      <c r="O128" s="679"/>
      <c r="P128" s="680"/>
    </row>
    <row r="129" spans="2:19">
      <c r="B129" s="678"/>
      <c r="C129" s="679"/>
      <c r="D129" s="679"/>
      <c r="E129" s="679"/>
      <c r="F129" s="679"/>
      <c r="G129" s="679"/>
      <c r="H129" s="679"/>
      <c r="I129" s="679"/>
      <c r="J129" s="679"/>
      <c r="K129" s="679"/>
      <c r="L129" s="679"/>
      <c r="M129" s="679"/>
      <c r="N129" s="679"/>
      <c r="O129" s="679"/>
      <c r="P129" s="680"/>
    </row>
    <row r="130" spans="2:19">
      <c r="B130" s="678"/>
      <c r="C130" s="679"/>
      <c r="D130" s="679"/>
      <c r="E130" s="679"/>
      <c r="F130" s="679"/>
      <c r="G130" s="679"/>
      <c r="H130" s="679"/>
      <c r="I130" s="679"/>
      <c r="J130" s="679"/>
      <c r="K130" s="679"/>
      <c r="L130" s="679"/>
      <c r="M130" s="679"/>
      <c r="N130" s="679"/>
      <c r="O130" s="679"/>
      <c r="P130" s="680"/>
    </row>
    <row r="131" spans="2:19">
      <c r="B131" s="678"/>
      <c r="C131" s="679"/>
      <c r="D131" s="679"/>
      <c r="E131" s="679"/>
      <c r="F131" s="679"/>
      <c r="G131" s="679"/>
      <c r="H131" s="679"/>
      <c r="I131" s="679"/>
      <c r="J131" s="679"/>
      <c r="K131" s="679"/>
      <c r="L131" s="679"/>
      <c r="M131" s="679"/>
      <c r="N131" s="679"/>
      <c r="O131" s="679"/>
      <c r="P131" s="680"/>
    </row>
    <row r="132" spans="2:19">
      <c r="B132" s="678"/>
      <c r="C132" s="679"/>
      <c r="D132" s="679"/>
      <c r="E132" s="679"/>
      <c r="F132" s="679"/>
      <c r="G132" s="679"/>
      <c r="H132" s="679"/>
      <c r="I132" s="679"/>
      <c r="J132" s="679"/>
      <c r="K132" s="679"/>
      <c r="L132" s="679"/>
      <c r="M132" s="679"/>
      <c r="N132" s="679"/>
      <c r="O132" s="679"/>
      <c r="P132" s="680"/>
    </row>
    <row r="133" spans="2:19">
      <c r="B133" s="678"/>
      <c r="C133" s="679"/>
      <c r="D133" s="679"/>
      <c r="E133" s="679"/>
      <c r="F133" s="679"/>
      <c r="G133" s="679"/>
      <c r="H133" s="679"/>
      <c r="I133" s="679"/>
      <c r="J133" s="679"/>
      <c r="K133" s="679"/>
      <c r="L133" s="679"/>
      <c r="M133" s="679"/>
      <c r="N133" s="679"/>
      <c r="O133" s="681"/>
      <c r="P133" s="680"/>
    </row>
    <row r="134" spans="2:19">
      <c r="B134" s="678"/>
      <c r="C134" s="679"/>
      <c r="D134" s="679"/>
      <c r="E134" s="679"/>
      <c r="F134" s="679"/>
      <c r="G134" s="679"/>
      <c r="H134" s="679"/>
      <c r="I134" s="679"/>
      <c r="J134" s="679"/>
      <c r="K134" s="679"/>
      <c r="L134" s="679"/>
      <c r="M134" s="679"/>
      <c r="N134" s="679"/>
      <c r="O134" s="679"/>
      <c r="P134" s="680"/>
    </row>
    <row r="135" spans="2:19">
      <c r="B135" s="678"/>
      <c r="C135" s="679"/>
      <c r="D135" s="679"/>
      <c r="E135" s="679"/>
      <c r="F135" s="679"/>
      <c r="G135" s="679"/>
      <c r="H135" s="679"/>
      <c r="I135" s="679"/>
      <c r="J135" s="679"/>
      <c r="K135" s="679"/>
      <c r="L135" s="679"/>
      <c r="M135" s="679"/>
      <c r="N135" s="679"/>
      <c r="O135" s="681"/>
      <c r="P135" s="680"/>
    </row>
    <row r="136" spans="2:19">
      <c r="B136" s="678"/>
      <c r="C136" s="679"/>
      <c r="D136" s="679"/>
      <c r="E136" s="679"/>
      <c r="F136" s="679"/>
      <c r="G136" s="679"/>
      <c r="H136" s="679"/>
      <c r="I136" s="679"/>
      <c r="J136" s="679"/>
      <c r="K136" s="679"/>
      <c r="L136" s="679"/>
      <c r="M136" s="679"/>
      <c r="N136" s="679"/>
      <c r="O136" s="679"/>
      <c r="P136" s="680"/>
      <c r="R136" s="682"/>
    </row>
    <row r="137" spans="2:19">
      <c r="B137" s="678"/>
      <c r="C137" s="679"/>
      <c r="D137" s="679"/>
      <c r="E137" s="679"/>
      <c r="F137" s="679"/>
      <c r="G137" s="679"/>
      <c r="H137" s="679"/>
      <c r="I137" s="679"/>
      <c r="J137" s="679"/>
      <c r="K137" s="679"/>
      <c r="L137" s="679"/>
      <c r="M137" s="679"/>
      <c r="N137" s="679"/>
      <c r="O137" s="679"/>
      <c r="P137" s="680"/>
    </row>
    <row r="138" spans="2:19">
      <c r="B138" s="678"/>
      <c r="C138" s="679"/>
      <c r="D138" s="679"/>
      <c r="E138" s="679"/>
      <c r="F138" s="679"/>
      <c r="G138" s="679"/>
      <c r="H138" s="679"/>
      <c r="I138" s="679"/>
      <c r="J138" s="679"/>
      <c r="K138" s="679"/>
      <c r="L138" s="679"/>
      <c r="M138" s="679"/>
      <c r="N138" s="679"/>
      <c r="O138" s="679"/>
      <c r="P138" s="680"/>
    </row>
    <row r="139" spans="2:19">
      <c r="B139" s="678"/>
      <c r="C139" s="679"/>
      <c r="D139" s="679"/>
      <c r="E139" s="679"/>
      <c r="F139" s="679"/>
      <c r="G139" s="679"/>
      <c r="H139" s="679"/>
      <c r="I139" s="679"/>
      <c r="J139" s="679"/>
      <c r="K139" s="679"/>
      <c r="L139" s="679"/>
      <c r="M139" s="679"/>
      <c r="N139" s="679"/>
      <c r="O139" s="679"/>
      <c r="P139" s="680"/>
    </row>
    <row r="140" spans="2:19">
      <c r="B140" s="678"/>
      <c r="C140" s="679"/>
      <c r="D140" s="679"/>
      <c r="E140" s="679"/>
      <c r="F140" s="679"/>
      <c r="G140" s="679"/>
      <c r="H140" s="679"/>
      <c r="I140" s="679"/>
      <c r="J140" s="679"/>
      <c r="K140" s="679"/>
      <c r="L140" s="679"/>
      <c r="M140" s="679"/>
      <c r="N140" s="679"/>
      <c r="O140" s="679"/>
      <c r="P140" s="680"/>
    </row>
    <row r="141" spans="2:19">
      <c r="B141" s="678"/>
      <c r="C141" s="679"/>
      <c r="D141" s="679"/>
      <c r="E141" s="679"/>
      <c r="F141" s="679"/>
      <c r="G141" s="679"/>
      <c r="H141" s="679"/>
      <c r="I141" s="679"/>
      <c r="J141" s="679"/>
      <c r="K141" s="679"/>
      <c r="L141" s="679"/>
      <c r="M141" s="679"/>
      <c r="N141" s="679"/>
      <c r="O141" s="679"/>
      <c r="P141" s="680"/>
    </row>
    <row r="142" spans="2:19">
      <c r="B142" s="678"/>
      <c r="C142" s="679"/>
      <c r="D142" s="679"/>
      <c r="E142" s="679"/>
      <c r="F142" s="679"/>
      <c r="G142" s="679"/>
      <c r="H142" s="679"/>
      <c r="I142" s="679"/>
      <c r="J142" s="679"/>
      <c r="K142" s="679"/>
      <c r="L142" s="679"/>
      <c r="M142" s="679"/>
      <c r="N142" s="679"/>
      <c r="O142" s="679"/>
      <c r="P142" s="680"/>
      <c r="S142" s="682"/>
    </row>
    <row r="143" spans="2:19">
      <c r="B143" s="678"/>
      <c r="C143" s="679"/>
      <c r="D143" s="679"/>
      <c r="E143" s="679"/>
      <c r="F143" s="679"/>
      <c r="G143" s="679"/>
      <c r="H143" s="679"/>
      <c r="I143" s="679"/>
      <c r="J143" s="679"/>
      <c r="K143" s="679"/>
      <c r="L143" s="679"/>
      <c r="M143" s="679"/>
      <c r="N143" s="679"/>
      <c r="O143" s="679"/>
      <c r="P143" s="680"/>
    </row>
    <row r="144" spans="2:19">
      <c r="B144" s="678"/>
      <c r="C144" s="679"/>
      <c r="D144" s="679"/>
      <c r="E144" s="679"/>
      <c r="F144" s="679"/>
      <c r="G144" s="679"/>
      <c r="H144" s="679"/>
      <c r="I144" s="679"/>
      <c r="J144" s="679"/>
      <c r="K144" s="679"/>
      <c r="L144" s="679"/>
      <c r="M144" s="679"/>
      <c r="N144" s="679"/>
      <c r="O144" s="679"/>
      <c r="P144" s="680"/>
    </row>
    <row r="145" spans="2:16">
      <c r="B145" s="678"/>
      <c r="C145" s="679"/>
      <c r="D145" s="679"/>
      <c r="E145" s="679"/>
      <c r="F145" s="679"/>
      <c r="G145" s="679"/>
      <c r="H145" s="679"/>
      <c r="I145" s="679"/>
      <c r="J145" s="679"/>
      <c r="K145" s="679"/>
      <c r="L145" s="679"/>
      <c r="M145" s="679"/>
      <c r="N145" s="679"/>
      <c r="O145" s="679"/>
      <c r="P145" s="680"/>
    </row>
    <row r="146" spans="2:16">
      <c r="B146" s="678"/>
      <c r="C146" s="679"/>
      <c r="D146" s="679"/>
      <c r="E146" s="679"/>
      <c r="F146" s="679"/>
      <c r="G146" s="679"/>
      <c r="H146" s="679"/>
      <c r="I146" s="679"/>
      <c r="J146" s="679"/>
      <c r="K146" s="679"/>
      <c r="L146" s="679"/>
      <c r="M146" s="679"/>
      <c r="N146" s="679"/>
      <c r="O146" s="679"/>
      <c r="P146" s="680"/>
    </row>
    <row r="147" spans="2:16">
      <c r="B147" s="678"/>
      <c r="C147" s="679"/>
      <c r="D147" s="679"/>
      <c r="E147" s="679"/>
      <c r="F147" s="679"/>
      <c r="G147" s="679"/>
      <c r="H147" s="679"/>
      <c r="I147" s="679"/>
      <c r="J147" s="679"/>
      <c r="K147" s="679"/>
      <c r="L147" s="679"/>
      <c r="M147" s="679"/>
      <c r="N147" s="679"/>
      <c r="O147" s="679"/>
      <c r="P147" s="680"/>
    </row>
    <row r="148" spans="2:16">
      <c r="B148" s="678"/>
      <c r="C148" s="679"/>
      <c r="D148" s="679"/>
      <c r="E148" s="679"/>
      <c r="F148" s="679"/>
      <c r="G148" s="679"/>
      <c r="H148" s="679"/>
      <c r="I148" s="679"/>
      <c r="J148" s="679"/>
      <c r="K148" s="679"/>
      <c r="L148" s="679"/>
      <c r="M148" s="679"/>
      <c r="N148" s="679"/>
      <c r="O148" s="679"/>
      <c r="P148" s="680"/>
    </row>
    <row r="149" spans="2:16">
      <c r="B149" s="678"/>
      <c r="C149" s="679"/>
      <c r="D149" s="679"/>
      <c r="E149" s="679"/>
      <c r="F149" s="679"/>
      <c r="G149" s="679"/>
      <c r="H149" s="679"/>
      <c r="I149" s="679"/>
      <c r="J149" s="679"/>
      <c r="K149" s="679"/>
      <c r="L149" s="679"/>
      <c r="M149" s="679"/>
      <c r="N149" s="679"/>
      <c r="O149" s="679"/>
      <c r="P149" s="680"/>
    </row>
    <row r="150" spans="2:16">
      <c r="B150" s="678"/>
      <c r="C150" s="679"/>
      <c r="D150" s="679"/>
      <c r="E150" s="679"/>
      <c r="F150" s="679"/>
      <c r="G150" s="679"/>
      <c r="H150" s="679"/>
      <c r="I150" s="679"/>
      <c r="J150" s="679"/>
      <c r="K150" s="679"/>
      <c r="L150" s="679"/>
      <c r="M150" s="679"/>
      <c r="N150" s="679"/>
      <c r="O150" s="679"/>
      <c r="P150" s="680"/>
    </row>
    <row r="151" spans="2:16">
      <c r="B151" s="678"/>
      <c r="C151" s="679"/>
      <c r="D151" s="679"/>
      <c r="E151" s="679"/>
      <c r="F151" s="679"/>
      <c r="G151" s="679"/>
      <c r="H151" s="679"/>
      <c r="I151" s="679"/>
      <c r="J151" s="679"/>
      <c r="K151" s="679"/>
      <c r="L151" s="679"/>
      <c r="M151" s="679"/>
      <c r="N151" s="679"/>
      <c r="O151" s="679"/>
      <c r="P151" s="680"/>
    </row>
    <row r="152" spans="2:16">
      <c r="B152" s="678"/>
      <c r="C152" s="679"/>
      <c r="D152" s="679"/>
      <c r="E152" s="679"/>
      <c r="F152" s="679"/>
      <c r="G152" s="679"/>
      <c r="H152" s="679"/>
      <c r="I152" s="679"/>
      <c r="J152" s="679"/>
      <c r="K152" s="679"/>
      <c r="L152" s="679"/>
      <c r="M152" s="679"/>
      <c r="N152" s="679"/>
      <c r="O152" s="679"/>
      <c r="P152" s="680"/>
    </row>
    <row r="153" spans="2:16">
      <c r="B153" s="678"/>
      <c r="C153" s="679"/>
      <c r="D153" s="679"/>
      <c r="E153" s="679"/>
      <c r="F153" s="679"/>
      <c r="G153" s="679"/>
      <c r="H153" s="679"/>
      <c r="I153" s="679"/>
      <c r="J153" s="679"/>
      <c r="K153" s="679"/>
      <c r="L153" s="679"/>
      <c r="M153" s="679"/>
      <c r="N153" s="679"/>
      <c r="O153" s="679"/>
      <c r="P153" s="680"/>
    </row>
    <row r="154" spans="2:16">
      <c r="B154" s="678"/>
      <c r="C154" s="679"/>
      <c r="D154" s="679"/>
      <c r="E154" s="679"/>
      <c r="F154" s="679"/>
      <c r="G154" s="679"/>
      <c r="H154" s="679"/>
      <c r="I154" s="679"/>
      <c r="J154" s="679"/>
      <c r="K154" s="679"/>
      <c r="L154" s="679"/>
      <c r="M154" s="679"/>
      <c r="N154" s="679"/>
      <c r="O154" s="679"/>
      <c r="P154" s="680"/>
    </row>
    <row r="155" spans="2:16">
      <c r="B155" s="678"/>
      <c r="C155" s="679"/>
      <c r="D155" s="679"/>
      <c r="E155" s="679"/>
      <c r="F155" s="679"/>
      <c r="G155" s="679"/>
      <c r="H155" s="679"/>
      <c r="I155" s="679"/>
      <c r="J155" s="679"/>
      <c r="K155" s="679"/>
      <c r="L155" s="679"/>
      <c r="M155" s="679"/>
      <c r="N155" s="679"/>
      <c r="O155" s="679"/>
      <c r="P155" s="680"/>
    </row>
    <row r="156" spans="2:16">
      <c r="B156" s="678"/>
      <c r="C156" s="679"/>
      <c r="D156" s="679"/>
      <c r="E156" s="679"/>
      <c r="F156" s="679"/>
      <c r="G156" s="679"/>
      <c r="H156" s="679"/>
      <c r="I156" s="679"/>
      <c r="J156" s="679"/>
      <c r="K156" s="679"/>
      <c r="L156" s="679"/>
      <c r="M156" s="679"/>
      <c r="N156" s="679"/>
      <c r="O156" s="679"/>
      <c r="P156" s="680"/>
    </row>
    <row r="157" spans="2:16">
      <c r="B157" s="678"/>
      <c r="C157" s="679"/>
      <c r="D157" s="679"/>
      <c r="E157" s="679"/>
      <c r="F157" s="679"/>
      <c r="G157" s="679"/>
      <c r="H157" s="679"/>
      <c r="I157" s="679"/>
      <c r="J157" s="679"/>
      <c r="K157" s="679"/>
      <c r="L157" s="679"/>
      <c r="M157" s="679"/>
      <c r="N157" s="679"/>
      <c r="O157" s="679"/>
      <c r="P157" s="680"/>
    </row>
    <row r="158" spans="2:16">
      <c r="B158" s="678"/>
      <c r="C158" s="679"/>
      <c r="D158" s="679"/>
      <c r="E158" s="679"/>
      <c r="F158" s="679"/>
      <c r="G158" s="679"/>
      <c r="H158" s="679"/>
      <c r="I158" s="679"/>
      <c r="J158" s="679"/>
      <c r="K158" s="679"/>
      <c r="L158" s="679"/>
      <c r="M158" s="679"/>
      <c r="N158" s="679"/>
      <c r="O158" s="679"/>
      <c r="P158" s="680"/>
    </row>
    <row r="159" spans="2:16">
      <c r="B159" s="678"/>
      <c r="C159" s="679"/>
      <c r="D159" s="679"/>
      <c r="E159" s="679"/>
      <c r="F159" s="679"/>
      <c r="G159" s="679"/>
      <c r="H159" s="679"/>
      <c r="I159" s="679"/>
      <c r="J159" s="679"/>
      <c r="K159" s="679"/>
      <c r="L159" s="679"/>
      <c r="M159" s="679"/>
      <c r="N159" s="679"/>
      <c r="O159" s="679"/>
      <c r="P159" s="680"/>
    </row>
    <row r="160" spans="2:16">
      <c r="B160" s="678"/>
      <c r="C160" s="679"/>
      <c r="D160" s="679"/>
      <c r="E160" s="679"/>
      <c r="F160" s="679"/>
      <c r="G160" s="679"/>
      <c r="H160" s="679"/>
      <c r="I160" s="679"/>
      <c r="J160" s="679"/>
      <c r="K160" s="679"/>
      <c r="L160" s="679"/>
      <c r="M160" s="679"/>
      <c r="N160" s="679"/>
      <c r="O160" s="679"/>
      <c r="P160" s="680"/>
    </row>
    <row r="161" spans="2:16">
      <c r="B161" s="678"/>
      <c r="C161" s="679"/>
      <c r="D161" s="679"/>
      <c r="E161" s="679"/>
      <c r="F161" s="679"/>
      <c r="G161" s="679"/>
      <c r="H161" s="679"/>
      <c r="I161" s="679"/>
      <c r="J161" s="679"/>
      <c r="K161" s="679"/>
      <c r="L161" s="679"/>
      <c r="M161" s="679"/>
      <c r="N161" s="679"/>
      <c r="O161" s="679"/>
      <c r="P161" s="680"/>
    </row>
    <row r="162" spans="2:16">
      <c r="B162" s="678"/>
      <c r="C162" s="679"/>
      <c r="D162" s="679"/>
      <c r="E162" s="679"/>
      <c r="F162" s="679"/>
      <c r="G162" s="679"/>
      <c r="H162" s="679"/>
      <c r="I162" s="679"/>
      <c r="J162" s="679"/>
      <c r="K162" s="679"/>
      <c r="L162" s="679"/>
      <c r="M162" s="679"/>
      <c r="N162" s="679"/>
      <c r="O162" s="679"/>
      <c r="P162" s="680"/>
    </row>
    <row r="163" spans="2:16">
      <c r="B163" s="678"/>
      <c r="C163" s="679"/>
      <c r="D163" s="679"/>
      <c r="E163" s="679"/>
      <c r="F163" s="679"/>
      <c r="G163" s="679"/>
      <c r="H163" s="679"/>
      <c r="I163" s="679"/>
      <c r="J163" s="679"/>
      <c r="K163" s="679"/>
      <c r="L163" s="679"/>
      <c r="M163" s="679"/>
      <c r="N163" s="679"/>
      <c r="O163" s="679"/>
      <c r="P163" s="680"/>
    </row>
    <row r="164" spans="2:16">
      <c r="B164" s="678"/>
      <c r="C164" s="679"/>
      <c r="D164" s="679"/>
      <c r="E164" s="679"/>
      <c r="F164" s="679"/>
      <c r="G164" s="679"/>
      <c r="H164" s="679"/>
      <c r="I164" s="679"/>
      <c r="J164" s="679"/>
      <c r="K164" s="679"/>
      <c r="L164" s="679"/>
      <c r="M164" s="679"/>
      <c r="N164" s="679"/>
      <c r="O164" s="679"/>
      <c r="P164" s="680"/>
    </row>
    <row r="165" spans="2:16" outlineLevel="1">
      <c r="B165" s="678"/>
      <c r="C165" s="679"/>
      <c r="D165" s="679"/>
      <c r="E165" s="679"/>
      <c r="F165" s="679"/>
      <c r="G165" s="679"/>
      <c r="H165" s="679"/>
      <c r="I165" s="679"/>
      <c r="J165" s="679"/>
      <c r="K165" s="679"/>
      <c r="L165" s="679"/>
      <c r="M165" s="679"/>
      <c r="N165" s="679"/>
      <c r="O165" s="679"/>
      <c r="P165" s="680"/>
    </row>
    <row r="166" spans="2:16" outlineLevel="1">
      <c r="B166" s="678">
        <f t="shared" ref="B166:B181" si="50">B65</f>
        <v>0</v>
      </c>
      <c r="C166" s="679">
        <f t="shared" ref="C166:N181" si="51">C65*O65</f>
        <v>0</v>
      </c>
      <c r="D166" s="679">
        <f t="shared" si="51"/>
        <v>0</v>
      </c>
      <c r="E166" s="679">
        <f t="shared" si="51"/>
        <v>0</v>
      </c>
      <c r="F166" s="679">
        <f t="shared" si="51"/>
        <v>0</v>
      </c>
      <c r="G166" s="679">
        <f t="shared" si="51"/>
        <v>0</v>
      </c>
      <c r="H166" s="679">
        <f t="shared" si="51"/>
        <v>0</v>
      </c>
      <c r="I166" s="679">
        <f t="shared" si="51"/>
        <v>0</v>
      </c>
      <c r="J166" s="679">
        <f t="shared" si="51"/>
        <v>0</v>
      </c>
      <c r="K166" s="679">
        <f t="shared" si="51"/>
        <v>0</v>
      </c>
      <c r="L166" s="679">
        <f t="shared" si="51"/>
        <v>0</v>
      </c>
      <c r="M166" s="679">
        <f t="shared" si="51"/>
        <v>0</v>
      </c>
      <c r="N166" s="679">
        <f t="shared" si="51"/>
        <v>0</v>
      </c>
      <c r="O166" s="679">
        <f t="shared" ref="O166:O181" si="52">SUM(C166:N166)</f>
        <v>0</v>
      </c>
      <c r="P166" s="680" t="e">
        <f t="shared" ref="P166:P181" si="53">O166/SUM(C65:N65)</f>
        <v>#DIV/0!</v>
      </c>
    </row>
    <row r="167" spans="2:16" outlineLevel="1">
      <c r="B167" s="678">
        <f t="shared" si="50"/>
        <v>0</v>
      </c>
      <c r="C167" s="679">
        <f t="shared" si="51"/>
        <v>0</v>
      </c>
      <c r="D167" s="679">
        <f t="shared" si="51"/>
        <v>0</v>
      </c>
      <c r="E167" s="679">
        <f t="shared" si="51"/>
        <v>0</v>
      </c>
      <c r="F167" s="679">
        <f t="shared" si="51"/>
        <v>0</v>
      </c>
      <c r="G167" s="679">
        <f t="shared" si="51"/>
        <v>0</v>
      </c>
      <c r="H167" s="679">
        <f t="shared" si="51"/>
        <v>0</v>
      </c>
      <c r="I167" s="679">
        <f t="shared" si="51"/>
        <v>0</v>
      </c>
      <c r="J167" s="679">
        <f t="shared" si="51"/>
        <v>0</v>
      </c>
      <c r="K167" s="679">
        <f t="shared" si="51"/>
        <v>0</v>
      </c>
      <c r="L167" s="679">
        <f t="shared" si="51"/>
        <v>0</v>
      </c>
      <c r="M167" s="679">
        <f t="shared" si="51"/>
        <v>0</v>
      </c>
      <c r="N167" s="679">
        <f t="shared" si="51"/>
        <v>0</v>
      </c>
      <c r="O167" s="679">
        <f t="shared" si="52"/>
        <v>0</v>
      </c>
      <c r="P167" s="680" t="e">
        <f t="shared" si="53"/>
        <v>#DIV/0!</v>
      </c>
    </row>
    <row r="168" spans="2:16" outlineLevel="1">
      <c r="B168" s="678">
        <f t="shared" si="50"/>
        <v>0</v>
      </c>
      <c r="C168" s="679">
        <f t="shared" si="51"/>
        <v>0</v>
      </c>
      <c r="D168" s="679">
        <f t="shared" si="51"/>
        <v>0</v>
      </c>
      <c r="E168" s="679">
        <f t="shared" si="51"/>
        <v>0</v>
      </c>
      <c r="F168" s="679">
        <f t="shared" si="51"/>
        <v>0</v>
      </c>
      <c r="G168" s="679">
        <f t="shared" si="51"/>
        <v>0</v>
      </c>
      <c r="H168" s="679">
        <f t="shared" si="51"/>
        <v>0</v>
      </c>
      <c r="I168" s="679">
        <f t="shared" si="51"/>
        <v>0</v>
      </c>
      <c r="J168" s="679">
        <f t="shared" si="51"/>
        <v>0</v>
      </c>
      <c r="K168" s="679">
        <f t="shared" si="51"/>
        <v>0</v>
      </c>
      <c r="L168" s="679">
        <f t="shared" si="51"/>
        <v>0</v>
      </c>
      <c r="M168" s="679">
        <f t="shared" si="51"/>
        <v>0</v>
      </c>
      <c r="N168" s="679">
        <f t="shared" si="51"/>
        <v>0</v>
      </c>
      <c r="O168" s="679">
        <f t="shared" si="52"/>
        <v>0</v>
      </c>
      <c r="P168" s="680" t="e">
        <f t="shared" si="53"/>
        <v>#DIV/0!</v>
      </c>
    </row>
    <row r="169" spans="2:16" outlineLevel="1">
      <c r="B169" s="678">
        <f t="shared" si="50"/>
        <v>0</v>
      </c>
      <c r="C169" s="679">
        <f t="shared" si="51"/>
        <v>0</v>
      </c>
      <c r="D169" s="679">
        <f t="shared" si="51"/>
        <v>0</v>
      </c>
      <c r="E169" s="679">
        <f t="shared" si="51"/>
        <v>0</v>
      </c>
      <c r="F169" s="679">
        <f t="shared" si="51"/>
        <v>0</v>
      </c>
      <c r="G169" s="679">
        <f t="shared" si="51"/>
        <v>0</v>
      </c>
      <c r="H169" s="679">
        <f t="shared" si="51"/>
        <v>0</v>
      </c>
      <c r="I169" s="679">
        <f t="shared" si="51"/>
        <v>0</v>
      </c>
      <c r="J169" s="679">
        <f t="shared" si="51"/>
        <v>0</v>
      </c>
      <c r="K169" s="679">
        <f t="shared" si="51"/>
        <v>0</v>
      </c>
      <c r="L169" s="679">
        <f t="shared" si="51"/>
        <v>0</v>
      </c>
      <c r="M169" s="679">
        <f t="shared" si="51"/>
        <v>0</v>
      </c>
      <c r="N169" s="679">
        <f t="shared" si="51"/>
        <v>0</v>
      </c>
      <c r="O169" s="679">
        <f t="shared" si="52"/>
        <v>0</v>
      </c>
      <c r="P169" s="680" t="e">
        <f t="shared" si="53"/>
        <v>#DIV/0!</v>
      </c>
    </row>
    <row r="170" spans="2:16" outlineLevel="1">
      <c r="B170" s="678">
        <f t="shared" si="50"/>
        <v>0</v>
      </c>
      <c r="C170" s="679">
        <f t="shared" si="51"/>
        <v>0</v>
      </c>
      <c r="D170" s="679">
        <f t="shared" si="51"/>
        <v>0</v>
      </c>
      <c r="E170" s="679">
        <f t="shared" si="51"/>
        <v>0</v>
      </c>
      <c r="F170" s="679">
        <f t="shared" si="51"/>
        <v>0</v>
      </c>
      <c r="G170" s="679">
        <f t="shared" si="51"/>
        <v>0</v>
      </c>
      <c r="H170" s="679">
        <f t="shared" si="51"/>
        <v>0</v>
      </c>
      <c r="I170" s="679">
        <f t="shared" si="51"/>
        <v>0</v>
      </c>
      <c r="J170" s="679">
        <f t="shared" si="51"/>
        <v>0</v>
      </c>
      <c r="K170" s="679">
        <f t="shared" si="51"/>
        <v>0</v>
      </c>
      <c r="L170" s="679">
        <f t="shared" si="51"/>
        <v>0</v>
      </c>
      <c r="M170" s="679">
        <f t="shared" si="51"/>
        <v>0</v>
      </c>
      <c r="N170" s="679">
        <f t="shared" si="51"/>
        <v>0</v>
      </c>
      <c r="O170" s="679">
        <f t="shared" si="52"/>
        <v>0</v>
      </c>
      <c r="P170" s="680" t="e">
        <f t="shared" si="53"/>
        <v>#DIV/0!</v>
      </c>
    </row>
    <row r="171" spans="2:16" outlineLevel="1">
      <c r="B171" s="678">
        <f t="shared" si="50"/>
        <v>0</v>
      </c>
      <c r="C171" s="679">
        <f t="shared" si="51"/>
        <v>0</v>
      </c>
      <c r="D171" s="679">
        <f t="shared" si="51"/>
        <v>0</v>
      </c>
      <c r="E171" s="679">
        <f t="shared" si="51"/>
        <v>0</v>
      </c>
      <c r="F171" s="679">
        <f t="shared" si="51"/>
        <v>0</v>
      </c>
      <c r="G171" s="679">
        <f t="shared" si="51"/>
        <v>0</v>
      </c>
      <c r="H171" s="679">
        <f t="shared" si="51"/>
        <v>0</v>
      </c>
      <c r="I171" s="679">
        <f t="shared" si="51"/>
        <v>0</v>
      </c>
      <c r="J171" s="679">
        <f t="shared" si="51"/>
        <v>0</v>
      </c>
      <c r="K171" s="679">
        <f t="shared" si="51"/>
        <v>0</v>
      </c>
      <c r="L171" s="679">
        <f t="shared" si="51"/>
        <v>0</v>
      </c>
      <c r="M171" s="679">
        <f t="shared" si="51"/>
        <v>0</v>
      </c>
      <c r="N171" s="679">
        <f t="shared" si="51"/>
        <v>0</v>
      </c>
      <c r="O171" s="679">
        <f t="shared" si="52"/>
        <v>0</v>
      </c>
      <c r="P171" s="680" t="e">
        <f t="shared" si="53"/>
        <v>#DIV/0!</v>
      </c>
    </row>
    <row r="172" spans="2:16" outlineLevel="1">
      <c r="B172" s="678">
        <f t="shared" si="50"/>
        <v>0</v>
      </c>
      <c r="C172" s="679">
        <f t="shared" si="51"/>
        <v>0</v>
      </c>
      <c r="D172" s="679">
        <f t="shared" si="51"/>
        <v>0</v>
      </c>
      <c r="E172" s="679">
        <f t="shared" si="51"/>
        <v>0</v>
      </c>
      <c r="F172" s="679">
        <f t="shared" si="51"/>
        <v>0</v>
      </c>
      <c r="G172" s="679">
        <f t="shared" si="51"/>
        <v>0</v>
      </c>
      <c r="H172" s="679">
        <f t="shared" si="51"/>
        <v>0</v>
      </c>
      <c r="I172" s="679">
        <f t="shared" si="51"/>
        <v>0</v>
      </c>
      <c r="J172" s="679">
        <f t="shared" si="51"/>
        <v>0</v>
      </c>
      <c r="K172" s="679">
        <f t="shared" si="51"/>
        <v>0</v>
      </c>
      <c r="L172" s="679">
        <f t="shared" si="51"/>
        <v>0</v>
      </c>
      <c r="M172" s="679">
        <f t="shared" si="51"/>
        <v>0</v>
      </c>
      <c r="N172" s="679">
        <f t="shared" si="51"/>
        <v>0</v>
      </c>
      <c r="O172" s="679">
        <f t="shared" si="52"/>
        <v>0</v>
      </c>
      <c r="P172" s="680" t="e">
        <f t="shared" si="53"/>
        <v>#DIV/0!</v>
      </c>
    </row>
    <row r="173" spans="2:16" outlineLevel="1">
      <c r="B173" s="678">
        <f t="shared" si="50"/>
        <v>0</v>
      </c>
      <c r="C173" s="679">
        <f t="shared" si="51"/>
        <v>0</v>
      </c>
      <c r="D173" s="679">
        <f t="shared" si="51"/>
        <v>0</v>
      </c>
      <c r="E173" s="679">
        <f t="shared" si="51"/>
        <v>0</v>
      </c>
      <c r="F173" s="679">
        <f t="shared" si="51"/>
        <v>0</v>
      </c>
      <c r="G173" s="679">
        <f t="shared" si="51"/>
        <v>0</v>
      </c>
      <c r="H173" s="679">
        <f t="shared" si="51"/>
        <v>0</v>
      </c>
      <c r="I173" s="679">
        <f t="shared" si="51"/>
        <v>0</v>
      </c>
      <c r="J173" s="679">
        <f t="shared" si="51"/>
        <v>0</v>
      </c>
      <c r="K173" s="679">
        <f t="shared" si="51"/>
        <v>0</v>
      </c>
      <c r="L173" s="679">
        <f t="shared" si="51"/>
        <v>0</v>
      </c>
      <c r="M173" s="679">
        <f t="shared" si="51"/>
        <v>0</v>
      </c>
      <c r="N173" s="679">
        <f t="shared" si="51"/>
        <v>0</v>
      </c>
      <c r="O173" s="679">
        <f t="shared" si="52"/>
        <v>0</v>
      </c>
      <c r="P173" s="680" t="e">
        <f t="shared" si="53"/>
        <v>#DIV/0!</v>
      </c>
    </row>
    <row r="174" spans="2:16" outlineLevel="1">
      <c r="B174" s="678">
        <f t="shared" si="50"/>
        <v>0</v>
      </c>
      <c r="C174" s="679">
        <f t="shared" si="51"/>
        <v>0</v>
      </c>
      <c r="D174" s="679">
        <f t="shared" si="51"/>
        <v>0</v>
      </c>
      <c r="E174" s="679">
        <f t="shared" si="51"/>
        <v>0</v>
      </c>
      <c r="F174" s="679">
        <f t="shared" si="51"/>
        <v>0</v>
      </c>
      <c r="G174" s="679">
        <f t="shared" si="51"/>
        <v>0</v>
      </c>
      <c r="H174" s="679">
        <f t="shared" si="51"/>
        <v>0</v>
      </c>
      <c r="I174" s="679">
        <f t="shared" si="51"/>
        <v>0</v>
      </c>
      <c r="J174" s="679">
        <f t="shared" si="51"/>
        <v>0</v>
      </c>
      <c r="K174" s="679">
        <f t="shared" si="51"/>
        <v>0</v>
      </c>
      <c r="L174" s="679">
        <f t="shared" si="51"/>
        <v>0</v>
      </c>
      <c r="M174" s="679">
        <f t="shared" si="51"/>
        <v>0</v>
      </c>
      <c r="N174" s="679">
        <f t="shared" si="51"/>
        <v>0</v>
      </c>
      <c r="O174" s="679">
        <f t="shared" si="52"/>
        <v>0</v>
      </c>
      <c r="P174" s="680" t="e">
        <f t="shared" si="53"/>
        <v>#DIV/0!</v>
      </c>
    </row>
    <row r="175" spans="2:16" outlineLevel="1">
      <c r="B175" s="678">
        <f t="shared" si="50"/>
        <v>0</v>
      </c>
      <c r="C175" s="679">
        <f t="shared" si="51"/>
        <v>0</v>
      </c>
      <c r="D175" s="679">
        <f t="shared" si="51"/>
        <v>0</v>
      </c>
      <c r="E175" s="679">
        <f t="shared" si="51"/>
        <v>0</v>
      </c>
      <c r="F175" s="679">
        <f t="shared" si="51"/>
        <v>0</v>
      </c>
      <c r="G175" s="679">
        <f t="shared" si="51"/>
        <v>0</v>
      </c>
      <c r="H175" s="679">
        <f t="shared" si="51"/>
        <v>0</v>
      </c>
      <c r="I175" s="679">
        <f t="shared" si="51"/>
        <v>0</v>
      </c>
      <c r="J175" s="679">
        <f t="shared" si="51"/>
        <v>0</v>
      </c>
      <c r="K175" s="679">
        <f t="shared" si="51"/>
        <v>0</v>
      </c>
      <c r="L175" s="679">
        <f t="shared" si="51"/>
        <v>0</v>
      </c>
      <c r="M175" s="679">
        <f t="shared" si="51"/>
        <v>0</v>
      </c>
      <c r="N175" s="679">
        <f t="shared" si="51"/>
        <v>0</v>
      </c>
      <c r="O175" s="679">
        <f t="shared" si="52"/>
        <v>0</v>
      </c>
      <c r="P175" s="680" t="e">
        <f t="shared" si="53"/>
        <v>#DIV/0!</v>
      </c>
    </row>
    <row r="176" spans="2:16" outlineLevel="1">
      <c r="B176" s="678">
        <f t="shared" si="50"/>
        <v>0</v>
      </c>
      <c r="C176" s="679">
        <f t="shared" si="51"/>
        <v>0</v>
      </c>
      <c r="D176" s="679">
        <f t="shared" si="51"/>
        <v>0</v>
      </c>
      <c r="E176" s="679">
        <f t="shared" si="51"/>
        <v>0</v>
      </c>
      <c r="F176" s="679">
        <f t="shared" si="51"/>
        <v>0</v>
      </c>
      <c r="G176" s="679">
        <f t="shared" si="51"/>
        <v>0</v>
      </c>
      <c r="H176" s="679">
        <f t="shared" si="51"/>
        <v>0</v>
      </c>
      <c r="I176" s="679">
        <f t="shared" si="51"/>
        <v>0</v>
      </c>
      <c r="J176" s="679">
        <f t="shared" si="51"/>
        <v>0</v>
      </c>
      <c r="K176" s="679">
        <f t="shared" si="51"/>
        <v>0</v>
      </c>
      <c r="L176" s="679">
        <f t="shared" si="51"/>
        <v>0</v>
      </c>
      <c r="M176" s="679">
        <f t="shared" si="51"/>
        <v>0</v>
      </c>
      <c r="N176" s="679">
        <f t="shared" si="51"/>
        <v>0</v>
      </c>
      <c r="O176" s="679">
        <f t="shared" si="52"/>
        <v>0</v>
      </c>
      <c r="P176" s="680" t="e">
        <f t="shared" si="53"/>
        <v>#DIV/0!</v>
      </c>
    </row>
    <row r="177" spans="2:16" outlineLevel="1">
      <c r="B177" s="678">
        <f t="shared" si="50"/>
        <v>0</v>
      </c>
      <c r="C177" s="679">
        <f t="shared" si="51"/>
        <v>0</v>
      </c>
      <c r="D177" s="679">
        <f t="shared" si="51"/>
        <v>0</v>
      </c>
      <c r="E177" s="679">
        <f t="shared" si="51"/>
        <v>0</v>
      </c>
      <c r="F177" s="679">
        <f t="shared" si="51"/>
        <v>0</v>
      </c>
      <c r="G177" s="679">
        <f t="shared" si="51"/>
        <v>0</v>
      </c>
      <c r="H177" s="679">
        <f t="shared" si="51"/>
        <v>0</v>
      </c>
      <c r="I177" s="679">
        <f t="shared" si="51"/>
        <v>0</v>
      </c>
      <c r="J177" s="679">
        <f t="shared" si="51"/>
        <v>0</v>
      </c>
      <c r="K177" s="679">
        <f t="shared" si="51"/>
        <v>0</v>
      </c>
      <c r="L177" s="679">
        <f t="shared" si="51"/>
        <v>0</v>
      </c>
      <c r="M177" s="679">
        <f t="shared" si="51"/>
        <v>0</v>
      </c>
      <c r="N177" s="679">
        <f t="shared" si="51"/>
        <v>0</v>
      </c>
      <c r="O177" s="679">
        <f t="shared" si="52"/>
        <v>0</v>
      </c>
      <c r="P177" s="680" t="e">
        <f t="shared" si="53"/>
        <v>#DIV/0!</v>
      </c>
    </row>
    <row r="178" spans="2:16" outlineLevel="1">
      <c r="B178" s="678">
        <f t="shared" si="50"/>
        <v>0</v>
      </c>
      <c r="C178" s="679">
        <f t="shared" si="51"/>
        <v>0</v>
      </c>
      <c r="D178" s="679">
        <f t="shared" si="51"/>
        <v>0</v>
      </c>
      <c r="E178" s="679">
        <f t="shared" si="51"/>
        <v>0</v>
      </c>
      <c r="F178" s="679">
        <f t="shared" si="51"/>
        <v>0</v>
      </c>
      <c r="G178" s="679">
        <f t="shared" si="51"/>
        <v>0</v>
      </c>
      <c r="H178" s="679">
        <f t="shared" si="51"/>
        <v>0</v>
      </c>
      <c r="I178" s="679">
        <f t="shared" si="51"/>
        <v>0</v>
      </c>
      <c r="J178" s="679">
        <f t="shared" si="51"/>
        <v>0</v>
      </c>
      <c r="K178" s="679">
        <f t="shared" si="51"/>
        <v>0</v>
      </c>
      <c r="L178" s="679">
        <f t="shared" si="51"/>
        <v>0</v>
      </c>
      <c r="M178" s="679">
        <f t="shared" si="51"/>
        <v>0</v>
      </c>
      <c r="N178" s="679">
        <f t="shared" si="51"/>
        <v>0</v>
      </c>
      <c r="O178" s="679">
        <f t="shared" si="52"/>
        <v>0</v>
      </c>
      <c r="P178" s="680" t="e">
        <f t="shared" si="53"/>
        <v>#DIV/0!</v>
      </c>
    </row>
    <row r="179" spans="2:16" outlineLevel="1">
      <c r="B179" s="678">
        <f t="shared" si="50"/>
        <v>0</v>
      </c>
      <c r="C179" s="679">
        <f t="shared" si="51"/>
        <v>0</v>
      </c>
      <c r="D179" s="679">
        <f t="shared" si="51"/>
        <v>0</v>
      </c>
      <c r="E179" s="679">
        <f t="shared" si="51"/>
        <v>0</v>
      </c>
      <c r="F179" s="679">
        <f t="shared" si="51"/>
        <v>0</v>
      </c>
      <c r="G179" s="679">
        <f t="shared" si="51"/>
        <v>0</v>
      </c>
      <c r="H179" s="679">
        <f t="shared" si="51"/>
        <v>0</v>
      </c>
      <c r="I179" s="679">
        <f t="shared" si="51"/>
        <v>0</v>
      </c>
      <c r="J179" s="679">
        <f t="shared" si="51"/>
        <v>0</v>
      </c>
      <c r="K179" s="679">
        <f t="shared" si="51"/>
        <v>0</v>
      </c>
      <c r="L179" s="679">
        <f t="shared" si="51"/>
        <v>0</v>
      </c>
      <c r="M179" s="679">
        <f t="shared" si="51"/>
        <v>0</v>
      </c>
      <c r="N179" s="679">
        <f t="shared" si="51"/>
        <v>0</v>
      </c>
      <c r="O179" s="679">
        <f t="shared" si="52"/>
        <v>0</v>
      </c>
      <c r="P179" s="680" t="e">
        <f t="shared" si="53"/>
        <v>#DIV/0!</v>
      </c>
    </row>
    <row r="180" spans="2:16" outlineLevel="1">
      <c r="B180" s="678">
        <f t="shared" si="50"/>
        <v>0</v>
      </c>
      <c r="C180" s="679">
        <f t="shared" si="51"/>
        <v>0</v>
      </c>
      <c r="D180" s="679">
        <f t="shared" si="51"/>
        <v>0</v>
      </c>
      <c r="E180" s="679">
        <f t="shared" si="51"/>
        <v>0</v>
      </c>
      <c r="F180" s="679">
        <f t="shared" si="51"/>
        <v>0</v>
      </c>
      <c r="G180" s="679">
        <f t="shared" si="51"/>
        <v>0</v>
      </c>
      <c r="H180" s="679">
        <f t="shared" si="51"/>
        <v>0</v>
      </c>
      <c r="I180" s="679">
        <f t="shared" si="51"/>
        <v>0</v>
      </c>
      <c r="J180" s="679">
        <f t="shared" si="51"/>
        <v>0</v>
      </c>
      <c r="K180" s="679">
        <f t="shared" si="51"/>
        <v>0</v>
      </c>
      <c r="L180" s="679">
        <f t="shared" si="51"/>
        <v>0</v>
      </c>
      <c r="M180" s="679">
        <f t="shared" si="51"/>
        <v>0</v>
      </c>
      <c r="N180" s="679">
        <v>0</v>
      </c>
      <c r="O180" s="679">
        <f t="shared" si="52"/>
        <v>0</v>
      </c>
      <c r="P180" s="680" t="e">
        <f t="shared" si="53"/>
        <v>#DIV/0!</v>
      </c>
    </row>
    <row r="181" spans="2:16" ht="13.5" outlineLevel="1" thickBot="1">
      <c r="B181" s="678">
        <f t="shared" si="50"/>
        <v>0</v>
      </c>
      <c r="C181" s="683">
        <f t="shared" si="51"/>
        <v>0</v>
      </c>
      <c r="D181" s="683">
        <f t="shared" si="51"/>
        <v>0</v>
      </c>
      <c r="E181" s="683">
        <f t="shared" si="51"/>
        <v>0</v>
      </c>
      <c r="F181" s="683">
        <f t="shared" si="51"/>
        <v>0</v>
      </c>
      <c r="G181" s="683">
        <f t="shared" si="51"/>
        <v>0</v>
      </c>
      <c r="H181" s="683">
        <f t="shared" si="51"/>
        <v>0</v>
      </c>
      <c r="I181" s="683">
        <f t="shared" si="51"/>
        <v>0</v>
      </c>
      <c r="J181" s="683">
        <f t="shared" si="51"/>
        <v>0</v>
      </c>
      <c r="K181" s="683">
        <f t="shared" si="51"/>
        <v>0</v>
      </c>
      <c r="L181" s="683">
        <f t="shared" si="51"/>
        <v>0</v>
      </c>
      <c r="M181" s="683">
        <f t="shared" si="51"/>
        <v>0</v>
      </c>
      <c r="N181" s="683">
        <f>N80*Z80</f>
        <v>0</v>
      </c>
      <c r="O181" s="679">
        <f t="shared" si="52"/>
        <v>0</v>
      </c>
      <c r="P181" s="680" t="e">
        <f t="shared" si="53"/>
        <v>#DIV/0!</v>
      </c>
    </row>
    <row r="182" spans="2:16">
      <c r="B182" s="678" t="s">
        <v>504</v>
      </c>
      <c r="C182" s="684">
        <f t="shared" ref="C182:N182" si="54">IF(C220=0,0,C220/C118)</f>
        <v>0</v>
      </c>
      <c r="D182" s="684">
        <f t="shared" si="54"/>
        <v>0</v>
      </c>
      <c r="E182" s="684">
        <f t="shared" si="54"/>
        <v>0</v>
      </c>
      <c r="F182" s="684">
        <f t="shared" si="54"/>
        <v>0</v>
      </c>
      <c r="G182" s="684">
        <f t="shared" si="54"/>
        <v>0</v>
      </c>
      <c r="H182" s="684">
        <f t="shared" si="54"/>
        <v>0</v>
      </c>
      <c r="I182" s="684">
        <f t="shared" si="54"/>
        <v>0</v>
      </c>
      <c r="J182" s="684">
        <f t="shared" si="54"/>
        <v>0</v>
      </c>
      <c r="K182" s="684">
        <f t="shared" si="54"/>
        <v>0</v>
      </c>
      <c r="L182" s="684">
        <f t="shared" si="54"/>
        <v>0</v>
      </c>
      <c r="M182" s="684">
        <f t="shared" si="54"/>
        <v>0</v>
      </c>
      <c r="N182" s="684">
        <f t="shared" si="54"/>
        <v>0</v>
      </c>
      <c r="O182" s="679">
        <f>SUM(O122:O181)</f>
        <v>0</v>
      </c>
      <c r="P182" s="680" t="e">
        <f>O182/SUM(C118:N118)</f>
        <v>#DIV/0!</v>
      </c>
    </row>
    <row r="183" spans="2:16">
      <c r="B183" s="685">
        <f t="shared" ref="B183:B217" si="55">B81</f>
        <v>0</v>
      </c>
      <c r="C183" s="686"/>
      <c r="D183" s="686"/>
      <c r="E183" s="686"/>
      <c r="F183" s="686"/>
      <c r="G183" s="686"/>
      <c r="H183" s="686"/>
      <c r="I183" s="686"/>
      <c r="J183" s="686"/>
      <c r="K183" s="686"/>
      <c r="L183" s="686"/>
      <c r="M183" s="686"/>
      <c r="N183" s="686"/>
      <c r="O183" s="679">
        <f t="shared" ref="O183:O219" si="56">SUM(C183:N183)</f>
        <v>0</v>
      </c>
      <c r="P183" s="680" t="e">
        <f t="shared" ref="P183:P221" si="57">O183/SUM(C81:N81)</f>
        <v>#DIV/0!</v>
      </c>
    </row>
    <row r="184" spans="2:16">
      <c r="B184" s="685">
        <f t="shared" si="55"/>
        <v>0</v>
      </c>
      <c r="C184" s="686"/>
      <c r="D184" s="686"/>
      <c r="E184" s="686"/>
      <c r="F184" s="686"/>
      <c r="G184" s="686"/>
      <c r="H184" s="686"/>
      <c r="I184" s="686"/>
      <c r="J184" s="686"/>
      <c r="K184" s="686"/>
      <c r="L184" s="686"/>
      <c r="M184" s="686"/>
      <c r="N184" s="686"/>
      <c r="O184" s="679">
        <f t="shared" si="56"/>
        <v>0</v>
      </c>
      <c r="P184" s="680" t="e">
        <f t="shared" si="57"/>
        <v>#DIV/0!</v>
      </c>
    </row>
    <row r="185" spans="2:16">
      <c r="B185" s="685">
        <f t="shared" si="55"/>
        <v>0</v>
      </c>
      <c r="C185" s="686"/>
      <c r="D185" s="686"/>
      <c r="E185" s="686"/>
      <c r="F185" s="686"/>
      <c r="G185" s="686"/>
      <c r="H185" s="686"/>
      <c r="I185" s="686"/>
      <c r="J185" s="686"/>
      <c r="K185" s="686"/>
      <c r="L185" s="686"/>
      <c r="M185" s="686"/>
      <c r="N185" s="686"/>
      <c r="O185" s="679">
        <f t="shared" si="56"/>
        <v>0</v>
      </c>
      <c r="P185" s="680" t="e">
        <f t="shared" si="57"/>
        <v>#DIV/0!</v>
      </c>
    </row>
    <row r="186" spans="2:16">
      <c r="B186" s="685">
        <f t="shared" si="55"/>
        <v>0</v>
      </c>
      <c r="C186" s="686"/>
      <c r="D186" s="686"/>
      <c r="E186" s="686"/>
      <c r="F186" s="686"/>
      <c r="G186" s="686"/>
      <c r="H186" s="686"/>
      <c r="I186" s="686"/>
      <c r="J186" s="686"/>
      <c r="K186" s="686"/>
      <c r="L186" s="686"/>
      <c r="M186" s="686"/>
      <c r="N186" s="686"/>
      <c r="O186" s="679">
        <f t="shared" si="56"/>
        <v>0</v>
      </c>
      <c r="P186" s="680" t="e">
        <f t="shared" si="57"/>
        <v>#DIV/0!</v>
      </c>
    </row>
    <row r="187" spans="2:16">
      <c r="B187" s="685">
        <f t="shared" si="55"/>
        <v>0</v>
      </c>
      <c r="C187" s="686"/>
      <c r="D187" s="686"/>
      <c r="E187" s="686"/>
      <c r="F187" s="686"/>
      <c r="G187" s="686"/>
      <c r="H187" s="686"/>
      <c r="I187" s="686"/>
      <c r="J187" s="686"/>
      <c r="K187" s="686"/>
      <c r="L187" s="686"/>
      <c r="M187" s="686"/>
      <c r="N187" s="686"/>
      <c r="O187" s="679">
        <f t="shared" si="56"/>
        <v>0</v>
      </c>
      <c r="P187" s="680" t="e">
        <f t="shared" si="57"/>
        <v>#DIV/0!</v>
      </c>
    </row>
    <row r="188" spans="2:16">
      <c r="B188" s="685">
        <f t="shared" si="55"/>
        <v>0</v>
      </c>
      <c r="C188" s="686"/>
      <c r="D188" s="686"/>
      <c r="E188" s="686"/>
      <c r="F188" s="686"/>
      <c r="G188" s="686"/>
      <c r="H188" s="686"/>
      <c r="I188" s="686"/>
      <c r="J188" s="686"/>
      <c r="K188" s="686"/>
      <c r="L188" s="686"/>
      <c r="M188" s="686"/>
      <c r="N188" s="686"/>
      <c r="O188" s="679">
        <f t="shared" si="56"/>
        <v>0</v>
      </c>
      <c r="P188" s="680" t="e">
        <f t="shared" si="57"/>
        <v>#DIV/0!</v>
      </c>
    </row>
    <row r="189" spans="2:16">
      <c r="B189" s="685">
        <f t="shared" si="55"/>
        <v>0</v>
      </c>
      <c r="C189" s="686"/>
      <c r="D189" s="686"/>
      <c r="E189" s="686"/>
      <c r="F189" s="686"/>
      <c r="G189" s="686"/>
      <c r="H189" s="686"/>
      <c r="I189" s="686"/>
      <c r="J189" s="686"/>
      <c r="K189" s="686"/>
      <c r="L189" s="686"/>
      <c r="M189" s="686"/>
      <c r="N189" s="686"/>
      <c r="O189" s="679">
        <f t="shared" si="56"/>
        <v>0</v>
      </c>
      <c r="P189" s="680" t="e">
        <f t="shared" si="57"/>
        <v>#DIV/0!</v>
      </c>
    </row>
    <row r="190" spans="2:16">
      <c r="B190" s="685">
        <f t="shared" si="55"/>
        <v>0</v>
      </c>
      <c r="C190" s="686"/>
      <c r="D190" s="686"/>
      <c r="E190" s="686"/>
      <c r="F190" s="686"/>
      <c r="G190" s="686"/>
      <c r="H190" s="686"/>
      <c r="I190" s="686"/>
      <c r="J190" s="686"/>
      <c r="K190" s="686"/>
      <c r="L190" s="686"/>
      <c r="M190" s="686"/>
      <c r="N190" s="686"/>
      <c r="O190" s="679">
        <f t="shared" si="56"/>
        <v>0</v>
      </c>
      <c r="P190" s="680" t="e">
        <f t="shared" si="57"/>
        <v>#DIV/0!</v>
      </c>
    </row>
    <row r="191" spans="2:16">
      <c r="B191" s="685">
        <f t="shared" si="55"/>
        <v>0</v>
      </c>
      <c r="C191" s="686"/>
      <c r="D191" s="686"/>
      <c r="E191" s="686"/>
      <c r="F191" s="686"/>
      <c r="G191" s="686"/>
      <c r="H191" s="686"/>
      <c r="I191" s="686"/>
      <c r="J191" s="686"/>
      <c r="K191" s="686"/>
      <c r="L191" s="686"/>
      <c r="M191" s="686"/>
      <c r="N191" s="686"/>
      <c r="O191" s="679">
        <f t="shared" si="56"/>
        <v>0</v>
      </c>
      <c r="P191" s="680" t="e">
        <f t="shared" si="57"/>
        <v>#DIV/0!</v>
      </c>
    </row>
    <row r="192" spans="2:16">
      <c r="B192" s="685">
        <f t="shared" si="55"/>
        <v>0</v>
      </c>
      <c r="C192" s="686"/>
      <c r="D192" s="686"/>
      <c r="E192" s="686"/>
      <c r="F192" s="686"/>
      <c r="G192" s="686"/>
      <c r="H192" s="686"/>
      <c r="I192" s="686"/>
      <c r="J192" s="686"/>
      <c r="K192" s="686"/>
      <c r="L192" s="686"/>
      <c r="M192" s="686"/>
      <c r="N192" s="686"/>
      <c r="O192" s="679">
        <f t="shared" si="56"/>
        <v>0</v>
      </c>
      <c r="P192" s="680" t="e">
        <f t="shared" si="57"/>
        <v>#DIV/0!</v>
      </c>
    </row>
    <row r="193" spans="2:16">
      <c r="B193" s="685">
        <f t="shared" si="55"/>
        <v>0</v>
      </c>
      <c r="C193" s="686"/>
      <c r="D193" s="686"/>
      <c r="E193" s="686"/>
      <c r="F193" s="686"/>
      <c r="G193" s="686"/>
      <c r="H193" s="686"/>
      <c r="I193" s="686"/>
      <c r="J193" s="686"/>
      <c r="K193" s="686"/>
      <c r="L193" s="686"/>
      <c r="M193" s="686"/>
      <c r="N193" s="686"/>
      <c r="O193" s="679">
        <f t="shared" si="56"/>
        <v>0</v>
      </c>
      <c r="P193" s="680" t="e">
        <f t="shared" si="57"/>
        <v>#DIV/0!</v>
      </c>
    </row>
    <row r="194" spans="2:16">
      <c r="B194" s="685">
        <f t="shared" si="55"/>
        <v>0</v>
      </c>
      <c r="C194" s="686"/>
      <c r="D194" s="686"/>
      <c r="E194" s="686"/>
      <c r="F194" s="686"/>
      <c r="G194" s="686"/>
      <c r="H194" s="686"/>
      <c r="I194" s="686"/>
      <c r="J194" s="686"/>
      <c r="K194" s="686"/>
      <c r="L194" s="686"/>
      <c r="M194" s="686"/>
      <c r="N194" s="686"/>
      <c r="O194" s="679">
        <f t="shared" si="56"/>
        <v>0</v>
      </c>
      <c r="P194" s="680" t="e">
        <f t="shared" si="57"/>
        <v>#DIV/0!</v>
      </c>
    </row>
    <row r="195" spans="2:16">
      <c r="B195" s="685">
        <f t="shared" si="55"/>
        <v>0</v>
      </c>
      <c r="C195" s="686"/>
      <c r="D195" s="686"/>
      <c r="E195" s="686"/>
      <c r="F195" s="686"/>
      <c r="G195" s="686"/>
      <c r="H195" s="686"/>
      <c r="I195" s="686"/>
      <c r="J195" s="686"/>
      <c r="K195" s="686"/>
      <c r="L195" s="686"/>
      <c r="M195" s="686"/>
      <c r="N195" s="686"/>
      <c r="O195" s="679">
        <f t="shared" si="56"/>
        <v>0</v>
      </c>
      <c r="P195" s="680" t="e">
        <f t="shared" si="57"/>
        <v>#DIV/0!</v>
      </c>
    </row>
    <row r="196" spans="2:16">
      <c r="B196" s="685">
        <f t="shared" si="55"/>
        <v>0</v>
      </c>
      <c r="C196" s="686"/>
      <c r="D196" s="686"/>
      <c r="E196" s="686"/>
      <c r="F196" s="686"/>
      <c r="G196" s="686"/>
      <c r="H196" s="686"/>
      <c r="I196" s="686"/>
      <c r="J196" s="686"/>
      <c r="K196" s="686"/>
      <c r="L196" s="686"/>
      <c r="M196" s="686"/>
      <c r="N196" s="686"/>
      <c r="O196" s="679">
        <f t="shared" si="56"/>
        <v>0</v>
      </c>
      <c r="P196" s="680" t="e">
        <f t="shared" si="57"/>
        <v>#DIV/0!</v>
      </c>
    </row>
    <row r="197" spans="2:16">
      <c r="B197" s="685">
        <f t="shared" si="55"/>
        <v>0</v>
      </c>
      <c r="C197" s="686"/>
      <c r="D197" s="686"/>
      <c r="E197" s="686"/>
      <c r="F197" s="686"/>
      <c r="G197" s="686"/>
      <c r="H197" s="686"/>
      <c r="I197" s="686"/>
      <c r="J197" s="686"/>
      <c r="K197" s="686"/>
      <c r="L197" s="686"/>
      <c r="M197" s="686"/>
      <c r="N197" s="686"/>
      <c r="O197" s="679">
        <f t="shared" si="56"/>
        <v>0</v>
      </c>
      <c r="P197" s="680" t="e">
        <f t="shared" si="57"/>
        <v>#DIV/0!</v>
      </c>
    </row>
    <row r="198" spans="2:16">
      <c r="B198" s="685">
        <f t="shared" si="55"/>
        <v>0</v>
      </c>
      <c r="C198" s="686"/>
      <c r="D198" s="686"/>
      <c r="E198" s="686"/>
      <c r="F198" s="686"/>
      <c r="G198" s="686"/>
      <c r="H198" s="686"/>
      <c r="I198" s="686"/>
      <c r="J198" s="686"/>
      <c r="K198" s="686"/>
      <c r="L198" s="686"/>
      <c r="M198" s="686"/>
      <c r="N198" s="686"/>
      <c r="O198" s="679">
        <f t="shared" si="56"/>
        <v>0</v>
      </c>
      <c r="P198" s="680" t="e">
        <f t="shared" si="57"/>
        <v>#DIV/0!</v>
      </c>
    </row>
    <row r="199" spans="2:16">
      <c r="B199" s="685">
        <f t="shared" si="55"/>
        <v>0</v>
      </c>
      <c r="C199" s="686"/>
      <c r="D199" s="686"/>
      <c r="E199" s="686"/>
      <c r="F199" s="686"/>
      <c r="G199" s="686"/>
      <c r="H199" s="686"/>
      <c r="I199" s="686"/>
      <c r="J199" s="686"/>
      <c r="K199" s="686"/>
      <c r="L199" s="686">
        <v>4503374</v>
      </c>
      <c r="M199" s="686">
        <v>3694732</v>
      </c>
      <c r="N199" s="686">
        <v>3530893</v>
      </c>
      <c r="O199" s="679">
        <f t="shared" si="56"/>
        <v>11728999</v>
      </c>
      <c r="P199" s="680" t="e">
        <f t="shared" si="57"/>
        <v>#DIV/0!</v>
      </c>
    </row>
    <row r="200" spans="2:16">
      <c r="B200" s="685">
        <f t="shared" si="55"/>
        <v>0</v>
      </c>
      <c r="C200" s="686">
        <v>7460000</v>
      </c>
      <c r="D200" s="686"/>
      <c r="E200" s="686"/>
      <c r="F200" s="686"/>
      <c r="G200" s="686"/>
      <c r="H200" s="686"/>
      <c r="I200" s="686"/>
      <c r="J200" s="686"/>
      <c r="K200" s="686">
        <v>15577500</v>
      </c>
      <c r="L200" s="686">
        <v>22020000</v>
      </c>
      <c r="M200" s="686">
        <v>27595250</v>
      </c>
      <c r="N200" s="686">
        <v>20270250</v>
      </c>
      <c r="O200" s="679">
        <f t="shared" si="56"/>
        <v>92923000</v>
      </c>
      <c r="P200" s="680" t="e">
        <f t="shared" si="57"/>
        <v>#DIV/0!</v>
      </c>
    </row>
    <row r="201" spans="2:16">
      <c r="B201" s="685">
        <f t="shared" si="55"/>
        <v>0</v>
      </c>
      <c r="C201" s="686"/>
      <c r="D201" s="686"/>
      <c r="E201" s="686"/>
      <c r="F201" s="686"/>
      <c r="G201" s="686"/>
      <c r="H201" s="686"/>
      <c r="I201" s="686"/>
      <c r="J201" s="686"/>
      <c r="K201" s="686"/>
      <c r="L201" s="686"/>
      <c r="M201" s="686"/>
      <c r="N201" s="686"/>
      <c r="O201" s="679">
        <f t="shared" si="56"/>
        <v>0</v>
      </c>
      <c r="P201" s="680" t="e">
        <f t="shared" si="57"/>
        <v>#DIV/0!</v>
      </c>
    </row>
    <row r="202" spans="2:16">
      <c r="B202" s="685">
        <f t="shared" si="55"/>
        <v>0</v>
      </c>
      <c r="C202" s="686"/>
      <c r="D202" s="686"/>
      <c r="E202" s="686"/>
      <c r="F202" s="686"/>
      <c r="G202" s="686"/>
      <c r="H202" s="686"/>
      <c r="I202" s="686"/>
      <c r="J202" s="686"/>
      <c r="K202" s="686"/>
      <c r="L202" s="686"/>
      <c r="M202" s="686"/>
      <c r="N202" s="686"/>
      <c r="O202" s="679">
        <f t="shared" si="56"/>
        <v>0</v>
      </c>
      <c r="P202" s="680" t="e">
        <f t="shared" si="57"/>
        <v>#DIV/0!</v>
      </c>
    </row>
    <row r="203" spans="2:16">
      <c r="B203" s="685">
        <f t="shared" si="55"/>
        <v>0</v>
      </c>
      <c r="C203" s="686"/>
      <c r="D203" s="686"/>
      <c r="E203" s="686"/>
      <c r="F203" s="686"/>
      <c r="G203" s="686"/>
      <c r="H203" s="686"/>
      <c r="I203" s="686"/>
      <c r="J203" s="686"/>
      <c r="K203" s="686"/>
      <c r="L203" s="686"/>
      <c r="M203" s="686"/>
      <c r="N203" s="686"/>
      <c r="O203" s="679">
        <f t="shared" si="56"/>
        <v>0</v>
      </c>
      <c r="P203" s="680" t="e">
        <f t="shared" si="57"/>
        <v>#DIV/0!</v>
      </c>
    </row>
    <row r="204" spans="2:16">
      <c r="B204" s="685">
        <f t="shared" si="55"/>
        <v>0</v>
      </c>
      <c r="C204" s="686"/>
      <c r="D204" s="686"/>
      <c r="E204" s="686"/>
      <c r="F204" s="686"/>
      <c r="G204" s="686"/>
      <c r="H204" s="686"/>
      <c r="I204" s="686"/>
      <c r="J204" s="686"/>
      <c r="K204" s="686"/>
      <c r="L204" s="686"/>
      <c r="M204" s="686"/>
      <c r="N204" s="686"/>
      <c r="O204" s="679">
        <f t="shared" si="56"/>
        <v>0</v>
      </c>
      <c r="P204" s="680" t="e">
        <f t="shared" si="57"/>
        <v>#DIV/0!</v>
      </c>
    </row>
    <row r="205" spans="2:16">
      <c r="B205" s="685">
        <f t="shared" si="55"/>
        <v>0</v>
      </c>
      <c r="C205" s="686"/>
      <c r="D205" s="686"/>
      <c r="E205" s="686"/>
      <c r="F205" s="686"/>
      <c r="G205" s="686"/>
      <c r="H205" s="686"/>
      <c r="I205" s="686"/>
      <c r="J205" s="686"/>
      <c r="K205" s="686"/>
      <c r="L205" s="686"/>
      <c r="M205" s="686"/>
      <c r="N205" s="686"/>
      <c r="O205" s="679">
        <f t="shared" si="56"/>
        <v>0</v>
      </c>
      <c r="P205" s="680" t="e">
        <f t="shared" si="57"/>
        <v>#DIV/0!</v>
      </c>
    </row>
    <row r="206" spans="2:16">
      <c r="B206" s="685">
        <f t="shared" si="55"/>
        <v>0</v>
      </c>
      <c r="C206" s="686"/>
      <c r="D206" s="686"/>
      <c r="E206" s="686"/>
      <c r="F206" s="686"/>
      <c r="G206" s="686"/>
      <c r="H206" s="686"/>
      <c r="I206" s="686"/>
      <c r="J206" s="686"/>
      <c r="K206" s="686"/>
      <c r="L206" s="686"/>
      <c r="M206" s="686"/>
      <c r="N206" s="686"/>
      <c r="O206" s="679">
        <f t="shared" si="56"/>
        <v>0</v>
      </c>
      <c r="P206" s="680" t="e">
        <f t="shared" si="57"/>
        <v>#DIV/0!</v>
      </c>
    </row>
    <row r="207" spans="2:16">
      <c r="B207" s="685">
        <f t="shared" si="55"/>
        <v>0</v>
      </c>
      <c r="C207" s="686"/>
      <c r="D207" s="686"/>
      <c r="E207" s="686"/>
      <c r="F207" s="686"/>
      <c r="G207" s="686"/>
      <c r="H207" s="686"/>
      <c r="I207" s="686"/>
      <c r="J207" s="686"/>
      <c r="K207" s="686"/>
      <c r="L207" s="686"/>
      <c r="M207" s="686"/>
      <c r="N207" s="686"/>
      <c r="O207" s="679">
        <f t="shared" si="56"/>
        <v>0</v>
      </c>
      <c r="P207" s="680" t="e">
        <f t="shared" si="57"/>
        <v>#DIV/0!</v>
      </c>
    </row>
    <row r="208" spans="2:16">
      <c r="B208" s="685">
        <f t="shared" si="55"/>
        <v>0</v>
      </c>
      <c r="C208" s="686"/>
      <c r="D208" s="686"/>
      <c r="E208" s="686"/>
      <c r="F208" s="686"/>
      <c r="G208" s="686"/>
      <c r="H208" s="686"/>
      <c r="I208" s="686"/>
      <c r="J208" s="686"/>
      <c r="K208" s="686"/>
      <c r="L208" s="686"/>
      <c r="M208" s="686"/>
      <c r="N208" s="686"/>
      <c r="O208" s="679">
        <f t="shared" si="56"/>
        <v>0</v>
      </c>
      <c r="P208" s="680" t="e">
        <f t="shared" si="57"/>
        <v>#DIV/0!</v>
      </c>
    </row>
    <row r="209" spans="2:28">
      <c r="B209" s="685">
        <f t="shared" si="55"/>
        <v>0</v>
      </c>
      <c r="C209" s="686"/>
      <c r="D209" s="686"/>
      <c r="E209" s="686"/>
      <c r="F209" s="686"/>
      <c r="G209" s="686"/>
      <c r="H209" s="686"/>
      <c r="I209" s="686"/>
      <c r="J209" s="686"/>
      <c r="K209" s="686"/>
      <c r="L209" s="686"/>
      <c r="M209" s="686"/>
      <c r="N209" s="686"/>
      <c r="O209" s="679">
        <f t="shared" si="56"/>
        <v>0</v>
      </c>
      <c r="P209" s="680" t="e">
        <f t="shared" si="57"/>
        <v>#DIV/0!</v>
      </c>
    </row>
    <row r="210" spans="2:28">
      <c r="B210" s="685">
        <f t="shared" si="55"/>
        <v>0</v>
      </c>
      <c r="C210" s="686"/>
      <c r="D210" s="686"/>
      <c r="E210" s="686"/>
      <c r="F210" s="686"/>
      <c r="G210" s="686"/>
      <c r="H210" s="686"/>
      <c r="I210" s="686"/>
      <c r="J210" s="686"/>
      <c r="K210" s="686"/>
      <c r="L210" s="686"/>
      <c r="M210" s="686"/>
      <c r="N210" s="686"/>
      <c r="O210" s="679">
        <f t="shared" si="56"/>
        <v>0</v>
      </c>
      <c r="P210" s="680" t="e">
        <f t="shared" si="57"/>
        <v>#DIV/0!</v>
      </c>
    </row>
    <row r="211" spans="2:28">
      <c r="B211" s="685">
        <f t="shared" si="55"/>
        <v>0</v>
      </c>
      <c r="C211" s="686"/>
      <c r="D211" s="686"/>
      <c r="E211" s="686"/>
      <c r="F211" s="686"/>
      <c r="G211" s="686"/>
      <c r="H211" s="686"/>
      <c r="I211" s="686"/>
      <c r="J211" s="686"/>
      <c r="K211" s="686"/>
      <c r="L211" s="686"/>
      <c r="M211" s="686"/>
      <c r="N211" s="686"/>
      <c r="O211" s="679">
        <f t="shared" si="56"/>
        <v>0</v>
      </c>
      <c r="P211" s="680" t="e">
        <f t="shared" si="57"/>
        <v>#DIV/0!</v>
      </c>
    </row>
    <row r="212" spans="2:28">
      <c r="B212" s="685">
        <f t="shared" si="55"/>
        <v>0</v>
      </c>
      <c r="C212" s="686"/>
      <c r="D212" s="686"/>
      <c r="E212" s="686"/>
      <c r="F212" s="686"/>
      <c r="G212" s="686"/>
      <c r="H212" s="686"/>
      <c r="I212" s="686"/>
      <c r="J212" s="686"/>
      <c r="K212" s="686"/>
      <c r="L212" s="686"/>
      <c r="M212" s="686"/>
      <c r="N212" s="686"/>
      <c r="O212" s="679">
        <f t="shared" si="56"/>
        <v>0</v>
      </c>
      <c r="P212" s="680" t="e">
        <f t="shared" si="57"/>
        <v>#DIV/0!</v>
      </c>
    </row>
    <row r="213" spans="2:28">
      <c r="B213" s="685">
        <f t="shared" si="55"/>
        <v>0</v>
      </c>
      <c r="C213" s="686"/>
      <c r="D213" s="686"/>
      <c r="E213" s="686"/>
      <c r="F213" s="686"/>
      <c r="G213" s="686"/>
      <c r="H213" s="686"/>
      <c r="I213" s="686"/>
      <c r="J213" s="686"/>
      <c r="K213" s="686"/>
      <c r="L213" s="686"/>
      <c r="M213" s="686"/>
      <c r="N213" s="686"/>
      <c r="O213" s="679">
        <f t="shared" si="56"/>
        <v>0</v>
      </c>
      <c r="P213" s="680" t="e">
        <f t="shared" si="57"/>
        <v>#DIV/0!</v>
      </c>
    </row>
    <row r="214" spans="2:28">
      <c r="B214" s="685">
        <f t="shared" si="55"/>
        <v>0</v>
      </c>
      <c r="C214" s="686"/>
      <c r="D214" s="686"/>
      <c r="E214" s="686"/>
      <c r="F214" s="686"/>
      <c r="G214" s="686"/>
      <c r="H214" s="686"/>
      <c r="I214" s="686"/>
      <c r="J214" s="686"/>
      <c r="K214" s="686"/>
      <c r="L214" s="686"/>
      <c r="M214" s="686"/>
      <c r="N214" s="686"/>
      <c r="O214" s="679">
        <f t="shared" si="56"/>
        <v>0</v>
      </c>
      <c r="P214" s="680" t="e">
        <f t="shared" si="57"/>
        <v>#DIV/0!</v>
      </c>
    </row>
    <row r="215" spans="2:28">
      <c r="B215" s="685">
        <f t="shared" si="55"/>
        <v>0</v>
      </c>
      <c r="C215" s="686"/>
      <c r="D215" s="686"/>
      <c r="E215" s="686"/>
      <c r="F215" s="686"/>
      <c r="G215" s="686"/>
      <c r="H215" s="686"/>
      <c r="I215" s="686"/>
      <c r="J215" s="686"/>
      <c r="K215" s="686"/>
      <c r="L215" s="686"/>
      <c r="M215" s="686"/>
      <c r="N215" s="686"/>
      <c r="O215" s="679">
        <f t="shared" si="56"/>
        <v>0</v>
      </c>
      <c r="P215" s="680" t="e">
        <f t="shared" si="57"/>
        <v>#DIV/0!</v>
      </c>
    </row>
    <row r="216" spans="2:28">
      <c r="B216" s="685">
        <f t="shared" si="55"/>
        <v>0</v>
      </c>
      <c r="C216" s="686"/>
      <c r="D216" s="686"/>
      <c r="E216" s="686"/>
      <c r="F216" s="686"/>
      <c r="G216" s="686"/>
      <c r="H216" s="686"/>
      <c r="I216" s="686"/>
      <c r="J216" s="686"/>
      <c r="K216" s="686"/>
      <c r="L216" s="686"/>
      <c r="M216" s="686"/>
      <c r="N216" s="686"/>
      <c r="O216" s="679">
        <f t="shared" si="56"/>
        <v>0</v>
      </c>
      <c r="P216" s="680" t="e">
        <f t="shared" si="57"/>
        <v>#DIV/0!</v>
      </c>
    </row>
    <row r="217" spans="2:28">
      <c r="B217" s="685">
        <f t="shared" si="55"/>
        <v>0</v>
      </c>
      <c r="C217" s="686"/>
      <c r="D217" s="686"/>
      <c r="E217" s="686"/>
      <c r="F217" s="686"/>
      <c r="G217" s="686"/>
      <c r="H217" s="686"/>
      <c r="I217" s="686"/>
      <c r="J217" s="686"/>
      <c r="K217" s="686"/>
      <c r="L217" s="686"/>
      <c r="M217" s="686"/>
      <c r="N217" s="686"/>
      <c r="O217" s="679">
        <f t="shared" si="56"/>
        <v>0</v>
      </c>
      <c r="P217" s="680" t="e">
        <f t="shared" si="57"/>
        <v>#DIV/0!</v>
      </c>
    </row>
    <row r="218" spans="2:28">
      <c r="B218" s="685" t="s">
        <v>505</v>
      </c>
      <c r="C218" s="686"/>
      <c r="D218" s="686"/>
      <c r="E218" s="686"/>
      <c r="F218" s="686"/>
      <c r="G218" s="686"/>
      <c r="H218" s="686"/>
      <c r="I218" s="686"/>
      <c r="J218" s="686"/>
      <c r="K218" s="686"/>
      <c r="L218" s="686"/>
      <c r="M218" s="686"/>
      <c r="N218" s="686"/>
      <c r="O218" s="679">
        <f t="shared" si="56"/>
        <v>0</v>
      </c>
      <c r="P218" s="680" t="e">
        <f t="shared" si="57"/>
        <v>#DIV/0!</v>
      </c>
    </row>
    <row r="219" spans="2:28">
      <c r="B219" s="685" t="s">
        <v>504</v>
      </c>
      <c r="C219" s="687">
        <f t="shared" ref="C219:N219" si="58">IF(C119=0,0,C221/C119)</f>
        <v>0</v>
      </c>
      <c r="D219" s="687">
        <f t="shared" si="58"/>
        <v>0</v>
      </c>
      <c r="E219" s="687">
        <f t="shared" si="58"/>
        <v>0</v>
      </c>
      <c r="F219" s="687">
        <f t="shared" si="58"/>
        <v>0</v>
      </c>
      <c r="G219" s="687">
        <f t="shared" si="58"/>
        <v>0</v>
      </c>
      <c r="H219" s="687">
        <f t="shared" si="58"/>
        <v>0</v>
      </c>
      <c r="I219" s="687">
        <f t="shared" si="58"/>
        <v>0</v>
      </c>
      <c r="J219" s="687">
        <f t="shared" si="58"/>
        <v>0</v>
      </c>
      <c r="K219" s="687">
        <f t="shared" si="58"/>
        <v>0</v>
      </c>
      <c r="L219" s="687">
        <f t="shared" si="58"/>
        <v>0</v>
      </c>
      <c r="M219" s="687">
        <f t="shared" si="58"/>
        <v>0</v>
      </c>
      <c r="N219" s="687">
        <f t="shared" si="58"/>
        <v>0</v>
      </c>
      <c r="O219" s="679">
        <f t="shared" si="56"/>
        <v>0</v>
      </c>
      <c r="P219" s="680" t="e">
        <f t="shared" si="57"/>
        <v>#DIV/0!</v>
      </c>
    </row>
    <row r="220" spans="2:28" ht="15">
      <c r="B220" s="676" t="s">
        <v>506</v>
      </c>
      <c r="C220" s="688">
        <f t="shared" ref="C220:O220" si="59">SUM(C122:C181)</f>
        <v>0</v>
      </c>
      <c r="D220" s="688">
        <f t="shared" si="59"/>
        <v>0</v>
      </c>
      <c r="E220" s="688">
        <f t="shared" si="59"/>
        <v>0</v>
      </c>
      <c r="F220" s="688">
        <f t="shared" si="59"/>
        <v>0</v>
      </c>
      <c r="G220" s="688">
        <f t="shared" si="59"/>
        <v>0</v>
      </c>
      <c r="H220" s="688">
        <f t="shared" si="59"/>
        <v>0</v>
      </c>
      <c r="I220" s="688">
        <f t="shared" si="59"/>
        <v>0</v>
      </c>
      <c r="J220" s="688">
        <f t="shared" si="59"/>
        <v>0</v>
      </c>
      <c r="K220" s="688">
        <f t="shared" si="59"/>
        <v>0</v>
      </c>
      <c r="L220" s="688">
        <f t="shared" si="59"/>
        <v>0</v>
      </c>
      <c r="M220" s="688">
        <f t="shared" si="59"/>
        <v>0</v>
      </c>
      <c r="N220" s="688">
        <f t="shared" si="59"/>
        <v>0</v>
      </c>
      <c r="O220" s="688">
        <f t="shared" si="59"/>
        <v>0</v>
      </c>
      <c r="P220" s="680" t="e">
        <f t="shared" si="57"/>
        <v>#DIV/0!</v>
      </c>
      <c r="Q220" s="652"/>
      <c r="T220" s="689" t="e">
        <f>(C220+D220+E220)/(C118+D118+E118)</f>
        <v>#DIV/0!</v>
      </c>
      <c r="Z220" s="628" t="s">
        <v>507</v>
      </c>
    </row>
    <row r="221" spans="2:28" ht="15">
      <c r="B221" s="672" t="s">
        <v>508</v>
      </c>
      <c r="C221" s="690">
        <f t="shared" ref="C221:O221" si="60">SUM(C183:C218)</f>
        <v>7460000</v>
      </c>
      <c r="D221" s="690">
        <f t="shared" si="60"/>
        <v>0</v>
      </c>
      <c r="E221" s="690">
        <f t="shared" si="60"/>
        <v>0</v>
      </c>
      <c r="F221" s="690">
        <f t="shared" si="60"/>
        <v>0</v>
      </c>
      <c r="G221" s="690">
        <f t="shared" si="60"/>
        <v>0</v>
      </c>
      <c r="H221" s="690">
        <f t="shared" si="60"/>
        <v>0</v>
      </c>
      <c r="I221" s="690">
        <f t="shared" si="60"/>
        <v>0</v>
      </c>
      <c r="J221" s="690">
        <f t="shared" si="60"/>
        <v>0</v>
      </c>
      <c r="K221" s="690">
        <f t="shared" si="60"/>
        <v>15577500</v>
      </c>
      <c r="L221" s="690">
        <f t="shared" si="60"/>
        <v>26523374</v>
      </c>
      <c r="M221" s="690">
        <f t="shared" si="60"/>
        <v>31289982</v>
      </c>
      <c r="N221" s="690">
        <f t="shared" si="60"/>
        <v>23801143</v>
      </c>
      <c r="O221" s="679">
        <f t="shared" si="60"/>
        <v>104651999</v>
      </c>
      <c r="P221" s="680" t="e">
        <f t="shared" si="57"/>
        <v>#DIV/0!</v>
      </c>
      <c r="Q221" s="691">
        <f>SUM(C221:N221)</f>
        <v>104651999</v>
      </c>
      <c r="T221" s="628">
        <f>6.32891-6.31107</f>
        <v>1.7839999999999634E-2</v>
      </c>
    </row>
    <row r="222" spans="2:28">
      <c r="B222" s="628" t="s">
        <v>509</v>
      </c>
      <c r="C222" s="679">
        <f t="shared" ref="C222:O222" si="61">C220+C221</f>
        <v>7460000</v>
      </c>
      <c r="D222" s="679">
        <f t="shared" si="61"/>
        <v>0</v>
      </c>
      <c r="E222" s="679">
        <f t="shared" si="61"/>
        <v>0</v>
      </c>
      <c r="F222" s="679">
        <f t="shared" si="61"/>
        <v>0</v>
      </c>
      <c r="G222" s="679">
        <f t="shared" si="61"/>
        <v>0</v>
      </c>
      <c r="H222" s="679">
        <f t="shared" si="61"/>
        <v>0</v>
      </c>
      <c r="I222" s="679">
        <f t="shared" si="61"/>
        <v>0</v>
      </c>
      <c r="J222" s="679">
        <f t="shared" si="61"/>
        <v>0</v>
      </c>
      <c r="K222" s="679">
        <f t="shared" si="61"/>
        <v>15577500</v>
      </c>
      <c r="L222" s="679">
        <f t="shared" si="61"/>
        <v>26523374</v>
      </c>
      <c r="M222" s="679">
        <f t="shared" si="61"/>
        <v>31289982</v>
      </c>
      <c r="N222" s="679">
        <f t="shared" si="61"/>
        <v>23801143</v>
      </c>
      <c r="O222" s="679">
        <f t="shared" si="61"/>
        <v>104651999</v>
      </c>
      <c r="P222" s="680" t="e">
        <f>O222/SUM(C118:N119)</f>
        <v>#DIV/0!</v>
      </c>
      <c r="S222" s="628">
        <f>130191195-130190730</f>
        <v>465</v>
      </c>
    </row>
    <row r="223" spans="2:28">
      <c r="B223" s="628" t="s">
        <v>510</v>
      </c>
      <c r="O223" s="682">
        <v>2000000</v>
      </c>
    </row>
    <row r="224" spans="2:28" ht="15">
      <c r="B224" s="628" t="s">
        <v>367</v>
      </c>
      <c r="O224" s="692"/>
      <c r="Z224" s="628" t="s">
        <v>511</v>
      </c>
      <c r="AA224" s="628" t="s">
        <v>102</v>
      </c>
      <c r="AB224" s="628" t="s">
        <v>19</v>
      </c>
    </row>
    <row r="225" spans="2:29">
      <c r="B225" s="628" t="s">
        <v>512</v>
      </c>
      <c r="N225" s="693">
        <f>SUM(C118:N119)</f>
        <v>0</v>
      </c>
      <c r="O225" s="694">
        <f>O222+O223+O224</f>
        <v>106651999</v>
      </c>
      <c r="P225" s="695" t="e">
        <f>O225/N225</f>
        <v>#DIV/0!</v>
      </c>
      <c r="Q225" s="628">
        <f>106206352-106207010</f>
        <v>-658</v>
      </c>
      <c r="Z225" s="628" t="s">
        <v>513</v>
      </c>
      <c r="AA225" s="651">
        <f>SUM(AA21:AA44)</f>
        <v>0</v>
      </c>
      <c r="AB225" s="696">
        <f>SUM(O122:O134)</f>
        <v>0</v>
      </c>
      <c r="AC225" s="641" t="e">
        <f>AB225/AA225</f>
        <v>#DIV/0!</v>
      </c>
    </row>
    <row r="226" spans="2:29">
      <c r="P226" s="695"/>
      <c r="Z226" s="628" t="s">
        <v>514</v>
      </c>
      <c r="AA226" s="697">
        <f>SUM(AA60:AA63)</f>
        <v>0</v>
      </c>
      <c r="AB226" s="698">
        <f>O161+O162+O163</f>
        <v>0</v>
      </c>
      <c r="AC226" s="699" t="e">
        <f>AB226/AA226</f>
        <v>#DIV/0!</v>
      </c>
    </row>
    <row r="227" spans="2:29">
      <c r="B227" s="628" t="s">
        <v>515</v>
      </c>
      <c r="N227" s="700">
        <v>1800000</v>
      </c>
      <c r="O227" s="682">
        <v>6426000</v>
      </c>
      <c r="P227" s="695">
        <f>O227/N227</f>
        <v>3.57</v>
      </c>
      <c r="Q227" s="628">
        <v>4.790873799245797</v>
      </c>
      <c r="R227" s="682">
        <v>22268947</v>
      </c>
      <c r="S227" s="700">
        <v>4162781</v>
      </c>
      <c r="T227" s="682">
        <v>28503067</v>
      </c>
      <c r="AA227" s="651">
        <f>AA225+AA226</f>
        <v>0</v>
      </c>
      <c r="AB227" s="696">
        <f>AB225+AB226</f>
        <v>0</v>
      </c>
      <c r="AC227" s="641" t="e">
        <f>AB227/AA227</f>
        <v>#DIV/0!</v>
      </c>
    </row>
    <row r="228" spans="2:29">
      <c r="P228" s="695"/>
    </row>
    <row r="229" spans="2:29">
      <c r="B229" s="628" t="s">
        <v>516</v>
      </c>
      <c r="N229" s="700">
        <v>26149810</v>
      </c>
      <c r="O229" s="628">
        <v>92607004</v>
      </c>
      <c r="P229" s="695">
        <f>O229/N229</f>
        <v>3.5414025570357874</v>
      </c>
      <c r="R229" s="628">
        <v>95344092</v>
      </c>
      <c r="S229" s="700">
        <v>11255314</v>
      </c>
      <c r="T229" s="682">
        <v>79419045</v>
      </c>
      <c r="Z229" s="628" t="s">
        <v>517</v>
      </c>
    </row>
    <row r="230" spans="2:29">
      <c r="P230" s="675"/>
      <c r="Z230" s="628" t="s">
        <v>370</v>
      </c>
      <c r="AB230" s="682">
        <f>O221-AB231</f>
        <v>104651999</v>
      </c>
    </row>
    <row r="231" spans="2:29">
      <c r="B231" s="628" t="s">
        <v>518</v>
      </c>
      <c r="N231" s="701">
        <f>N225+N227+N229</f>
        <v>27949810</v>
      </c>
      <c r="O231" s="702">
        <f>O225+O227+O229</f>
        <v>205685003</v>
      </c>
      <c r="P231" s="695">
        <f>O231/N231</f>
        <v>7.3590841225754309</v>
      </c>
      <c r="Z231" s="628" t="s">
        <v>519</v>
      </c>
      <c r="AA231" s="697">
        <f>O119</f>
        <v>0</v>
      </c>
      <c r="AB231" s="698">
        <f>G183+G185+G187+G198+G199+H187+H196+H197+H198+I187+I196+I197+I198+J183+J184+J185+J186+J187+J188+J189+J190+J191+J192+J193+J194+J195+J196+J197+J198+J199+K198</f>
        <v>0</v>
      </c>
      <c r="AC231" s="699" t="e">
        <f>AB231/AA231</f>
        <v>#DIV/0!</v>
      </c>
    </row>
    <row r="232" spans="2:29">
      <c r="B232" s="628" t="s">
        <v>520</v>
      </c>
      <c r="C232" s="703" t="e">
        <f>C222/C120</f>
        <v>#DIV/0!</v>
      </c>
      <c r="D232" s="703" t="e">
        <f t="shared" ref="D232:N232" si="62">D222/D120</f>
        <v>#DIV/0!</v>
      </c>
      <c r="E232" s="703" t="e">
        <f t="shared" si="62"/>
        <v>#DIV/0!</v>
      </c>
      <c r="F232" s="703" t="e">
        <f t="shared" si="62"/>
        <v>#DIV/0!</v>
      </c>
      <c r="G232" s="703" t="e">
        <f t="shared" si="62"/>
        <v>#DIV/0!</v>
      </c>
      <c r="H232" s="703" t="e">
        <f t="shared" si="62"/>
        <v>#DIV/0!</v>
      </c>
      <c r="I232" s="703" t="e">
        <f t="shared" si="62"/>
        <v>#DIV/0!</v>
      </c>
      <c r="J232" s="703" t="e">
        <f t="shared" si="62"/>
        <v>#DIV/0!</v>
      </c>
      <c r="K232" s="703" t="e">
        <f t="shared" si="62"/>
        <v>#DIV/0!</v>
      </c>
      <c r="L232" s="703" t="e">
        <f t="shared" si="62"/>
        <v>#DIV/0!</v>
      </c>
      <c r="M232" s="703" t="e">
        <f t="shared" si="62"/>
        <v>#DIV/0!</v>
      </c>
      <c r="N232" s="703" t="e">
        <f t="shared" si="62"/>
        <v>#DIV/0!</v>
      </c>
      <c r="AA232" s="651">
        <f>AA231</f>
        <v>0</v>
      </c>
      <c r="AB232" s="682">
        <f>AB230+AB231</f>
        <v>104651999</v>
      </c>
      <c r="AC232" s="628" t="e">
        <f>AB232/AA232</f>
        <v>#DIV/0!</v>
      </c>
    </row>
    <row r="233" spans="2:29">
      <c r="B233" s="628" t="s">
        <v>521</v>
      </c>
      <c r="O233" s="682"/>
      <c r="P233" s="689"/>
    </row>
    <row r="234" spans="2:29">
      <c r="B234" s="628" t="s">
        <v>522</v>
      </c>
      <c r="C234" s="704" t="e">
        <f t="shared" ref="C234:N234" si="63">C220/C118</f>
        <v>#DIV/0!</v>
      </c>
      <c r="D234" s="704" t="e">
        <f t="shared" si="63"/>
        <v>#DIV/0!</v>
      </c>
      <c r="E234" s="704" t="e">
        <f t="shared" si="63"/>
        <v>#DIV/0!</v>
      </c>
      <c r="F234" s="704" t="e">
        <f t="shared" si="63"/>
        <v>#DIV/0!</v>
      </c>
      <c r="G234" s="704" t="e">
        <f t="shared" si="63"/>
        <v>#DIV/0!</v>
      </c>
      <c r="H234" s="704" t="e">
        <f t="shared" si="63"/>
        <v>#DIV/0!</v>
      </c>
      <c r="I234" s="704" t="e">
        <f t="shared" si="63"/>
        <v>#DIV/0!</v>
      </c>
      <c r="J234" s="704" t="e">
        <f t="shared" si="63"/>
        <v>#DIV/0!</v>
      </c>
      <c r="K234" s="704" t="e">
        <f t="shared" si="63"/>
        <v>#DIV/0!</v>
      </c>
      <c r="L234" s="704" t="e">
        <f t="shared" si="63"/>
        <v>#DIV/0!</v>
      </c>
      <c r="M234" s="704" t="e">
        <f t="shared" si="63"/>
        <v>#DIV/0!</v>
      </c>
      <c r="N234" s="704" t="e">
        <f t="shared" si="63"/>
        <v>#DIV/0!</v>
      </c>
      <c r="O234" s="662" t="e">
        <f>AVERAGE(C234:N234)</f>
        <v>#DIV/0!</v>
      </c>
    </row>
    <row r="235" spans="2:29">
      <c r="B235" s="628" t="s">
        <v>523</v>
      </c>
      <c r="C235" s="704">
        <f t="shared" ref="C235:N235" si="64">IF(C119=0,C221,C221/C119)</f>
        <v>7460000</v>
      </c>
      <c r="D235" s="704">
        <f t="shared" si="64"/>
        <v>0</v>
      </c>
      <c r="E235" s="704">
        <f t="shared" si="64"/>
        <v>0</v>
      </c>
      <c r="F235" s="704">
        <f t="shared" si="64"/>
        <v>0</v>
      </c>
      <c r="G235" s="704">
        <f t="shared" si="64"/>
        <v>0</v>
      </c>
      <c r="H235" s="704">
        <f t="shared" si="64"/>
        <v>0</v>
      </c>
      <c r="I235" s="704">
        <f t="shared" si="64"/>
        <v>0</v>
      </c>
      <c r="J235" s="704">
        <f t="shared" si="64"/>
        <v>0</v>
      </c>
      <c r="K235" s="704">
        <f t="shared" si="64"/>
        <v>15577500</v>
      </c>
      <c r="L235" s="704">
        <f t="shared" si="64"/>
        <v>26523374</v>
      </c>
      <c r="M235" s="704">
        <f t="shared" si="64"/>
        <v>31289982</v>
      </c>
      <c r="N235" s="704">
        <f t="shared" si="64"/>
        <v>23801143</v>
      </c>
      <c r="O235" s="662">
        <f>SUM(C235:N235)/COUNTIF(C235:N235,"&lt;&gt;0")</f>
        <v>20930399.800000001</v>
      </c>
      <c r="P235" s="689"/>
    </row>
    <row r="236" spans="2:29">
      <c r="B236" s="656" t="str">
        <f>'[1]Gas Balance'!B28</f>
        <v xml:space="preserve">PREVIOUS </v>
      </c>
    </row>
    <row r="237" spans="2:29">
      <c r="B237" s="628" t="s">
        <v>524</v>
      </c>
      <c r="K237" s="651">
        <f>SUM(K64:K68)</f>
        <v>0</v>
      </c>
      <c r="L237" s="651">
        <f>SUM(L64:L68)</f>
        <v>0</v>
      </c>
      <c r="M237" s="651">
        <f>SUM(M64:M68)</f>
        <v>0</v>
      </c>
      <c r="N237" s="651">
        <f>SUM(N64:N68)</f>
        <v>0</v>
      </c>
    </row>
    <row r="238" spans="2:29">
      <c r="K238" s="705">
        <f>K237/1000</f>
        <v>0</v>
      </c>
      <c r="L238" s="705">
        <f>L237/1000</f>
        <v>0</v>
      </c>
      <c r="M238" s="705">
        <f>M237/1000</f>
        <v>0</v>
      </c>
      <c r="N238" s="705">
        <f>N237/1000</f>
        <v>0</v>
      </c>
    </row>
    <row r="240" spans="2:29">
      <c r="C240" s="628">
        <v>2005</v>
      </c>
      <c r="F240" s="628">
        <v>2006</v>
      </c>
    </row>
    <row r="241" spans="2:40">
      <c r="B241" s="628" t="s">
        <v>525</v>
      </c>
      <c r="C241" s="658" t="s">
        <v>64</v>
      </c>
      <c r="D241" s="658" t="s">
        <v>65</v>
      </c>
      <c r="E241" s="658" t="s">
        <v>66</v>
      </c>
      <c r="F241" s="658" t="s">
        <v>67</v>
      </c>
      <c r="G241" s="658" t="s">
        <v>68</v>
      </c>
      <c r="H241" s="658" t="s">
        <v>69</v>
      </c>
      <c r="I241" s="658" t="s">
        <v>70</v>
      </c>
      <c r="J241" s="658" t="s">
        <v>71</v>
      </c>
      <c r="K241" s="658" t="s">
        <v>72</v>
      </c>
      <c r="L241" s="658" t="s">
        <v>73</v>
      </c>
      <c r="M241" s="658" t="s">
        <v>74</v>
      </c>
      <c r="N241" s="658" t="s">
        <v>63</v>
      </c>
      <c r="O241" s="656" t="s">
        <v>64</v>
      </c>
      <c r="P241" s="656" t="s">
        <v>65</v>
      </c>
      <c r="Q241" s="656" t="s">
        <v>66</v>
      </c>
      <c r="R241" s="656" t="s">
        <v>67</v>
      </c>
      <c r="S241" s="656" t="s">
        <v>68</v>
      </c>
      <c r="T241" s="656" t="s">
        <v>69</v>
      </c>
      <c r="U241" s="656" t="s">
        <v>70</v>
      </c>
      <c r="V241" s="656" t="s">
        <v>71</v>
      </c>
      <c r="W241" s="656" t="s">
        <v>72</v>
      </c>
      <c r="X241" s="656" t="s">
        <v>73</v>
      </c>
      <c r="Y241" s="656" t="s">
        <v>74</v>
      </c>
      <c r="Z241" s="656" t="s">
        <v>63</v>
      </c>
    </row>
    <row r="242" spans="2:40">
      <c r="B242" s="676"/>
      <c r="C242" s="660"/>
      <c r="D242" s="660"/>
      <c r="E242" s="660"/>
      <c r="F242" s="660"/>
      <c r="G242" s="660"/>
      <c r="H242" s="660"/>
      <c r="I242" s="660"/>
      <c r="J242" s="660"/>
      <c r="K242" s="660"/>
      <c r="L242" s="660"/>
      <c r="M242" s="660"/>
      <c r="N242" s="660"/>
      <c r="O242" s="706">
        <v>5.87</v>
      </c>
      <c r="P242" s="706">
        <v>6.73</v>
      </c>
      <c r="Q242" s="706">
        <v>7.26</v>
      </c>
      <c r="R242" s="706">
        <v>7.12</v>
      </c>
      <c r="S242" s="706">
        <v>7.17</v>
      </c>
      <c r="T242" s="706">
        <v>7.01</v>
      </c>
      <c r="U242" s="706">
        <v>0</v>
      </c>
      <c r="V242" s="706">
        <v>0</v>
      </c>
      <c r="W242" s="706">
        <v>0</v>
      </c>
      <c r="X242" s="706">
        <v>0</v>
      </c>
      <c r="Y242" s="706">
        <v>0</v>
      </c>
      <c r="Z242" s="706">
        <v>0</v>
      </c>
      <c r="AA242" s="651">
        <v>1357500</v>
      </c>
      <c r="AB242" s="628">
        <v>2</v>
      </c>
      <c r="AC242" s="628">
        <v>2.0049999999999999</v>
      </c>
      <c r="AD242" s="628">
        <v>2.0100124999999998</v>
      </c>
      <c r="AE242" s="628">
        <v>2.0150375312499995</v>
      </c>
      <c r="AF242" s="628">
        <v>2.0200751250781246</v>
      </c>
      <c r="AG242" s="628">
        <v>2.02512531289082</v>
      </c>
      <c r="AH242" s="628">
        <v>2.0301881261730466</v>
      </c>
      <c r="AI242" s="628">
        <v>2.0352635964884791</v>
      </c>
      <c r="AJ242" s="628">
        <v>2.0403517554797004</v>
      </c>
      <c r="AK242" s="628">
        <v>2.0454526348683997</v>
      </c>
      <c r="AL242" s="628">
        <v>2.0505662664555704</v>
      </c>
      <c r="AM242" s="628">
        <v>2.055692682121709</v>
      </c>
      <c r="AN242" s="628">
        <v>2.0608319138270135</v>
      </c>
    </row>
    <row r="243" spans="2:40">
      <c r="B243" s="676"/>
      <c r="C243" s="660"/>
      <c r="D243" s="660"/>
      <c r="E243" s="660"/>
      <c r="F243" s="660"/>
      <c r="G243" s="660"/>
      <c r="H243" s="660"/>
      <c r="I243" s="660"/>
      <c r="J243" s="660"/>
      <c r="K243" s="660"/>
      <c r="L243" s="660"/>
      <c r="M243" s="660"/>
      <c r="N243" s="660"/>
      <c r="O243" s="706">
        <v>7.75</v>
      </c>
      <c r="P243" s="706">
        <v>7.75</v>
      </c>
      <c r="Q243" s="706">
        <v>7.75</v>
      </c>
      <c r="R243" s="706">
        <v>7.75</v>
      </c>
      <c r="S243" s="706">
        <v>7.3324999999999996</v>
      </c>
      <c r="T243" s="706">
        <v>7.1725000000000003</v>
      </c>
      <c r="U243" s="706">
        <v>0</v>
      </c>
      <c r="V243" s="706">
        <v>0</v>
      </c>
      <c r="W243" s="706">
        <v>0</v>
      </c>
      <c r="X243" s="706">
        <v>0</v>
      </c>
      <c r="Y243" s="706">
        <v>0</v>
      </c>
      <c r="Z243" s="706">
        <v>0</v>
      </c>
      <c r="AA243" s="651">
        <v>905000</v>
      </c>
      <c r="AB243" s="628">
        <v>0.03</v>
      </c>
    </row>
    <row r="244" spans="2:40">
      <c r="B244" s="676"/>
      <c r="C244" s="660"/>
      <c r="D244" s="660"/>
      <c r="E244" s="660"/>
      <c r="F244" s="660"/>
      <c r="G244" s="660"/>
      <c r="H244" s="660"/>
      <c r="I244" s="660"/>
      <c r="J244" s="660"/>
      <c r="K244" s="660"/>
      <c r="L244" s="660"/>
      <c r="M244" s="660"/>
      <c r="N244" s="660"/>
      <c r="O244" s="706">
        <v>6.04</v>
      </c>
      <c r="P244" s="706">
        <v>6.9</v>
      </c>
      <c r="Q244" s="706">
        <v>7.43</v>
      </c>
      <c r="R244" s="706">
        <v>7.29</v>
      </c>
      <c r="S244" s="706">
        <v>0</v>
      </c>
      <c r="T244" s="706">
        <v>0</v>
      </c>
      <c r="U244" s="706">
        <v>0</v>
      </c>
      <c r="V244" s="706">
        <v>0</v>
      </c>
      <c r="W244" s="706">
        <v>0</v>
      </c>
      <c r="X244" s="706">
        <v>0</v>
      </c>
      <c r="Y244" s="706">
        <v>0</v>
      </c>
      <c r="Z244" s="706">
        <v>0</v>
      </c>
      <c r="AA244" s="651">
        <v>600000</v>
      </c>
      <c r="AB244" s="628">
        <v>12</v>
      </c>
    </row>
    <row r="245" spans="2:40">
      <c r="B245" s="676"/>
      <c r="C245" s="660"/>
      <c r="D245" s="660"/>
      <c r="E245" s="660"/>
      <c r="F245" s="660"/>
      <c r="G245" s="660"/>
      <c r="H245" s="660"/>
      <c r="I245" s="660"/>
      <c r="J245" s="660"/>
      <c r="K245" s="660"/>
      <c r="L245" s="660"/>
      <c r="M245" s="660"/>
      <c r="N245" s="660"/>
      <c r="O245" s="706">
        <v>5.87</v>
      </c>
      <c r="P245" s="706">
        <v>6.73</v>
      </c>
      <c r="Q245" s="706">
        <v>7.26</v>
      </c>
      <c r="R245" s="706">
        <v>7.12</v>
      </c>
      <c r="S245" s="706">
        <v>7.17</v>
      </c>
      <c r="T245" s="706">
        <v>7.01</v>
      </c>
      <c r="U245" s="706">
        <v>6.38</v>
      </c>
      <c r="V245" s="706">
        <v>6.43</v>
      </c>
      <c r="W245" s="706">
        <v>6.58</v>
      </c>
      <c r="X245" s="706">
        <v>6.53</v>
      </c>
      <c r="Y245" s="706">
        <v>6.77</v>
      </c>
      <c r="Z245" s="706">
        <v>7.59</v>
      </c>
      <c r="AA245" s="651">
        <v>1825000</v>
      </c>
    </row>
    <row r="246" spans="2:40">
      <c r="B246" s="707"/>
      <c r="C246" s="660"/>
      <c r="D246" s="660"/>
      <c r="E246" s="660"/>
      <c r="F246" s="660"/>
      <c r="G246" s="660"/>
      <c r="H246" s="660"/>
      <c r="I246" s="660"/>
      <c r="J246" s="660"/>
      <c r="K246" s="660"/>
      <c r="L246" s="660"/>
      <c r="M246" s="660"/>
      <c r="N246" s="660"/>
      <c r="O246" s="706">
        <v>7.79</v>
      </c>
      <c r="P246" s="706">
        <v>7.79</v>
      </c>
      <c r="Q246" s="706">
        <v>7.79</v>
      </c>
      <c r="R246" s="706">
        <v>7.79</v>
      </c>
      <c r="S246" s="706">
        <v>7.79</v>
      </c>
      <c r="T246" s="706">
        <v>7.79</v>
      </c>
      <c r="U246" s="706">
        <v>7.79</v>
      </c>
      <c r="V246" s="706">
        <v>7.79</v>
      </c>
      <c r="W246" s="706">
        <v>7.79</v>
      </c>
      <c r="X246" s="706">
        <v>7.79</v>
      </c>
      <c r="Y246" s="706">
        <v>7.79</v>
      </c>
      <c r="Z246" s="706">
        <v>7.79</v>
      </c>
      <c r="AA246" s="651">
        <v>300000</v>
      </c>
    </row>
    <row r="247" spans="2:40">
      <c r="B247" s="707"/>
      <c r="C247" s="660"/>
      <c r="D247" s="660"/>
      <c r="E247" s="660"/>
      <c r="F247" s="660"/>
      <c r="G247" s="660"/>
      <c r="H247" s="660"/>
      <c r="I247" s="660"/>
      <c r="J247" s="660"/>
      <c r="K247" s="660"/>
      <c r="L247" s="660"/>
      <c r="M247" s="660"/>
      <c r="N247" s="660"/>
      <c r="O247" s="706">
        <v>8.0500000000000007</v>
      </c>
      <c r="P247" s="706">
        <v>8.0500000000000007</v>
      </c>
      <c r="Q247" s="706">
        <v>8.0500000000000007</v>
      </c>
      <c r="R247" s="706">
        <v>8.0500000000000007</v>
      </c>
      <c r="S247" s="706">
        <v>8.0500000000000007</v>
      </c>
      <c r="T247" s="706">
        <v>8.0500000000000007</v>
      </c>
      <c r="U247" s="706">
        <v>8.0500000000000007</v>
      </c>
      <c r="V247" s="706">
        <v>8.0500000000000007</v>
      </c>
      <c r="W247" s="706">
        <v>8.0500000000000007</v>
      </c>
      <c r="X247" s="706">
        <v>8.0500000000000007</v>
      </c>
      <c r="Y247" s="706">
        <v>8.0500000000000007</v>
      </c>
      <c r="Z247" s="706">
        <v>8.0500000000000007</v>
      </c>
      <c r="AA247" s="651">
        <v>720000</v>
      </c>
    </row>
    <row r="248" spans="2:40">
      <c r="B248" s="676"/>
      <c r="C248" s="660"/>
      <c r="D248" s="660"/>
      <c r="E248" s="660"/>
      <c r="F248" s="660"/>
      <c r="G248" s="660"/>
      <c r="H248" s="660"/>
      <c r="I248" s="660"/>
      <c r="J248" s="660"/>
      <c r="K248" s="660"/>
      <c r="L248" s="660"/>
      <c r="M248" s="660"/>
      <c r="N248" s="660"/>
      <c r="O248" s="706">
        <v>0</v>
      </c>
      <c r="P248" s="706">
        <v>0</v>
      </c>
      <c r="Q248" s="706">
        <v>0</v>
      </c>
      <c r="R248" s="706">
        <v>0</v>
      </c>
      <c r="S248" s="706">
        <v>7.21</v>
      </c>
      <c r="T248" s="706">
        <v>7.05</v>
      </c>
      <c r="U248" s="706">
        <v>6.42</v>
      </c>
      <c r="V248" s="706">
        <v>6.47</v>
      </c>
      <c r="W248" s="706">
        <v>6.62</v>
      </c>
      <c r="X248" s="706">
        <v>6.57</v>
      </c>
      <c r="Y248" s="706">
        <v>6.81</v>
      </c>
      <c r="Z248" s="706">
        <v>7.63</v>
      </c>
      <c r="AA248" s="651">
        <v>2082507.21</v>
      </c>
      <c r="AB248" s="628">
        <v>2.06</v>
      </c>
    </row>
    <row r="249" spans="2:40">
      <c r="B249" s="707"/>
      <c r="C249" s="660"/>
      <c r="D249" s="660"/>
      <c r="E249" s="660"/>
      <c r="F249" s="660"/>
      <c r="G249" s="660"/>
      <c r="H249" s="660"/>
      <c r="I249" s="660"/>
      <c r="J249" s="660"/>
      <c r="K249" s="660"/>
      <c r="L249" s="660"/>
      <c r="M249" s="660"/>
      <c r="N249" s="660"/>
      <c r="O249" s="706">
        <v>5.9</v>
      </c>
      <c r="P249" s="706">
        <v>6.76</v>
      </c>
      <c r="Q249" s="706">
        <v>7.29</v>
      </c>
      <c r="R249" s="706">
        <v>7.15</v>
      </c>
      <c r="S249" s="706">
        <v>7.2</v>
      </c>
      <c r="T249" s="706">
        <v>7.04</v>
      </c>
      <c r="U249" s="706">
        <v>6.41</v>
      </c>
      <c r="V249" s="706">
        <v>6.46</v>
      </c>
      <c r="W249" s="706">
        <v>6.61</v>
      </c>
      <c r="X249" s="706">
        <v>6.56</v>
      </c>
      <c r="Y249" s="706">
        <v>6.8</v>
      </c>
      <c r="Z249" s="706">
        <v>7.62</v>
      </c>
      <c r="AA249" s="651">
        <v>5475000</v>
      </c>
    </row>
    <row r="250" spans="2:40">
      <c r="B250" s="707"/>
      <c r="C250" s="660"/>
      <c r="D250" s="660"/>
      <c r="E250" s="660"/>
      <c r="F250" s="660"/>
      <c r="G250" s="660"/>
      <c r="H250" s="660"/>
      <c r="I250" s="660"/>
      <c r="J250" s="660"/>
      <c r="K250" s="660"/>
      <c r="L250" s="660"/>
      <c r="M250" s="660"/>
      <c r="N250" s="660"/>
      <c r="O250" s="706">
        <v>7.69</v>
      </c>
      <c r="P250" s="706">
        <v>7.69</v>
      </c>
      <c r="Q250" s="706">
        <v>7.69</v>
      </c>
      <c r="R250" s="706">
        <v>7.69</v>
      </c>
      <c r="S250" s="706">
        <v>0</v>
      </c>
      <c r="T250" s="706">
        <v>0</v>
      </c>
      <c r="U250" s="706">
        <v>0</v>
      </c>
      <c r="V250" s="706">
        <v>0</v>
      </c>
      <c r="W250" s="706">
        <v>0</v>
      </c>
      <c r="X250" s="706">
        <v>0</v>
      </c>
      <c r="Y250" s="706">
        <v>0</v>
      </c>
      <c r="Z250" s="706">
        <v>0</v>
      </c>
      <c r="AA250" s="651">
        <v>600000</v>
      </c>
    </row>
    <row r="251" spans="2:40">
      <c r="B251" s="707"/>
      <c r="C251" s="660"/>
      <c r="D251" s="660"/>
      <c r="E251" s="660"/>
      <c r="F251" s="660"/>
      <c r="G251" s="660"/>
      <c r="H251" s="660"/>
      <c r="I251" s="660"/>
      <c r="J251" s="660"/>
      <c r="K251" s="660"/>
      <c r="L251" s="660"/>
      <c r="M251" s="660"/>
      <c r="N251" s="660"/>
      <c r="O251" s="706">
        <v>7.87</v>
      </c>
      <c r="P251" s="706">
        <v>7.87</v>
      </c>
      <c r="Q251" s="706">
        <v>7.87</v>
      </c>
      <c r="R251" s="706">
        <v>7.87</v>
      </c>
      <c r="S251" s="706">
        <v>0</v>
      </c>
      <c r="T251" s="706">
        <v>0</v>
      </c>
      <c r="U251" s="706">
        <v>0</v>
      </c>
      <c r="V251" s="706">
        <v>0</v>
      </c>
      <c r="W251" s="706">
        <v>0</v>
      </c>
      <c r="X251" s="706">
        <v>0</v>
      </c>
      <c r="Y251" s="706">
        <v>0</v>
      </c>
      <c r="Z251" s="706">
        <v>0</v>
      </c>
      <c r="AA251" s="651">
        <v>600000</v>
      </c>
    </row>
    <row r="252" spans="2:40">
      <c r="B252" s="707"/>
      <c r="C252" s="660"/>
      <c r="D252" s="660"/>
      <c r="E252" s="660"/>
      <c r="F252" s="660"/>
      <c r="G252" s="660"/>
      <c r="H252" s="660"/>
      <c r="I252" s="660"/>
      <c r="J252" s="660"/>
      <c r="K252" s="660"/>
      <c r="L252" s="660"/>
      <c r="M252" s="660"/>
      <c r="N252" s="660"/>
      <c r="O252" s="706">
        <v>6.03</v>
      </c>
      <c r="P252" s="706">
        <v>6.89</v>
      </c>
      <c r="Q252" s="706">
        <v>7.42</v>
      </c>
      <c r="R252" s="706">
        <v>7.28</v>
      </c>
      <c r="S252" s="706">
        <v>7.33</v>
      </c>
      <c r="T252" s="706">
        <v>0</v>
      </c>
      <c r="U252" s="706">
        <v>0</v>
      </c>
      <c r="V252" s="706">
        <v>0</v>
      </c>
      <c r="W252" s="706">
        <v>0</v>
      </c>
      <c r="X252" s="706">
        <v>0</v>
      </c>
      <c r="Y252" s="706">
        <v>0</v>
      </c>
      <c r="Z252" s="706">
        <v>0</v>
      </c>
      <c r="AA252" s="651">
        <v>755000</v>
      </c>
    </row>
    <row r="253" spans="2:40">
      <c r="B253" s="707"/>
      <c r="C253" s="660"/>
      <c r="D253" s="660"/>
      <c r="E253" s="660"/>
      <c r="F253" s="660"/>
      <c r="G253" s="660"/>
      <c r="H253" s="660"/>
      <c r="I253" s="660"/>
      <c r="J253" s="660"/>
      <c r="K253" s="660"/>
      <c r="L253" s="660"/>
      <c r="M253" s="660"/>
      <c r="N253" s="660"/>
      <c r="O253" s="706">
        <v>8.4499999999999993</v>
      </c>
      <c r="P253" s="706">
        <v>8.4499999999999993</v>
      </c>
      <c r="Q253" s="706">
        <v>8.4499999999999993</v>
      </c>
      <c r="R253" s="706">
        <v>8.4499999999999993</v>
      </c>
      <c r="S253" s="706">
        <v>6.8</v>
      </c>
      <c r="T253" s="706">
        <v>0</v>
      </c>
      <c r="U253" s="706">
        <v>0</v>
      </c>
      <c r="V253" s="706">
        <v>0</v>
      </c>
      <c r="W253" s="706">
        <v>0</v>
      </c>
      <c r="X253" s="706">
        <v>0</v>
      </c>
      <c r="Y253" s="706">
        <v>0</v>
      </c>
      <c r="Z253" s="706">
        <v>0</v>
      </c>
      <c r="AA253" s="651">
        <v>755000</v>
      </c>
    </row>
    <row r="254" spans="2:40">
      <c r="B254" s="707"/>
      <c r="C254" s="660"/>
      <c r="D254" s="660"/>
      <c r="E254" s="660"/>
      <c r="F254" s="660"/>
      <c r="G254" s="660"/>
      <c r="H254" s="660"/>
      <c r="I254" s="660"/>
      <c r="J254" s="660"/>
      <c r="K254" s="660"/>
      <c r="L254" s="660"/>
      <c r="M254" s="660"/>
      <c r="N254" s="660"/>
      <c r="O254" s="706">
        <v>8.17</v>
      </c>
      <c r="P254" s="706">
        <v>8.17</v>
      </c>
      <c r="Q254" s="706">
        <v>8.17</v>
      </c>
      <c r="R254" s="706">
        <v>8.17</v>
      </c>
      <c r="S254" s="706">
        <v>6.8</v>
      </c>
      <c r="T254" s="706">
        <v>0</v>
      </c>
      <c r="U254" s="706">
        <v>0</v>
      </c>
      <c r="V254" s="706">
        <v>0</v>
      </c>
      <c r="W254" s="706">
        <v>0</v>
      </c>
      <c r="X254" s="706">
        <v>0</v>
      </c>
      <c r="Y254" s="706">
        <v>0</v>
      </c>
      <c r="Z254" s="706">
        <v>0</v>
      </c>
      <c r="AA254" s="651">
        <v>755000</v>
      </c>
    </row>
    <row r="255" spans="2:40">
      <c r="B255" s="707"/>
      <c r="C255" s="660"/>
      <c r="D255" s="660"/>
      <c r="E255" s="660"/>
      <c r="F255" s="660"/>
      <c r="G255" s="660"/>
      <c r="H255" s="660"/>
      <c r="I255" s="660"/>
      <c r="J255" s="660"/>
      <c r="K255" s="660"/>
      <c r="L255" s="660"/>
      <c r="M255" s="660"/>
      <c r="N255" s="660"/>
      <c r="O255" s="706">
        <v>6.32</v>
      </c>
      <c r="P255" s="706">
        <v>6.59</v>
      </c>
      <c r="Q255" s="706">
        <v>6.59</v>
      </c>
      <c r="R255" s="706">
        <v>6.59</v>
      </c>
      <c r="S255" s="706">
        <v>0</v>
      </c>
      <c r="T255" s="706">
        <v>0</v>
      </c>
      <c r="U255" s="706">
        <v>0</v>
      </c>
      <c r="V255" s="706">
        <v>0</v>
      </c>
      <c r="W255" s="706">
        <v>0</v>
      </c>
      <c r="X255" s="706">
        <v>0</v>
      </c>
      <c r="Y255" s="706">
        <v>0</v>
      </c>
      <c r="Z255" s="706">
        <v>0</v>
      </c>
      <c r="AA255" s="651">
        <v>540000</v>
      </c>
    </row>
    <row r="256" spans="2:40">
      <c r="B256" s="707"/>
      <c r="C256" s="660"/>
      <c r="D256" s="660"/>
      <c r="E256" s="660"/>
      <c r="F256" s="660"/>
      <c r="G256" s="660"/>
      <c r="H256" s="660"/>
      <c r="I256" s="660"/>
      <c r="J256" s="660"/>
      <c r="K256" s="660"/>
      <c r="L256" s="660"/>
      <c r="M256" s="660"/>
      <c r="N256" s="660"/>
      <c r="O256" s="706">
        <v>7.49</v>
      </c>
      <c r="P256" s="706">
        <v>7.49</v>
      </c>
      <c r="Q256" s="706">
        <v>7.49</v>
      </c>
      <c r="R256" s="706">
        <v>7.49</v>
      </c>
      <c r="S256" s="706">
        <v>7.31</v>
      </c>
      <c r="T256" s="706">
        <v>0</v>
      </c>
      <c r="U256" s="706">
        <v>0</v>
      </c>
      <c r="V256" s="706">
        <v>0</v>
      </c>
      <c r="W256" s="706">
        <v>0</v>
      </c>
      <c r="X256" s="706">
        <v>0</v>
      </c>
      <c r="Y256" s="706">
        <v>0</v>
      </c>
      <c r="Z256" s="706">
        <v>0</v>
      </c>
      <c r="AA256" s="651">
        <v>755000</v>
      </c>
    </row>
    <row r="257" spans="2:27">
      <c r="B257" s="707"/>
      <c r="C257" s="660"/>
      <c r="D257" s="660"/>
      <c r="E257" s="660"/>
      <c r="F257" s="660"/>
      <c r="G257" s="660"/>
      <c r="H257" s="660"/>
      <c r="I257" s="660"/>
      <c r="J257" s="660"/>
      <c r="K257" s="660"/>
      <c r="L257" s="660"/>
      <c r="M257" s="660"/>
      <c r="N257" s="660"/>
      <c r="O257" s="706">
        <v>6.6</v>
      </c>
      <c r="P257" s="706">
        <v>6.82</v>
      </c>
      <c r="Q257" s="706">
        <v>6.82</v>
      </c>
      <c r="R257" s="706">
        <v>6.82</v>
      </c>
      <c r="S257" s="706">
        <v>6.82</v>
      </c>
      <c r="T257" s="706">
        <v>0</v>
      </c>
      <c r="U257" s="706">
        <v>0</v>
      </c>
      <c r="V257" s="706">
        <v>0</v>
      </c>
      <c r="W257" s="706">
        <v>0</v>
      </c>
      <c r="X257" s="706">
        <v>0</v>
      </c>
      <c r="Y257" s="706">
        <v>0</v>
      </c>
      <c r="Z257" s="706">
        <v>0</v>
      </c>
      <c r="AA257" s="651">
        <v>755000</v>
      </c>
    </row>
    <row r="258" spans="2:27">
      <c r="B258" s="707"/>
      <c r="C258" s="660"/>
      <c r="D258" s="660"/>
      <c r="E258" s="660"/>
      <c r="F258" s="660"/>
      <c r="G258" s="660"/>
      <c r="H258" s="660"/>
      <c r="I258" s="660"/>
      <c r="J258" s="660"/>
      <c r="K258" s="660"/>
      <c r="L258" s="660"/>
      <c r="M258" s="660"/>
      <c r="N258" s="660"/>
      <c r="O258" s="706">
        <v>7.65</v>
      </c>
      <c r="P258" s="706">
        <v>7.65</v>
      </c>
      <c r="Q258" s="706">
        <v>7.65</v>
      </c>
      <c r="R258" s="706">
        <v>7.65</v>
      </c>
      <c r="S258" s="706">
        <v>0</v>
      </c>
      <c r="T258" s="706">
        <v>0</v>
      </c>
      <c r="U258" s="706">
        <v>0</v>
      </c>
      <c r="V258" s="706">
        <v>0</v>
      </c>
      <c r="W258" s="706">
        <v>0</v>
      </c>
      <c r="X258" s="706">
        <v>0</v>
      </c>
      <c r="Y258" s="706">
        <v>0</v>
      </c>
      <c r="Z258" s="706">
        <v>0</v>
      </c>
      <c r="AA258" s="651">
        <v>600000</v>
      </c>
    </row>
    <row r="259" spans="2:27">
      <c r="B259" s="707"/>
      <c r="C259" s="660"/>
      <c r="D259" s="660"/>
      <c r="E259" s="660"/>
      <c r="F259" s="660"/>
      <c r="G259" s="660"/>
      <c r="H259" s="660"/>
      <c r="I259" s="660"/>
      <c r="J259" s="660"/>
      <c r="K259" s="660"/>
      <c r="L259" s="660"/>
      <c r="M259" s="660"/>
      <c r="N259" s="660"/>
      <c r="O259" s="706">
        <v>7.85</v>
      </c>
      <c r="P259" s="706">
        <v>7.85</v>
      </c>
      <c r="Q259" s="706">
        <v>7.85</v>
      </c>
      <c r="R259" s="706">
        <v>7.85</v>
      </c>
      <c r="S259" s="706">
        <v>0</v>
      </c>
      <c r="T259" s="706">
        <v>0</v>
      </c>
      <c r="U259" s="706">
        <v>0</v>
      </c>
      <c r="V259" s="706">
        <v>0</v>
      </c>
      <c r="W259" s="706">
        <v>0</v>
      </c>
      <c r="X259" s="706">
        <v>0</v>
      </c>
      <c r="Y259" s="706">
        <v>0</v>
      </c>
      <c r="Z259" s="706">
        <v>0</v>
      </c>
      <c r="AA259" s="651">
        <v>600000</v>
      </c>
    </row>
    <row r="260" spans="2:27">
      <c r="B260" s="707"/>
      <c r="C260" s="660"/>
      <c r="D260" s="660"/>
      <c r="E260" s="660"/>
      <c r="F260" s="660"/>
      <c r="G260" s="660"/>
      <c r="H260" s="660"/>
      <c r="I260" s="660"/>
      <c r="J260" s="660"/>
      <c r="K260" s="660"/>
      <c r="L260" s="660"/>
      <c r="M260" s="660"/>
      <c r="N260" s="660"/>
      <c r="O260" s="706">
        <v>7.7949999999999999</v>
      </c>
      <c r="P260" s="706">
        <v>7.7949999999999999</v>
      </c>
      <c r="Q260" s="706">
        <v>7.7949999999999999</v>
      </c>
      <c r="R260" s="706">
        <v>7.7949999999999999</v>
      </c>
      <c r="S260" s="706">
        <v>0</v>
      </c>
      <c r="T260" s="706">
        <v>0</v>
      </c>
      <c r="U260" s="706">
        <v>0</v>
      </c>
      <c r="V260" s="706">
        <v>0</v>
      </c>
      <c r="W260" s="706">
        <v>0</v>
      </c>
      <c r="X260" s="706">
        <v>0</v>
      </c>
      <c r="Y260" s="706">
        <v>0</v>
      </c>
      <c r="Z260" s="706">
        <v>0</v>
      </c>
      <c r="AA260" s="651">
        <v>600000</v>
      </c>
    </row>
    <row r="261" spans="2:27">
      <c r="B261" s="707"/>
      <c r="C261" s="660"/>
      <c r="D261" s="660"/>
      <c r="E261" s="660"/>
      <c r="F261" s="660"/>
      <c r="G261" s="660"/>
      <c r="H261" s="660"/>
      <c r="I261" s="660"/>
      <c r="J261" s="660"/>
      <c r="K261" s="660"/>
      <c r="L261" s="660"/>
      <c r="M261" s="660"/>
      <c r="N261" s="660"/>
      <c r="O261" s="706">
        <v>6.55</v>
      </c>
      <c r="P261" s="706">
        <v>0</v>
      </c>
      <c r="Q261" s="706">
        <v>0</v>
      </c>
      <c r="R261" s="706">
        <v>0</v>
      </c>
      <c r="S261" s="706">
        <v>0</v>
      </c>
      <c r="T261" s="706">
        <v>0</v>
      </c>
      <c r="U261" s="706">
        <v>0</v>
      </c>
      <c r="V261" s="706">
        <v>0</v>
      </c>
      <c r="W261" s="706">
        <v>0</v>
      </c>
      <c r="X261" s="706">
        <v>0</v>
      </c>
      <c r="Y261" s="706">
        <v>0</v>
      </c>
      <c r="Z261" s="706">
        <v>0</v>
      </c>
      <c r="AA261" s="651">
        <v>150000</v>
      </c>
    </row>
    <row r="262" spans="2:27">
      <c r="B262" s="707"/>
      <c r="C262" s="660"/>
      <c r="D262" s="660"/>
      <c r="E262" s="660"/>
      <c r="F262" s="660"/>
      <c r="G262" s="660"/>
      <c r="H262" s="660"/>
      <c r="I262" s="660"/>
      <c r="J262" s="660"/>
      <c r="K262" s="660"/>
      <c r="L262" s="660"/>
      <c r="M262" s="660"/>
      <c r="N262" s="660"/>
      <c r="O262" s="706">
        <v>7.69</v>
      </c>
      <c r="P262" s="706">
        <v>7.69</v>
      </c>
      <c r="Q262" s="706">
        <v>7.69</v>
      </c>
      <c r="R262" s="706">
        <v>7.69</v>
      </c>
      <c r="S262" s="706">
        <v>7.2949999999999999</v>
      </c>
      <c r="T262" s="706">
        <v>7.1349999999999998</v>
      </c>
      <c r="U262" s="706">
        <v>0</v>
      </c>
      <c r="V262" s="706">
        <v>0</v>
      </c>
      <c r="W262" s="706">
        <v>0</v>
      </c>
      <c r="X262" s="706">
        <v>0</v>
      </c>
      <c r="Y262" s="706">
        <v>0</v>
      </c>
      <c r="Z262" s="706">
        <v>0</v>
      </c>
      <c r="AA262" s="651">
        <v>905000</v>
      </c>
    </row>
    <row r="263" spans="2:27">
      <c r="B263" s="707"/>
      <c r="C263" s="660"/>
      <c r="D263" s="660"/>
      <c r="E263" s="660"/>
      <c r="F263" s="660"/>
      <c r="G263" s="660"/>
      <c r="H263" s="660"/>
      <c r="I263" s="660"/>
      <c r="J263" s="660"/>
      <c r="K263" s="660"/>
      <c r="L263" s="660"/>
      <c r="M263" s="660"/>
      <c r="N263" s="660"/>
      <c r="O263" s="706">
        <v>6.3</v>
      </c>
      <c r="P263" s="706">
        <v>6.3</v>
      </c>
      <c r="Q263" s="706">
        <v>6.3</v>
      </c>
      <c r="R263" s="706">
        <v>6.3</v>
      </c>
      <c r="S263" s="706">
        <v>6.3</v>
      </c>
      <c r="T263" s="706">
        <v>0</v>
      </c>
      <c r="U263" s="706">
        <v>0</v>
      </c>
      <c r="V263" s="706">
        <v>0</v>
      </c>
      <c r="W263" s="706">
        <v>0</v>
      </c>
      <c r="X263" s="706">
        <v>0</v>
      </c>
      <c r="Y263" s="706">
        <v>0</v>
      </c>
      <c r="Z263" s="706">
        <v>0</v>
      </c>
      <c r="AA263" s="651">
        <v>377500</v>
      </c>
    </row>
    <row r="264" spans="2:27">
      <c r="B264" s="707"/>
      <c r="C264" s="660"/>
      <c r="D264" s="660"/>
      <c r="E264" s="660"/>
      <c r="F264" s="660"/>
      <c r="G264" s="660"/>
      <c r="H264" s="660"/>
      <c r="I264" s="660"/>
      <c r="J264" s="660"/>
      <c r="K264" s="660"/>
      <c r="L264" s="660"/>
      <c r="M264" s="660"/>
      <c r="N264" s="660"/>
      <c r="O264" s="706">
        <v>0</v>
      </c>
      <c r="P264" s="706">
        <v>6.8550000000000004</v>
      </c>
      <c r="Q264" s="706">
        <v>7.3849999999999998</v>
      </c>
      <c r="R264" s="706">
        <v>7.2450000000000001</v>
      </c>
      <c r="S264" s="706">
        <v>0</v>
      </c>
      <c r="T264" s="706">
        <v>0</v>
      </c>
      <c r="U264" s="706">
        <v>0</v>
      </c>
      <c r="V264" s="706">
        <v>0</v>
      </c>
      <c r="W264" s="706">
        <v>0</v>
      </c>
      <c r="X264" s="706">
        <v>0</v>
      </c>
      <c r="Y264" s="706">
        <v>0</v>
      </c>
      <c r="Z264" s="706">
        <v>0</v>
      </c>
      <c r="AA264" s="651">
        <v>225000</v>
      </c>
    </row>
    <row r="265" spans="2:27">
      <c r="B265" s="707"/>
      <c r="C265" s="660"/>
      <c r="D265" s="660"/>
      <c r="E265" s="660"/>
      <c r="F265" s="660"/>
      <c r="G265" s="660"/>
      <c r="H265" s="660"/>
      <c r="I265" s="660"/>
      <c r="J265" s="660"/>
      <c r="K265" s="660"/>
      <c r="L265" s="660"/>
      <c r="M265" s="660"/>
      <c r="N265" s="660"/>
      <c r="O265" s="706">
        <v>7.22</v>
      </c>
      <c r="P265" s="706">
        <v>0</v>
      </c>
      <c r="Q265" s="706">
        <v>0</v>
      </c>
      <c r="R265" s="706">
        <v>0</v>
      </c>
      <c r="S265" s="706">
        <v>0</v>
      </c>
      <c r="T265" s="706">
        <v>0</v>
      </c>
      <c r="U265" s="706">
        <v>0</v>
      </c>
      <c r="V265" s="706">
        <v>0</v>
      </c>
      <c r="W265" s="706">
        <v>0</v>
      </c>
      <c r="X265" s="706">
        <v>0</v>
      </c>
      <c r="Y265" s="706">
        <v>0</v>
      </c>
      <c r="Z265" s="706">
        <v>0</v>
      </c>
      <c r="AA265" s="651">
        <v>300000</v>
      </c>
    </row>
    <row r="266" spans="2:27">
      <c r="B266" s="707"/>
      <c r="C266" s="660"/>
      <c r="D266" s="660"/>
      <c r="E266" s="660"/>
      <c r="F266" s="660"/>
      <c r="G266" s="660"/>
      <c r="H266" s="660"/>
      <c r="I266" s="660"/>
      <c r="J266" s="660"/>
      <c r="K266" s="660"/>
      <c r="L266" s="660"/>
      <c r="M266" s="660"/>
      <c r="N266" s="660"/>
      <c r="O266" s="706">
        <v>8.1999999999999993</v>
      </c>
      <c r="P266" s="706">
        <v>8.1999999999999993</v>
      </c>
      <c r="Q266" s="706">
        <v>0</v>
      </c>
      <c r="R266" s="706">
        <v>0</v>
      </c>
      <c r="S266" s="706">
        <v>0</v>
      </c>
      <c r="T266" s="706">
        <v>0</v>
      </c>
      <c r="U266" s="706">
        <v>0</v>
      </c>
      <c r="V266" s="706">
        <v>0</v>
      </c>
      <c r="W266" s="706">
        <v>0</v>
      </c>
      <c r="X266" s="706">
        <v>0</v>
      </c>
      <c r="Y266" s="706">
        <v>0</v>
      </c>
      <c r="Z266" s="706">
        <v>0</v>
      </c>
      <c r="AA266" s="651">
        <v>310000</v>
      </c>
    </row>
    <row r="267" spans="2:27">
      <c r="B267" s="707"/>
      <c r="C267" s="660"/>
      <c r="D267" s="660"/>
      <c r="E267" s="660"/>
      <c r="F267" s="660"/>
      <c r="G267" s="660"/>
      <c r="H267" s="660"/>
      <c r="I267" s="660"/>
      <c r="J267" s="660"/>
      <c r="K267" s="660"/>
      <c r="L267" s="660"/>
      <c r="M267" s="660"/>
      <c r="N267" s="660"/>
      <c r="O267" s="706">
        <v>0</v>
      </c>
      <c r="P267" s="706">
        <v>0</v>
      </c>
      <c r="Q267" s="706">
        <v>6.9</v>
      </c>
      <c r="R267" s="706">
        <v>6.9</v>
      </c>
      <c r="S267" s="706">
        <v>6.9</v>
      </c>
      <c r="T267" s="706">
        <v>0</v>
      </c>
      <c r="U267" s="706">
        <v>0</v>
      </c>
      <c r="V267" s="706">
        <v>0</v>
      </c>
      <c r="W267" s="706">
        <v>0</v>
      </c>
      <c r="X267" s="706">
        <v>0</v>
      </c>
      <c r="Y267" s="706">
        <v>0</v>
      </c>
      <c r="Z267" s="706">
        <v>0</v>
      </c>
      <c r="AA267" s="651">
        <v>900000</v>
      </c>
    </row>
    <row r="268" spans="2:27">
      <c r="B268" s="707"/>
      <c r="C268" s="660"/>
      <c r="D268" s="660"/>
      <c r="E268" s="660"/>
      <c r="F268" s="660"/>
      <c r="G268" s="660"/>
      <c r="H268" s="660"/>
      <c r="I268" s="660"/>
      <c r="J268" s="660"/>
      <c r="K268" s="660"/>
      <c r="L268" s="660"/>
      <c r="M268" s="660"/>
      <c r="N268" s="660"/>
      <c r="O268" s="706">
        <v>5.91</v>
      </c>
      <c r="P268" s="706">
        <v>6.77</v>
      </c>
      <c r="Q268" s="706">
        <v>7.3</v>
      </c>
      <c r="R268" s="706">
        <v>7.16</v>
      </c>
      <c r="S268" s="706">
        <v>7.21</v>
      </c>
      <c r="T268" s="706">
        <v>0</v>
      </c>
      <c r="U268" s="706">
        <v>0</v>
      </c>
      <c r="V268" s="706">
        <v>0</v>
      </c>
      <c r="W268" s="706">
        <v>0</v>
      </c>
      <c r="X268" s="706">
        <v>0</v>
      </c>
      <c r="Y268" s="706">
        <v>0</v>
      </c>
      <c r="Z268" s="706">
        <v>0</v>
      </c>
      <c r="AA268" s="651">
        <v>3020000</v>
      </c>
    </row>
    <row r="269" spans="2:27">
      <c r="B269" s="707"/>
      <c r="C269" s="660"/>
      <c r="D269" s="660"/>
      <c r="E269" s="660"/>
      <c r="F269" s="660"/>
      <c r="G269" s="660"/>
      <c r="H269" s="660"/>
      <c r="I269" s="660"/>
      <c r="J269" s="660"/>
      <c r="K269" s="660"/>
      <c r="L269" s="660"/>
      <c r="M269" s="660"/>
      <c r="N269" s="660"/>
      <c r="O269" s="706">
        <v>6.99</v>
      </c>
      <c r="P269" s="706">
        <v>6.85</v>
      </c>
      <c r="Q269" s="706">
        <v>6.85</v>
      </c>
      <c r="R269" s="706">
        <v>6.85</v>
      </c>
      <c r="S269" s="706">
        <v>6.85</v>
      </c>
      <c r="T269" s="706">
        <v>0</v>
      </c>
      <c r="U269" s="706">
        <v>0</v>
      </c>
      <c r="V269" s="706">
        <v>0</v>
      </c>
      <c r="W269" s="706">
        <v>0</v>
      </c>
      <c r="X269" s="706">
        <v>0</v>
      </c>
      <c r="Y269" s="706">
        <v>0</v>
      </c>
      <c r="Z269" s="706">
        <v>0</v>
      </c>
      <c r="AA269" s="651">
        <v>1510000</v>
      </c>
    </row>
    <row r="270" spans="2:27">
      <c r="B270" s="707"/>
      <c r="C270" s="660"/>
      <c r="D270" s="660"/>
      <c r="E270" s="660"/>
      <c r="F270" s="660"/>
      <c r="G270" s="660"/>
      <c r="H270" s="660"/>
      <c r="I270" s="660"/>
      <c r="J270" s="660"/>
      <c r="K270" s="660"/>
      <c r="L270" s="660"/>
      <c r="M270" s="660"/>
      <c r="N270" s="660"/>
      <c r="O270" s="706">
        <v>8.3699999999999992</v>
      </c>
      <c r="P270" s="706">
        <v>8.3699999999999992</v>
      </c>
      <c r="Q270" s="706">
        <v>8.3699999999999992</v>
      </c>
      <c r="R270" s="706">
        <v>8.3699999999999992</v>
      </c>
      <c r="S270" s="706">
        <v>6.58</v>
      </c>
      <c r="T270" s="706">
        <v>0</v>
      </c>
      <c r="U270" s="706">
        <v>0</v>
      </c>
      <c r="V270" s="706">
        <v>0</v>
      </c>
      <c r="W270" s="706">
        <v>0</v>
      </c>
      <c r="X270" s="706">
        <v>0</v>
      </c>
      <c r="Y270" s="706">
        <v>0</v>
      </c>
      <c r="Z270" s="706">
        <v>0</v>
      </c>
      <c r="AA270" s="651">
        <v>755000</v>
      </c>
    </row>
    <row r="271" spans="2:27">
      <c r="B271" s="707"/>
      <c r="C271" s="660"/>
      <c r="D271" s="660"/>
      <c r="E271" s="660"/>
      <c r="F271" s="660"/>
      <c r="G271" s="660"/>
      <c r="H271" s="660"/>
      <c r="I271" s="660"/>
      <c r="J271" s="660"/>
      <c r="K271" s="660"/>
      <c r="L271" s="660"/>
      <c r="M271" s="660"/>
      <c r="N271" s="660"/>
      <c r="O271" s="706">
        <v>7.9</v>
      </c>
      <c r="P271" s="706">
        <v>7.9</v>
      </c>
      <c r="Q271" s="706">
        <v>7.9</v>
      </c>
      <c r="R271" s="706">
        <v>7.9</v>
      </c>
      <c r="S271" s="706">
        <v>6.58</v>
      </c>
      <c r="T271" s="706">
        <v>0</v>
      </c>
      <c r="U271" s="706">
        <v>0</v>
      </c>
      <c r="V271" s="706">
        <v>0</v>
      </c>
      <c r="W271" s="706">
        <v>0</v>
      </c>
      <c r="X271" s="706">
        <v>0</v>
      </c>
      <c r="Y271" s="706">
        <v>0</v>
      </c>
      <c r="Z271" s="706">
        <v>0</v>
      </c>
      <c r="AA271" s="651">
        <v>755000</v>
      </c>
    </row>
    <row r="272" spans="2:27">
      <c r="B272" s="707"/>
      <c r="C272" s="660"/>
      <c r="D272" s="660"/>
      <c r="E272" s="660"/>
      <c r="F272" s="660"/>
      <c r="G272" s="660"/>
      <c r="H272" s="660"/>
      <c r="I272" s="660"/>
      <c r="J272" s="660"/>
      <c r="K272" s="660"/>
      <c r="L272" s="660"/>
      <c r="M272" s="660"/>
      <c r="N272" s="660"/>
      <c r="O272" s="706">
        <v>7.77</v>
      </c>
      <c r="P272" s="706">
        <v>7.77</v>
      </c>
      <c r="Q272" s="706">
        <v>7.77</v>
      </c>
      <c r="R272" s="706">
        <v>7.77</v>
      </c>
      <c r="S272" s="706">
        <v>6.58</v>
      </c>
      <c r="T272" s="706">
        <v>0</v>
      </c>
      <c r="U272" s="706">
        <v>0</v>
      </c>
      <c r="V272" s="706">
        <v>0</v>
      </c>
      <c r="W272" s="706">
        <v>0</v>
      </c>
      <c r="X272" s="706">
        <v>0</v>
      </c>
      <c r="Y272" s="706">
        <v>0</v>
      </c>
      <c r="Z272" s="706">
        <v>0</v>
      </c>
      <c r="AA272" s="651">
        <v>755000</v>
      </c>
    </row>
    <row r="273" spans="2:27">
      <c r="B273" s="707"/>
      <c r="C273" s="660"/>
      <c r="D273" s="660"/>
      <c r="E273" s="660"/>
      <c r="F273" s="660"/>
      <c r="G273" s="660"/>
      <c r="H273" s="660"/>
      <c r="I273" s="660"/>
      <c r="J273" s="660"/>
      <c r="K273" s="660"/>
      <c r="L273" s="660"/>
      <c r="M273" s="660"/>
      <c r="N273" s="660"/>
      <c r="O273" s="706">
        <v>7.63</v>
      </c>
      <c r="P273" s="706">
        <v>7.63</v>
      </c>
      <c r="Q273" s="706">
        <v>7.63</v>
      </c>
      <c r="R273" s="706">
        <v>7.63</v>
      </c>
      <c r="S273" s="706">
        <v>6.58</v>
      </c>
      <c r="T273" s="706">
        <v>0</v>
      </c>
      <c r="U273" s="706">
        <v>0</v>
      </c>
      <c r="V273" s="706">
        <v>0</v>
      </c>
      <c r="W273" s="706">
        <v>0</v>
      </c>
      <c r="X273" s="706">
        <v>0</v>
      </c>
      <c r="Y273" s="706">
        <v>0</v>
      </c>
      <c r="Z273" s="706">
        <v>0</v>
      </c>
      <c r="AA273" s="651">
        <v>755000</v>
      </c>
    </row>
    <row r="274" spans="2:27">
      <c r="B274" s="707"/>
      <c r="C274" s="660"/>
      <c r="D274" s="660"/>
      <c r="E274" s="660"/>
      <c r="F274" s="660"/>
      <c r="G274" s="660"/>
      <c r="H274" s="660"/>
      <c r="I274" s="660"/>
      <c r="J274" s="660"/>
      <c r="K274" s="660"/>
      <c r="L274" s="660"/>
      <c r="M274" s="660"/>
      <c r="N274" s="660"/>
      <c r="O274" s="706">
        <v>6.0425000000000004</v>
      </c>
      <c r="P274" s="706">
        <v>6.9024999999999999</v>
      </c>
      <c r="Q274" s="706">
        <v>7.4325000000000001</v>
      </c>
      <c r="R274" s="706">
        <v>7.2925000000000004</v>
      </c>
      <c r="S274" s="706">
        <v>7.3425000000000002</v>
      </c>
      <c r="T274" s="706">
        <v>0</v>
      </c>
      <c r="U274" s="706">
        <v>0</v>
      </c>
      <c r="V274" s="706">
        <v>0</v>
      </c>
      <c r="W274" s="706">
        <v>0</v>
      </c>
      <c r="X274" s="706">
        <v>0</v>
      </c>
      <c r="Y274" s="706">
        <v>0</v>
      </c>
      <c r="Z274" s="706">
        <v>0</v>
      </c>
      <c r="AA274" s="651">
        <v>2416000</v>
      </c>
    </row>
    <row r="275" spans="2:27">
      <c r="B275" s="707"/>
      <c r="C275" s="660"/>
      <c r="D275" s="660"/>
      <c r="E275" s="660"/>
      <c r="F275" s="660"/>
      <c r="G275" s="660"/>
      <c r="H275" s="660"/>
      <c r="I275" s="660"/>
      <c r="J275" s="660"/>
      <c r="K275" s="660"/>
      <c r="L275" s="660"/>
      <c r="M275" s="660"/>
      <c r="N275" s="660"/>
      <c r="O275" s="706">
        <v>8.3000000000000007</v>
      </c>
      <c r="P275" s="706">
        <v>8.3000000000000007</v>
      </c>
      <c r="Q275" s="706">
        <v>8.3000000000000007</v>
      </c>
      <c r="R275" s="706">
        <v>8.3000000000000007</v>
      </c>
      <c r="S275" s="706">
        <v>0</v>
      </c>
      <c r="T275" s="706">
        <v>0</v>
      </c>
      <c r="U275" s="706">
        <v>0</v>
      </c>
      <c r="V275" s="706">
        <v>0</v>
      </c>
      <c r="W275" s="706">
        <v>0</v>
      </c>
      <c r="X275" s="706">
        <v>0</v>
      </c>
      <c r="Y275" s="706">
        <v>0</v>
      </c>
      <c r="Z275" s="706">
        <v>0</v>
      </c>
      <c r="AA275" s="651">
        <v>600000</v>
      </c>
    </row>
    <row r="276" spans="2:27">
      <c r="B276" s="707" t="s">
        <v>526</v>
      </c>
      <c r="C276" s="660"/>
      <c r="D276" s="660"/>
      <c r="E276" s="660"/>
      <c r="F276" s="660"/>
      <c r="G276" s="660"/>
      <c r="H276" s="660"/>
      <c r="I276" s="660"/>
      <c r="J276" s="660"/>
      <c r="K276" s="660"/>
      <c r="L276" s="660"/>
      <c r="M276" s="660"/>
      <c r="N276" s="660"/>
      <c r="O276" s="706">
        <v>0</v>
      </c>
      <c r="P276" s="706">
        <v>6.8875000000000002</v>
      </c>
      <c r="Q276" s="706">
        <v>7.4175000000000004</v>
      </c>
      <c r="R276" s="706">
        <v>7.2774999999999999</v>
      </c>
      <c r="S276" s="706">
        <v>0</v>
      </c>
      <c r="T276" s="706">
        <v>0</v>
      </c>
      <c r="U276" s="706">
        <v>0</v>
      </c>
      <c r="V276" s="706">
        <v>0</v>
      </c>
      <c r="W276" s="706">
        <v>0</v>
      </c>
      <c r="X276" s="706">
        <v>0</v>
      </c>
      <c r="Y276" s="706">
        <v>0</v>
      </c>
      <c r="Z276" s="706">
        <v>0</v>
      </c>
      <c r="AA276" s="651">
        <v>360000</v>
      </c>
    </row>
    <row r="277" spans="2:27">
      <c r="B277" s="707"/>
      <c r="C277" s="660"/>
      <c r="D277" s="660"/>
      <c r="E277" s="660"/>
      <c r="F277" s="660"/>
      <c r="G277" s="660"/>
      <c r="H277" s="660"/>
      <c r="I277" s="660"/>
      <c r="J277" s="660"/>
      <c r="K277" s="660"/>
      <c r="L277" s="660"/>
      <c r="M277" s="660"/>
      <c r="N277" s="660"/>
      <c r="O277" s="706">
        <v>0</v>
      </c>
      <c r="P277" s="706">
        <v>6.93</v>
      </c>
      <c r="Q277" s="706">
        <v>7.46</v>
      </c>
      <c r="R277" s="706">
        <v>7.32</v>
      </c>
      <c r="S277" s="706">
        <v>0</v>
      </c>
      <c r="T277" s="706">
        <v>0</v>
      </c>
      <c r="U277" s="706">
        <v>0</v>
      </c>
      <c r="V277" s="706">
        <v>0</v>
      </c>
      <c r="W277" s="706">
        <v>0</v>
      </c>
      <c r="X277" s="706">
        <v>0</v>
      </c>
      <c r="Y277" s="706">
        <v>0</v>
      </c>
      <c r="Z277" s="706">
        <v>0</v>
      </c>
      <c r="AA277" s="651">
        <v>450000</v>
      </c>
    </row>
    <row r="278" spans="2:27">
      <c r="B278" s="707"/>
      <c r="C278" s="660"/>
      <c r="D278" s="660"/>
      <c r="E278" s="660"/>
      <c r="F278" s="660"/>
      <c r="G278" s="660"/>
      <c r="H278" s="660"/>
      <c r="I278" s="660"/>
      <c r="J278" s="660"/>
      <c r="K278" s="660"/>
      <c r="L278" s="660"/>
      <c r="M278" s="660"/>
      <c r="N278" s="660"/>
      <c r="O278" s="706">
        <v>0</v>
      </c>
      <c r="P278" s="706">
        <v>6.69</v>
      </c>
      <c r="Q278" s="706">
        <v>7.22</v>
      </c>
      <c r="R278" s="706">
        <v>7.08</v>
      </c>
      <c r="S278" s="706">
        <v>0</v>
      </c>
      <c r="T278" s="706">
        <v>0</v>
      </c>
      <c r="U278" s="706">
        <v>0</v>
      </c>
      <c r="V278" s="706">
        <v>0</v>
      </c>
      <c r="W278" s="706">
        <v>0</v>
      </c>
      <c r="X278" s="706">
        <v>0</v>
      </c>
      <c r="Y278" s="706">
        <v>0</v>
      </c>
      <c r="Z278" s="706">
        <v>0</v>
      </c>
      <c r="AA278" s="651">
        <v>900000</v>
      </c>
    </row>
    <row r="279" spans="2:27">
      <c r="B279" s="707"/>
      <c r="C279" s="660"/>
      <c r="D279" s="660"/>
      <c r="E279" s="660"/>
      <c r="F279" s="660"/>
      <c r="G279" s="660"/>
      <c r="H279" s="660"/>
      <c r="I279" s="660"/>
      <c r="J279" s="660"/>
      <c r="K279" s="660"/>
      <c r="L279" s="660"/>
      <c r="M279" s="660"/>
      <c r="N279" s="660"/>
      <c r="O279" s="706">
        <v>0</v>
      </c>
      <c r="P279" s="706">
        <v>6.84</v>
      </c>
      <c r="Q279" s="706">
        <v>7.37</v>
      </c>
      <c r="R279" s="706">
        <v>7.23</v>
      </c>
      <c r="S279" s="706">
        <v>0</v>
      </c>
      <c r="T279" s="706">
        <v>0</v>
      </c>
      <c r="U279" s="706">
        <v>0</v>
      </c>
      <c r="V279" s="706">
        <v>0</v>
      </c>
      <c r="W279" s="706">
        <v>0</v>
      </c>
      <c r="X279" s="706">
        <v>0</v>
      </c>
      <c r="Y279" s="706">
        <v>0</v>
      </c>
      <c r="Z279" s="706">
        <v>0</v>
      </c>
      <c r="AA279" s="651">
        <v>900000</v>
      </c>
    </row>
    <row r="280" spans="2:27">
      <c r="B280" s="707"/>
      <c r="C280" s="660"/>
      <c r="D280" s="660"/>
      <c r="E280" s="660"/>
      <c r="F280" s="660"/>
      <c r="G280" s="660"/>
      <c r="H280" s="660"/>
      <c r="I280" s="660"/>
      <c r="J280" s="660"/>
      <c r="K280" s="660"/>
      <c r="L280" s="660"/>
      <c r="M280" s="660"/>
      <c r="N280" s="660"/>
      <c r="O280" s="706">
        <v>0</v>
      </c>
      <c r="P280" s="706">
        <v>6.8925000000000001</v>
      </c>
      <c r="Q280" s="706">
        <v>7.4225000000000003</v>
      </c>
      <c r="R280" s="706">
        <v>7.2824999999999998</v>
      </c>
      <c r="S280" s="706">
        <v>0</v>
      </c>
      <c r="T280" s="706">
        <v>0</v>
      </c>
      <c r="U280" s="706">
        <v>0</v>
      </c>
      <c r="V280" s="706">
        <v>0</v>
      </c>
      <c r="W280" s="706">
        <v>0</v>
      </c>
      <c r="X280" s="706">
        <v>0</v>
      </c>
      <c r="Y280" s="706">
        <v>0</v>
      </c>
      <c r="Z280" s="706">
        <v>0</v>
      </c>
      <c r="AA280" s="651">
        <v>540000</v>
      </c>
    </row>
    <row r="281" spans="2:27">
      <c r="B281" s="672"/>
      <c r="C281" s="660"/>
      <c r="D281" s="660"/>
      <c r="E281" s="660"/>
      <c r="F281" s="660"/>
      <c r="G281" s="660"/>
      <c r="H281" s="660"/>
      <c r="I281" s="660"/>
      <c r="J281" s="660"/>
      <c r="K281" s="660"/>
      <c r="L281" s="660"/>
      <c r="M281" s="660"/>
      <c r="N281" s="660"/>
      <c r="O281" s="673">
        <v>0</v>
      </c>
      <c r="P281" s="673">
        <v>8.18</v>
      </c>
      <c r="Q281" s="673">
        <v>8.18</v>
      </c>
      <c r="R281" s="673">
        <v>8.18</v>
      </c>
      <c r="S281" s="673">
        <v>0</v>
      </c>
      <c r="T281" s="673">
        <v>0</v>
      </c>
      <c r="U281" s="673">
        <v>0</v>
      </c>
      <c r="V281" s="673">
        <v>0</v>
      </c>
      <c r="W281" s="673">
        <v>0</v>
      </c>
      <c r="X281" s="673">
        <v>0</v>
      </c>
      <c r="Y281" s="673">
        <v>0</v>
      </c>
      <c r="Z281" s="673">
        <v>0</v>
      </c>
      <c r="AA281" s="628">
        <v>450000</v>
      </c>
    </row>
    <row r="282" spans="2:27">
      <c r="B282" s="672"/>
      <c r="C282" s="660"/>
      <c r="D282" s="660"/>
      <c r="E282" s="660"/>
      <c r="F282" s="660"/>
      <c r="G282" s="660"/>
      <c r="H282" s="660"/>
      <c r="I282" s="660"/>
      <c r="J282" s="660"/>
      <c r="K282" s="660"/>
      <c r="L282" s="660"/>
      <c r="M282" s="660"/>
      <c r="N282" s="660"/>
      <c r="O282" s="673">
        <v>0</v>
      </c>
      <c r="P282" s="673">
        <v>8.3000000000000007</v>
      </c>
      <c r="Q282" s="673">
        <v>8.3000000000000007</v>
      </c>
      <c r="R282" s="673">
        <v>8.3000000000000007</v>
      </c>
      <c r="S282" s="673">
        <v>0</v>
      </c>
      <c r="T282" s="673">
        <v>0</v>
      </c>
      <c r="U282" s="673">
        <v>0</v>
      </c>
      <c r="V282" s="673">
        <v>0</v>
      </c>
      <c r="W282" s="673">
        <v>0</v>
      </c>
      <c r="X282" s="673">
        <v>0</v>
      </c>
      <c r="Y282" s="673">
        <v>0</v>
      </c>
      <c r="Z282" s="673">
        <v>0</v>
      </c>
      <c r="AA282" s="628">
        <v>900000</v>
      </c>
    </row>
    <row r="283" spans="2:27">
      <c r="B283" s="672"/>
      <c r="C283" s="660"/>
      <c r="D283" s="660"/>
      <c r="E283" s="660"/>
      <c r="F283" s="660"/>
      <c r="G283" s="660"/>
      <c r="H283" s="660"/>
      <c r="I283" s="660"/>
      <c r="J283" s="660"/>
      <c r="K283" s="660"/>
      <c r="L283" s="660"/>
      <c r="M283" s="660"/>
      <c r="N283" s="660"/>
      <c r="O283" s="673">
        <v>0</v>
      </c>
      <c r="P283" s="673">
        <v>7.9</v>
      </c>
      <c r="Q283" s="673">
        <v>7.9</v>
      </c>
      <c r="R283" s="673">
        <v>7.9</v>
      </c>
      <c r="S283" s="673">
        <v>0</v>
      </c>
      <c r="T283" s="673">
        <v>0</v>
      </c>
      <c r="U283" s="673">
        <v>0</v>
      </c>
      <c r="V283" s="673">
        <v>0</v>
      </c>
      <c r="W283" s="673">
        <v>0</v>
      </c>
      <c r="X283" s="673">
        <v>0</v>
      </c>
      <c r="Y283" s="673">
        <v>0</v>
      </c>
      <c r="Z283" s="673">
        <v>0</v>
      </c>
      <c r="AA283" s="628">
        <v>450000</v>
      </c>
    </row>
    <row r="284" spans="2:27">
      <c r="B284" s="672"/>
      <c r="C284" s="660"/>
      <c r="D284" s="660"/>
      <c r="E284" s="660"/>
      <c r="F284" s="660"/>
      <c r="G284" s="660"/>
      <c r="H284" s="660"/>
      <c r="I284" s="660"/>
      <c r="J284" s="660"/>
      <c r="K284" s="660"/>
      <c r="L284" s="660"/>
      <c r="M284" s="660"/>
      <c r="N284" s="660"/>
      <c r="O284" s="673">
        <v>0</v>
      </c>
      <c r="P284" s="673">
        <v>8.1</v>
      </c>
      <c r="Q284" s="673">
        <v>8.1</v>
      </c>
      <c r="R284" s="673">
        <v>8.1</v>
      </c>
      <c r="S284" s="673">
        <v>6.79</v>
      </c>
      <c r="T284" s="673">
        <v>0</v>
      </c>
      <c r="U284" s="673">
        <v>0</v>
      </c>
      <c r="V284" s="673">
        <v>0</v>
      </c>
      <c r="W284" s="673">
        <v>0</v>
      </c>
      <c r="X284" s="673">
        <v>0</v>
      </c>
      <c r="Y284" s="673">
        <v>0</v>
      </c>
      <c r="Z284" s="673">
        <v>0</v>
      </c>
      <c r="AA284" s="628">
        <v>1210000</v>
      </c>
    </row>
    <row r="285" spans="2:27">
      <c r="B285" s="672"/>
      <c r="C285" s="660"/>
      <c r="D285" s="660"/>
      <c r="E285" s="660"/>
      <c r="F285" s="660"/>
      <c r="G285" s="660"/>
      <c r="H285" s="660"/>
      <c r="I285" s="660"/>
      <c r="J285" s="660"/>
      <c r="K285" s="660"/>
      <c r="L285" s="660"/>
      <c r="M285" s="660"/>
      <c r="N285" s="660"/>
      <c r="O285" s="673">
        <v>0</v>
      </c>
      <c r="P285" s="673">
        <v>0</v>
      </c>
      <c r="Q285" s="673">
        <v>0</v>
      </c>
      <c r="R285" s="673">
        <v>0</v>
      </c>
      <c r="S285" s="673">
        <v>0</v>
      </c>
      <c r="T285" s="673">
        <v>0</v>
      </c>
      <c r="U285" s="673">
        <v>0</v>
      </c>
      <c r="V285" s="673">
        <v>0</v>
      </c>
      <c r="W285" s="673">
        <v>0</v>
      </c>
      <c r="X285" s="673">
        <v>0</v>
      </c>
      <c r="Y285" s="673">
        <v>0</v>
      </c>
      <c r="Z285" s="673">
        <v>0</v>
      </c>
      <c r="AA285" s="628">
        <v>0</v>
      </c>
    </row>
    <row r="286" spans="2:27">
      <c r="B286" s="672"/>
      <c r="C286" s="660"/>
      <c r="D286" s="660"/>
      <c r="E286" s="660"/>
      <c r="F286" s="660"/>
      <c r="G286" s="660"/>
      <c r="H286" s="660"/>
      <c r="I286" s="660"/>
      <c r="J286" s="660"/>
      <c r="K286" s="660"/>
      <c r="L286" s="660"/>
      <c r="M286" s="660"/>
      <c r="N286" s="660"/>
      <c r="O286" s="673">
        <v>0</v>
      </c>
      <c r="P286" s="673">
        <v>0</v>
      </c>
      <c r="Q286" s="673">
        <v>0</v>
      </c>
      <c r="R286" s="673">
        <v>0</v>
      </c>
      <c r="S286" s="673">
        <v>0</v>
      </c>
      <c r="T286" s="673">
        <v>0</v>
      </c>
      <c r="U286" s="673">
        <v>0</v>
      </c>
      <c r="V286" s="673">
        <v>0</v>
      </c>
      <c r="W286" s="673">
        <v>0</v>
      </c>
      <c r="X286" s="673">
        <v>0</v>
      </c>
      <c r="Y286" s="673">
        <v>0</v>
      </c>
      <c r="Z286" s="673">
        <v>0</v>
      </c>
      <c r="AA286" s="628">
        <v>0</v>
      </c>
    </row>
    <row r="287" spans="2:27">
      <c r="B287" s="672"/>
      <c r="C287" s="660"/>
      <c r="D287" s="660"/>
      <c r="E287" s="660"/>
      <c r="F287" s="660"/>
      <c r="G287" s="660"/>
      <c r="H287" s="660"/>
      <c r="I287" s="660"/>
      <c r="J287" s="660"/>
      <c r="K287" s="660"/>
      <c r="L287" s="660"/>
      <c r="M287" s="660"/>
      <c r="N287" s="660"/>
      <c r="O287" s="673">
        <v>0</v>
      </c>
      <c r="P287" s="673">
        <v>0</v>
      </c>
      <c r="Q287" s="673">
        <v>0</v>
      </c>
      <c r="R287" s="673">
        <v>0</v>
      </c>
      <c r="S287" s="673">
        <v>0</v>
      </c>
      <c r="T287" s="673">
        <v>0</v>
      </c>
      <c r="U287" s="673">
        <v>0</v>
      </c>
      <c r="V287" s="673">
        <v>0</v>
      </c>
      <c r="W287" s="673">
        <v>0</v>
      </c>
      <c r="X287" s="673">
        <v>0</v>
      </c>
      <c r="Y287" s="673">
        <v>0</v>
      </c>
      <c r="Z287" s="673">
        <v>0</v>
      </c>
      <c r="AA287" s="628">
        <v>0</v>
      </c>
    </row>
    <row r="288" spans="2:27">
      <c r="B288" s="672"/>
      <c r="C288" s="660"/>
      <c r="D288" s="660"/>
      <c r="E288" s="660"/>
      <c r="F288" s="660"/>
      <c r="G288" s="660"/>
      <c r="H288" s="660"/>
      <c r="I288" s="660"/>
      <c r="J288" s="660"/>
      <c r="K288" s="660"/>
      <c r="L288" s="660"/>
      <c r="M288" s="660"/>
      <c r="N288" s="660"/>
      <c r="O288" s="673">
        <v>0</v>
      </c>
      <c r="P288" s="673">
        <v>0</v>
      </c>
      <c r="Q288" s="673">
        <v>0</v>
      </c>
      <c r="R288" s="673">
        <v>0</v>
      </c>
      <c r="S288" s="673">
        <v>0</v>
      </c>
      <c r="T288" s="673">
        <v>0</v>
      </c>
      <c r="U288" s="673">
        <v>0</v>
      </c>
      <c r="V288" s="673">
        <v>0</v>
      </c>
      <c r="W288" s="673">
        <v>0</v>
      </c>
      <c r="X288" s="673">
        <v>0</v>
      </c>
      <c r="Y288" s="673">
        <v>0</v>
      </c>
      <c r="Z288" s="673">
        <v>0</v>
      </c>
      <c r="AA288" s="628">
        <v>0</v>
      </c>
    </row>
    <row r="289" spans="2:27">
      <c r="B289" s="672"/>
      <c r="C289" s="660"/>
      <c r="D289" s="660"/>
      <c r="E289" s="660"/>
      <c r="F289" s="660"/>
      <c r="G289" s="660"/>
      <c r="H289" s="660"/>
      <c r="I289" s="660"/>
      <c r="J289" s="660"/>
      <c r="K289" s="660"/>
      <c r="L289" s="660"/>
      <c r="M289" s="660"/>
      <c r="N289" s="660"/>
      <c r="O289" s="673">
        <v>0</v>
      </c>
      <c r="P289" s="673">
        <v>0</v>
      </c>
      <c r="Q289" s="673">
        <v>0</v>
      </c>
      <c r="R289" s="673">
        <v>0</v>
      </c>
      <c r="S289" s="673">
        <v>0</v>
      </c>
      <c r="T289" s="673">
        <v>0</v>
      </c>
      <c r="U289" s="673">
        <v>0</v>
      </c>
      <c r="V289" s="673">
        <v>0</v>
      </c>
      <c r="W289" s="673">
        <v>0</v>
      </c>
      <c r="X289" s="673">
        <v>0</v>
      </c>
      <c r="Y289" s="673">
        <v>0</v>
      </c>
      <c r="Z289" s="673">
        <v>0</v>
      </c>
      <c r="AA289" s="628">
        <v>0</v>
      </c>
    </row>
    <row r="290" spans="2:27">
      <c r="B290" s="672"/>
      <c r="C290" s="660"/>
      <c r="D290" s="660"/>
      <c r="E290" s="660"/>
      <c r="F290" s="660"/>
      <c r="G290" s="660"/>
      <c r="H290" s="660"/>
      <c r="I290" s="660"/>
      <c r="J290" s="660"/>
      <c r="K290" s="660"/>
      <c r="L290" s="660"/>
      <c r="M290" s="660"/>
      <c r="N290" s="660"/>
      <c r="O290" s="673">
        <v>0</v>
      </c>
      <c r="P290" s="673">
        <v>0</v>
      </c>
      <c r="Q290" s="673">
        <v>0</v>
      </c>
      <c r="R290" s="673">
        <v>0</v>
      </c>
      <c r="S290" s="673">
        <v>0</v>
      </c>
      <c r="T290" s="673">
        <v>0</v>
      </c>
      <c r="U290" s="673">
        <v>0</v>
      </c>
      <c r="V290" s="673">
        <v>0</v>
      </c>
      <c r="W290" s="673">
        <v>0</v>
      </c>
      <c r="X290" s="673">
        <v>0</v>
      </c>
      <c r="Y290" s="673">
        <v>0</v>
      </c>
      <c r="Z290" s="673">
        <v>0</v>
      </c>
      <c r="AA290" s="628">
        <v>0</v>
      </c>
    </row>
    <row r="291" spans="2:27">
      <c r="B291" s="672"/>
      <c r="C291" s="660"/>
      <c r="D291" s="660"/>
      <c r="E291" s="660"/>
      <c r="F291" s="660"/>
      <c r="G291" s="660"/>
      <c r="H291" s="660"/>
      <c r="I291" s="660"/>
      <c r="J291" s="660"/>
      <c r="K291" s="660"/>
      <c r="L291" s="660"/>
      <c r="M291" s="660"/>
      <c r="N291" s="660"/>
      <c r="O291" s="673">
        <v>0</v>
      </c>
      <c r="P291" s="673">
        <v>0</v>
      </c>
      <c r="Q291" s="673">
        <v>0</v>
      </c>
      <c r="R291" s="673">
        <v>0</v>
      </c>
      <c r="S291" s="673">
        <v>0</v>
      </c>
      <c r="T291" s="673">
        <v>0</v>
      </c>
      <c r="U291" s="673">
        <v>0</v>
      </c>
      <c r="V291" s="673">
        <v>0</v>
      </c>
      <c r="W291" s="673">
        <v>0</v>
      </c>
      <c r="X291" s="673">
        <v>0</v>
      </c>
      <c r="Y291" s="673">
        <v>0</v>
      </c>
      <c r="Z291" s="673">
        <v>0</v>
      </c>
      <c r="AA291" s="628">
        <v>0</v>
      </c>
    </row>
    <row r="292" spans="2:27">
      <c r="B292" s="672"/>
      <c r="C292" s="660"/>
      <c r="D292" s="660"/>
      <c r="E292" s="660"/>
      <c r="F292" s="660"/>
      <c r="G292" s="660"/>
      <c r="H292" s="660"/>
      <c r="I292" s="660"/>
      <c r="J292" s="660"/>
      <c r="K292" s="660"/>
      <c r="L292" s="660"/>
      <c r="M292" s="660"/>
      <c r="N292" s="660"/>
      <c r="O292" s="673">
        <v>0</v>
      </c>
      <c r="P292" s="673">
        <v>0</v>
      </c>
      <c r="Q292" s="673">
        <v>0</v>
      </c>
      <c r="R292" s="673">
        <v>0</v>
      </c>
      <c r="S292" s="673">
        <v>0</v>
      </c>
      <c r="T292" s="673">
        <v>0</v>
      </c>
      <c r="U292" s="673">
        <v>0</v>
      </c>
      <c r="V292" s="673">
        <v>0</v>
      </c>
      <c r="W292" s="673">
        <v>0</v>
      </c>
      <c r="X292" s="673">
        <v>0</v>
      </c>
      <c r="Y292" s="673">
        <v>0</v>
      </c>
      <c r="Z292" s="673">
        <v>0</v>
      </c>
      <c r="AA292" s="628">
        <v>0</v>
      </c>
    </row>
    <row r="293" spans="2:27">
      <c r="B293" s="672"/>
      <c r="C293" s="660"/>
      <c r="D293" s="660"/>
      <c r="E293" s="660"/>
      <c r="F293" s="660"/>
      <c r="G293" s="660"/>
      <c r="H293" s="660"/>
      <c r="I293" s="660"/>
      <c r="J293" s="660"/>
      <c r="K293" s="660"/>
      <c r="L293" s="660"/>
      <c r="M293" s="660"/>
      <c r="N293" s="660"/>
      <c r="O293" s="673">
        <v>0</v>
      </c>
      <c r="P293" s="673">
        <v>0</v>
      </c>
      <c r="Q293" s="673">
        <v>0</v>
      </c>
      <c r="R293" s="673">
        <v>0</v>
      </c>
      <c r="S293" s="673">
        <v>0</v>
      </c>
      <c r="T293" s="673">
        <v>0</v>
      </c>
      <c r="U293" s="673">
        <v>0</v>
      </c>
      <c r="V293" s="673">
        <v>0</v>
      </c>
      <c r="W293" s="673">
        <v>0</v>
      </c>
      <c r="X293" s="673">
        <v>0</v>
      </c>
      <c r="Y293" s="673">
        <v>0</v>
      </c>
      <c r="Z293" s="673">
        <v>0</v>
      </c>
      <c r="AA293" s="628">
        <v>0</v>
      </c>
    </row>
    <row r="294" spans="2:27">
      <c r="B294" s="672"/>
      <c r="C294" s="660"/>
      <c r="D294" s="660"/>
      <c r="E294" s="660"/>
      <c r="F294" s="660"/>
      <c r="G294" s="660"/>
      <c r="H294" s="660"/>
      <c r="I294" s="660"/>
      <c r="J294" s="660"/>
      <c r="K294" s="660"/>
      <c r="L294" s="660"/>
      <c r="M294" s="660"/>
      <c r="N294" s="660"/>
      <c r="O294" s="673">
        <v>0</v>
      </c>
      <c r="P294" s="673">
        <v>0</v>
      </c>
      <c r="Q294" s="673">
        <v>0</v>
      </c>
      <c r="R294" s="673">
        <v>0</v>
      </c>
      <c r="S294" s="673">
        <v>0</v>
      </c>
      <c r="T294" s="673">
        <v>0</v>
      </c>
      <c r="U294" s="673">
        <v>0</v>
      </c>
      <c r="V294" s="673">
        <v>0</v>
      </c>
      <c r="W294" s="673">
        <v>0</v>
      </c>
      <c r="X294" s="673">
        <v>0</v>
      </c>
      <c r="Y294" s="673">
        <v>0</v>
      </c>
      <c r="Z294" s="673">
        <v>0</v>
      </c>
      <c r="AA294" s="628">
        <v>0</v>
      </c>
    </row>
    <row r="295" spans="2:27">
      <c r="B295" s="672"/>
      <c r="C295" s="660"/>
      <c r="D295" s="660"/>
      <c r="E295" s="660"/>
      <c r="F295" s="660"/>
      <c r="G295" s="660"/>
      <c r="H295" s="660"/>
      <c r="I295" s="660"/>
      <c r="J295" s="660"/>
      <c r="K295" s="660"/>
      <c r="L295" s="660"/>
      <c r="M295" s="660"/>
      <c r="N295" s="660"/>
      <c r="O295" s="673">
        <v>0</v>
      </c>
      <c r="P295" s="673">
        <v>0</v>
      </c>
      <c r="Q295" s="673">
        <v>0</v>
      </c>
      <c r="R295" s="673">
        <v>0</v>
      </c>
      <c r="S295" s="673">
        <v>0</v>
      </c>
      <c r="T295" s="673">
        <v>0</v>
      </c>
      <c r="U295" s="673">
        <v>0</v>
      </c>
      <c r="V295" s="673">
        <v>0</v>
      </c>
      <c r="W295" s="673">
        <v>0</v>
      </c>
      <c r="X295" s="673">
        <v>0</v>
      </c>
      <c r="Y295" s="673">
        <v>0</v>
      </c>
      <c r="Z295" s="673">
        <v>0</v>
      </c>
      <c r="AA295" s="628">
        <v>0</v>
      </c>
    </row>
    <row r="296" spans="2:27">
      <c r="B296" s="672"/>
      <c r="C296" s="660"/>
      <c r="D296" s="660"/>
      <c r="E296" s="660"/>
      <c r="F296" s="660"/>
      <c r="G296" s="660"/>
      <c r="H296" s="660"/>
      <c r="I296" s="660"/>
      <c r="J296" s="660"/>
      <c r="K296" s="660"/>
      <c r="L296" s="660"/>
      <c r="M296" s="660"/>
      <c r="N296" s="660"/>
      <c r="O296" s="673">
        <v>0</v>
      </c>
      <c r="P296" s="673">
        <v>0</v>
      </c>
      <c r="Q296" s="673">
        <v>0</v>
      </c>
      <c r="R296" s="673">
        <v>0</v>
      </c>
      <c r="S296" s="673">
        <v>0</v>
      </c>
      <c r="T296" s="673">
        <v>0</v>
      </c>
      <c r="U296" s="673">
        <v>0</v>
      </c>
      <c r="V296" s="673">
        <v>0</v>
      </c>
      <c r="W296" s="673">
        <v>0</v>
      </c>
      <c r="X296" s="673">
        <v>0</v>
      </c>
      <c r="Y296" s="673">
        <v>0</v>
      </c>
      <c r="Z296" s="673">
        <v>0</v>
      </c>
      <c r="AA296" s="628">
        <v>0</v>
      </c>
    </row>
    <row r="297" spans="2:27">
      <c r="B297" s="672"/>
      <c r="C297" s="660"/>
      <c r="D297" s="660"/>
      <c r="E297" s="660"/>
      <c r="F297" s="660"/>
      <c r="G297" s="660"/>
      <c r="H297" s="660"/>
      <c r="I297" s="660"/>
      <c r="J297" s="660"/>
      <c r="K297" s="660"/>
      <c r="L297" s="660"/>
      <c r="M297" s="660"/>
      <c r="N297" s="660"/>
      <c r="O297" s="673">
        <v>0</v>
      </c>
      <c r="P297" s="673">
        <v>0</v>
      </c>
      <c r="Q297" s="673">
        <v>0</v>
      </c>
      <c r="R297" s="673">
        <v>0</v>
      </c>
      <c r="S297" s="673">
        <v>0</v>
      </c>
      <c r="T297" s="673">
        <v>0</v>
      </c>
      <c r="U297" s="673">
        <v>0</v>
      </c>
      <c r="V297" s="673">
        <v>0</v>
      </c>
      <c r="W297" s="673">
        <v>0</v>
      </c>
      <c r="X297" s="673">
        <v>0</v>
      </c>
      <c r="Y297" s="673">
        <v>0</v>
      </c>
      <c r="Z297" s="673">
        <v>0</v>
      </c>
      <c r="AA297" s="628">
        <v>0</v>
      </c>
    </row>
    <row r="298" spans="2:27">
      <c r="B298" s="672"/>
      <c r="C298" s="660"/>
      <c r="D298" s="660"/>
      <c r="E298" s="660"/>
      <c r="F298" s="660"/>
      <c r="G298" s="660"/>
      <c r="H298" s="660"/>
      <c r="I298" s="660"/>
      <c r="J298" s="660"/>
      <c r="K298" s="660"/>
      <c r="L298" s="660"/>
      <c r="M298" s="660"/>
      <c r="N298" s="660"/>
      <c r="O298" s="673">
        <v>0</v>
      </c>
      <c r="P298" s="673">
        <v>0</v>
      </c>
      <c r="Q298" s="673">
        <v>0</v>
      </c>
      <c r="R298" s="673">
        <v>0</v>
      </c>
      <c r="S298" s="673">
        <v>0</v>
      </c>
      <c r="T298" s="673">
        <v>0</v>
      </c>
      <c r="U298" s="673">
        <v>0</v>
      </c>
      <c r="V298" s="673">
        <v>0</v>
      </c>
      <c r="W298" s="673">
        <v>0</v>
      </c>
      <c r="X298" s="673">
        <v>0</v>
      </c>
      <c r="Y298" s="673">
        <v>0</v>
      </c>
      <c r="Z298" s="673">
        <v>0</v>
      </c>
      <c r="AA298" s="628">
        <v>0</v>
      </c>
    </row>
    <row r="299" spans="2:27">
      <c r="B299" s="672"/>
      <c r="C299" s="660"/>
      <c r="D299" s="660"/>
      <c r="E299" s="660"/>
      <c r="F299" s="660"/>
      <c r="G299" s="660"/>
      <c r="H299" s="660"/>
      <c r="I299" s="660"/>
      <c r="J299" s="660"/>
      <c r="K299" s="660"/>
      <c r="L299" s="660"/>
      <c r="M299" s="660"/>
      <c r="N299" s="660"/>
      <c r="O299" s="673">
        <v>0</v>
      </c>
      <c r="P299" s="673">
        <v>0</v>
      </c>
      <c r="Q299" s="673">
        <v>0</v>
      </c>
      <c r="R299" s="673">
        <v>0</v>
      </c>
      <c r="S299" s="673">
        <v>0</v>
      </c>
      <c r="T299" s="673">
        <v>0</v>
      </c>
      <c r="U299" s="673">
        <v>0</v>
      </c>
      <c r="V299" s="673">
        <v>0</v>
      </c>
      <c r="W299" s="673">
        <v>0</v>
      </c>
      <c r="X299" s="673">
        <v>0</v>
      </c>
      <c r="Y299" s="673">
        <v>0</v>
      </c>
      <c r="Z299" s="673">
        <v>0</v>
      </c>
      <c r="AA299" s="628">
        <v>0</v>
      </c>
    </row>
    <row r="300" spans="2:27">
      <c r="B300" s="672"/>
      <c r="C300" s="660"/>
      <c r="D300" s="660"/>
      <c r="E300" s="660"/>
      <c r="F300" s="660"/>
      <c r="G300" s="660"/>
      <c r="H300" s="660"/>
      <c r="I300" s="660"/>
      <c r="J300" s="660"/>
      <c r="K300" s="660"/>
      <c r="L300" s="660"/>
      <c r="M300" s="660"/>
      <c r="N300" s="660"/>
      <c r="O300" s="673">
        <v>0</v>
      </c>
      <c r="P300" s="673">
        <v>0</v>
      </c>
      <c r="Q300" s="673">
        <v>0</v>
      </c>
      <c r="R300" s="673">
        <v>0</v>
      </c>
      <c r="S300" s="673">
        <v>0</v>
      </c>
      <c r="T300" s="673">
        <v>0</v>
      </c>
      <c r="U300" s="673">
        <v>0</v>
      </c>
      <c r="V300" s="673">
        <v>0</v>
      </c>
      <c r="W300" s="673">
        <v>0</v>
      </c>
      <c r="X300" s="673">
        <v>0</v>
      </c>
      <c r="Y300" s="673">
        <v>0</v>
      </c>
      <c r="Z300" s="673">
        <v>0</v>
      </c>
      <c r="AA300" s="628">
        <v>0</v>
      </c>
    </row>
    <row r="301" spans="2:27">
      <c r="B301" s="672"/>
      <c r="C301" s="660"/>
      <c r="D301" s="660"/>
      <c r="E301" s="660"/>
      <c r="F301" s="660"/>
      <c r="G301" s="660"/>
      <c r="H301" s="660"/>
      <c r="I301" s="660"/>
      <c r="J301" s="660"/>
      <c r="K301" s="660"/>
      <c r="L301" s="660"/>
      <c r="M301" s="660"/>
      <c r="N301" s="660"/>
      <c r="O301" s="673">
        <v>0</v>
      </c>
      <c r="P301" s="673">
        <v>0</v>
      </c>
      <c r="Q301" s="673">
        <v>0</v>
      </c>
      <c r="R301" s="673">
        <v>0</v>
      </c>
      <c r="S301" s="673">
        <v>0</v>
      </c>
      <c r="T301" s="673">
        <v>0</v>
      </c>
      <c r="U301" s="673">
        <v>0</v>
      </c>
      <c r="V301" s="673">
        <v>0</v>
      </c>
      <c r="W301" s="673">
        <v>0</v>
      </c>
      <c r="X301" s="673">
        <v>0</v>
      </c>
      <c r="Y301" s="673">
        <v>0</v>
      </c>
      <c r="Z301" s="673">
        <v>0</v>
      </c>
      <c r="AA301" s="628">
        <v>0</v>
      </c>
    </row>
    <row r="302" spans="2:27">
      <c r="B302" s="672"/>
      <c r="C302" s="660"/>
      <c r="D302" s="660"/>
      <c r="E302" s="660"/>
      <c r="F302" s="660"/>
      <c r="G302" s="660"/>
      <c r="H302" s="660"/>
      <c r="I302" s="660"/>
      <c r="J302" s="660"/>
      <c r="K302" s="660"/>
      <c r="L302" s="660"/>
      <c r="M302" s="660"/>
      <c r="N302" s="660"/>
      <c r="O302" s="673">
        <v>0</v>
      </c>
      <c r="P302" s="673">
        <v>10.326000000000001</v>
      </c>
      <c r="Q302" s="673">
        <v>24800</v>
      </c>
      <c r="R302" s="673">
        <v>7.5337444444444444</v>
      </c>
      <c r="S302" s="673">
        <v>0</v>
      </c>
      <c r="T302" s="673">
        <v>0</v>
      </c>
      <c r="U302" s="673">
        <v>0</v>
      </c>
      <c r="V302" s="673">
        <v>0</v>
      </c>
      <c r="W302" s="673">
        <v>0</v>
      </c>
      <c r="X302" s="673">
        <v>0</v>
      </c>
      <c r="Y302" s="673">
        <v>0</v>
      </c>
      <c r="Z302" s="673">
        <v>0</v>
      </c>
      <c r="AA302" s="628">
        <v>187500</v>
      </c>
    </row>
    <row r="303" spans="2:27">
      <c r="B303" s="672"/>
      <c r="C303" s="660"/>
      <c r="D303" s="660"/>
      <c r="E303" s="660"/>
      <c r="F303" s="660"/>
      <c r="G303" s="660"/>
      <c r="H303" s="660"/>
      <c r="I303" s="660"/>
      <c r="J303" s="660"/>
      <c r="K303" s="660"/>
      <c r="L303" s="660"/>
      <c r="M303" s="660"/>
      <c r="N303" s="660"/>
      <c r="O303" s="673">
        <v>0</v>
      </c>
      <c r="P303" s="673">
        <v>54250</v>
      </c>
      <c r="Q303" s="673">
        <v>54250</v>
      </c>
      <c r="R303" s="673">
        <v>8.9478399999999993</v>
      </c>
      <c r="S303" s="673">
        <v>0</v>
      </c>
      <c r="T303" s="673">
        <v>0</v>
      </c>
      <c r="U303" s="673">
        <v>0</v>
      </c>
      <c r="V303" s="673">
        <v>0</v>
      </c>
      <c r="W303" s="673">
        <v>0</v>
      </c>
      <c r="X303" s="673">
        <v>0</v>
      </c>
      <c r="Y303" s="673">
        <v>0</v>
      </c>
      <c r="Z303" s="673">
        <v>0</v>
      </c>
      <c r="AA303" s="628">
        <v>50000</v>
      </c>
    </row>
    <row r="304" spans="2:27">
      <c r="B304" s="672"/>
      <c r="C304" s="660"/>
      <c r="D304" s="660"/>
      <c r="E304" s="660"/>
      <c r="F304" s="660"/>
      <c r="G304" s="660"/>
      <c r="H304" s="660"/>
      <c r="I304" s="660"/>
      <c r="J304" s="660"/>
      <c r="K304" s="660"/>
      <c r="L304" s="660"/>
      <c r="M304" s="660"/>
      <c r="N304" s="660"/>
      <c r="O304" s="673">
        <v>0</v>
      </c>
      <c r="P304" s="673">
        <v>27125</v>
      </c>
      <c r="Q304" s="673">
        <v>27125</v>
      </c>
      <c r="R304" s="673">
        <v>10.187200000000001</v>
      </c>
      <c r="S304" s="673">
        <v>0</v>
      </c>
      <c r="T304" s="673">
        <v>0</v>
      </c>
      <c r="U304" s="673">
        <v>0</v>
      </c>
      <c r="V304" s="673">
        <v>0</v>
      </c>
      <c r="W304" s="673">
        <v>0</v>
      </c>
      <c r="X304" s="673">
        <v>0</v>
      </c>
      <c r="Y304" s="673">
        <v>0</v>
      </c>
      <c r="Z304" s="673">
        <v>0</v>
      </c>
      <c r="AA304" s="628">
        <v>10000</v>
      </c>
    </row>
    <row r="305" spans="2:27">
      <c r="B305" s="672"/>
      <c r="C305" s="660"/>
      <c r="D305" s="660"/>
      <c r="E305" s="660"/>
      <c r="F305" s="660"/>
      <c r="G305" s="660"/>
      <c r="H305" s="660"/>
      <c r="I305" s="660"/>
      <c r="J305" s="660"/>
      <c r="K305" s="660"/>
      <c r="L305" s="660"/>
      <c r="M305" s="660"/>
      <c r="N305" s="660"/>
      <c r="O305" s="673">
        <v>6.5552571428571431</v>
      </c>
      <c r="P305" s="673">
        <v>9.8862666666666659</v>
      </c>
      <c r="Q305" s="673">
        <v>7.9584761904761905</v>
      </c>
      <c r="R305" s="673">
        <v>7.7788380952380951</v>
      </c>
      <c r="S305" s="673">
        <v>21506</v>
      </c>
      <c r="T305" s="673">
        <v>0</v>
      </c>
      <c r="U305" s="673">
        <v>0</v>
      </c>
      <c r="V305" s="673">
        <v>0</v>
      </c>
      <c r="W305" s="673">
        <v>0</v>
      </c>
      <c r="X305" s="673">
        <v>0</v>
      </c>
      <c r="Y305" s="673">
        <v>0</v>
      </c>
      <c r="Z305" s="673">
        <v>0</v>
      </c>
      <c r="AA305" s="628">
        <v>165000</v>
      </c>
    </row>
    <row r="306" spans="2:27">
      <c r="B306" s="672"/>
      <c r="C306" s="660"/>
      <c r="D306" s="660"/>
      <c r="E306" s="660"/>
      <c r="F306" s="660"/>
      <c r="G306" s="660"/>
      <c r="H306" s="660"/>
      <c r="I306" s="660"/>
      <c r="J306" s="660"/>
      <c r="K306" s="660"/>
      <c r="L306" s="660"/>
      <c r="M306" s="660"/>
      <c r="N306" s="660"/>
      <c r="O306" s="673">
        <v>6.5338285714285718</v>
      </c>
      <c r="P306" s="673">
        <v>9.7313333333333336</v>
      </c>
      <c r="Q306" s="673">
        <v>7.9363238095238096</v>
      </c>
      <c r="R306" s="673">
        <v>7.7588380952380955</v>
      </c>
      <c r="S306" s="673">
        <v>20344</v>
      </c>
      <c r="T306" s="673">
        <v>0</v>
      </c>
      <c r="U306" s="673">
        <v>0</v>
      </c>
      <c r="V306" s="673">
        <v>0</v>
      </c>
      <c r="W306" s="673">
        <v>0</v>
      </c>
      <c r="X306" s="673">
        <v>0</v>
      </c>
      <c r="Y306" s="673">
        <v>0</v>
      </c>
      <c r="Z306" s="673">
        <v>0</v>
      </c>
      <c r="AA306" s="628">
        <v>165000</v>
      </c>
    </row>
    <row r="307" spans="2:27">
      <c r="B307" s="672"/>
      <c r="C307" s="660"/>
      <c r="D307" s="660"/>
      <c r="E307" s="660"/>
      <c r="F307" s="660"/>
      <c r="G307" s="660"/>
      <c r="H307" s="660"/>
      <c r="I307" s="660"/>
      <c r="J307" s="660"/>
      <c r="K307" s="660"/>
      <c r="L307" s="660"/>
      <c r="M307" s="660"/>
      <c r="N307" s="660"/>
      <c r="O307" s="673">
        <v>6.5231142857142856</v>
      </c>
      <c r="P307" s="673">
        <v>9.6538000000000004</v>
      </c>
      <c r="Q307" s="673">
        <v>7.9252571428571432</v>
      </c>
      <c r="R307" s="673">
        <v>7.7488285714285716</v>
      </c>
      <c r="S307" s="673">
        <v>13175</v>
      </c>
      <c r="T307" s="673">
        <v>0</v>
      </c>
      <c r="U307" s="673">
        <v>0</v>
      </c>
      <c r="V307" s="673">
        <v>0</v>
      </c>
      <c r="W307" s="673">
        <v>0</v>
      </c>
      <c r="X307" s="673">
        <v>0</v>
      </c>
      <c r="Y307" s="673">
        <v>0</v>
      </c>
      <c r="Z307" s="673">
        <v>0</v>
      </c>
      <c r="AA307" s="628">
        <v>110000</v>
      </c>
    </row>
    <row r="308" spans="2:27">
      <c r="B308" s="672"/>
      <c r="C308" s="660"/>
      <c r="D308" s="660"/>
      <c r="E308" s="660"/>
      <c r="F308" s="660"/>
      <c r="G308" s="660"/>
      <c r="H308" s="660"/>
      <c r="I308" s="660"/>
      <c r="J308" s="660"/>
      <c r="K308" s="660"/>
      <c r="L308" s="660"/>
      <c r="M308" s="660"/>
      <c r="N308" s="660"/>
      <c r="O308" s="673">
        <v>6.5338285714285718</v>
      </c>
      <c r="P308" s="673">
        <v>9.7313333333333336</v>
      </c>
      <c r="Q308" s="673">
        <v>7.9363238095238096</v>
      </c>
      <c r="R308" s="673">
        <v>7.7588380952380955</v>
      </c>
      <c r="S308" s="673">
        <v>20344</v>
      </c>
      <c r="T308" s="673">
        <v>19688</v>
      </c>
      <c r="U308" s="673">
        <v>0</v>
      </c>
      <c r="V308" s="673">
        <v>0</v>
      </c>
      <c r="W308" s="673">
        <v>0</v>
      </c>
      <c r="X308" s="673">
        <v>0</v>
      </c>
      <c r="Y308" s="673">
        <v>0</v>
      </c>
      <c r="Z308" s="673">
        <v>0</v>
      </c>
      <c r="AA308" s="628">
        <v>165000</v>
      </c>
    </row>
    <row r="309" spans="2:27">
      <c r="B309" s="672"/>
      <c r="C309" s="660"/>
      <c r="D309" s="660"/>
      <c r="E309" s="660"/>
      <c r="F309" s="660"/>
      <c r="G309" s="660"/>
      <c r="H309" s="660"/>
      <c r="I309" s="660"/>
      <c r="J309" s="660"/>
      <c r="K309" s="660"/>
      <c r="L309" s="660"/>
      <c r="M309" s="660"/>
      <c r="N309" s="660"/>
      <c r="O309" s="673">
        <v>6.5231238095238098</v>
      </c>
      <c r="P309" s="673">
        <v>9.6538666666666675</v>
      </c>
      <c r="Q309" s="673">
        <v>7.9252571428571432</v>
      </c>
      <c r="R309" s="673">
        <v>7.7488380952380949</v>
      </c>
      <c r="S309" s="673">
        <v>19762</v>
      </c>
      <c r="T309" s="673">
        <v>19125</v>
      </c>
      <c r="U309" s="673">
        <v>0</v>
      </c>
      <c r="V309" s="673">
        <v>0</v>
      </c>
      <c r="W309" s="673">
        <v>0</v>
      </c>
      <c r="X309" s="673">
        <v>0</v>
      </c>
      <c r="Y309" s="673">
        <v>0</v>
      </c>
      <c r="Z309" s="673">
        <v>0</v>
      </c>
      <c r="AA309" s="628">
        <v>165000</v>
      </c>
    </row>
    <row r="310" spans="2:27">
      <c r="B310" s="672"/>
      <c r="C310" s="660"/>
      <c r="D310" s="660"/>
      <c r="E310" s="660"/>
      <c r="F310" s="660"/>
      <c r="G310" s="660"/>
      <c r="H310" s="660"/>
      <c r="I310" s="660"/>
      <c r="J310" s="660"/>
      <c r="K310" s="660"/>
      <c r="L310" s="660"/>
      <c r="M310" s="660"/>
      <c r="N310" s="660"/>
      <c r="O310" s="673">
        <v>0</v>
      </c>
      <c r="P310" s="673">
        <v>11.92064935064935</v>
      </c>
      <c r="Q310" s="673">
        <v>7.7649384316267014</v>
      </c>
      <c r="R310" s="673">
        <v>9.606103896103896</v>
      </c>
      <c r="S310" s="673">
        <v>0</v>
      </c>
      <c r="T310" s="673">
        <v>0</v>
      </c>
      <c r="U310" s="673">
        <v>0</v>
      </c>
      <c r="V310" s="673">
        <v>0</v>
      </c>
      <c r="W310" s="673">
        <v>0</v>
      </c>
      <c r="X310" s="673">
        <v>0</v>
      </c>
      <c r="Y310" s="673">
        <v>0</v>
      </c>
      <c r="Z310" s="673">
        <v>0</v>
      </c>
      <c r="AA310" s="628">
        <v>177400</v>
      </c>
    </row>
    <row r="311" spans="2:27">
      <c r="B311" s="672"/>
      <c r="C311" s="660"/>
      <c r="D311" s="660"/>
      <c r="E311" s="660"/>
      <c r="F311" s="660"/>
      <c r="G311" s="660"/>
      <c r="H311" s="660"/>
      <c r="I311" s="660"/>
      <c r="J311" s="660"/>
      <c r="K311" s="660"/>
      <c r="L311" s="660"/>
      <c r="M311" s="660"/>
      <c r="N311" s="660"/>
      <c r="O311" s="673">
        <v>6.2930384271671134</v>
      </c>
      <c r="P311" s="673">
        <v>0</v>
      </c>
      <c r="Q311" s="673">
        <v>0</v>
      </c>
      <c r="R311" s="673">
        <v>0</v>
      </c>
      <c r="S311" s="673">
        <v>0</v>
      </c>
      <c r="T311" s="673">
        <v>0</v>
      </c>
      <c r="U311" s="673">
        <v>0</v>
      </c>
      <c r="V311" s="673">
        <v>0</v>
      </c>
      <c r="W311" s="673">
        <v>0</v>
      </c>
      <c r="X311" s="673">
        <v>0</v>
      </c>
      <c r="Y311" s="673">
        <v>0</v>
      </c>
      <c r="Z311" s="673">
        <v>0</v>
      </c>
      <c r="AA311" s="628">
        <v>111900</v>
      </c>
    </row>
    <row r="312" spans="2:27">
      <c r="B312" s="672"/>
      <c r="C312" s="660"/>
      <c r="D312" s="660"/>
      <c r="E312" s="660"/>
      <c r="F312" s="660"/>
      <c r="G312" s="660"/>
      <c r="H312" s="660"/>
      <c r="I312" s="660"/>
      <c r="J312" s="660"/>
      <c r="K312" s="660"/>
      <c r="L312" s="660"/>
      <c r="M312" s="660"/>
      <c r="N312" s="660"/>
      <c r="O312" s="673">
        <v>0</v>
      </c>
      <c r="P312" s="673">
        <v>0</v>
      </c>
      <c r="Q312" s="673">
        <v>0</v>
      </c>
      <c r="R312" s="673">
        <v>0</v>
      </c>
      <c r="S312" s="673">
        <v>12.297435897435898</v>
      </c>
      <c r="T312" s="673">
        <v>0</v>
      </c>
      <c r="U312" s="673">
        <v>0</v>
      </c>
      <c r="V312" s="673">
        <v>0</v>
      </c>
      <c r="W312" s="673">
        <v>0</v>
      </c>
      <c r="X312" s="673">
        <v>0</v>
      </c>
      <c r="Y312" s="673">
        <v>0</v>
      </c>
      <c r="Z312" s="673">
        <v>0</v>
      </c>
      <c r="AA312" s="628">
        <v>3900</v>
      </c>
    </row>
    <row r="313" spans="2:27">
      <c r="B313" s="672"/>
      <c r="C313" s="660"/>
      <c r="D313" s="660"/>
      <c r="E313" s="660"/>
      <c r="F313" s="660"/>
      <c r="G313" s="660"/>
      <c r="H313" s="660"/>
      <c r="I313" s="660"/>
      <c r="J313" s="660"/>
      <c r="K313" s="660"/>
      <c r="L313" s="660"/>
      <c r="M313" s="660"/>
      <c r="N313" s="660"/>
      <c r="O313" s="673">
        <v>0</v>
      </c>
      <c r="P313" s="673">
        <v>25575</v>
      </c>
      <c r="Q313" s="673">
        <v>25575</v>
      </c>
      <c r="R313" s="673">
        <v>7.7153505535055347</v>
      </c>
      <c r="S313" s="673">
        <v>0</v>
      </c>
      <c r="T313" s="673">
        <v>0</v>
      </c>
      <c r="U313" s="673">
        <v>0</v>
      </c>
      <c r="V313" s="673">
        <v>0</v>
      </c>
      <c r="W313" s="673">
        <v>0</v>
      </c>
      <c r="X313" s="673">
        <v>0</v>
      </c>
      <c r="Y313" s="673">
        <v>0</v>
      </c>
      <c r="Z313" s="673">
        <v>0</v>
      </c>
      <c r="AA313" s="628">
        <v>216800</v>
      </c>
    </row>
    <row r="314" spans="2:27">
      <c r="B314" s="672"/>
      <c r="C314" s="660"/>
      <c r="D314" s="660"/>
      <c r="E314" s="660"/>
      <c r="F314" s="660"/>
      <c r="G314" s="660"/>
      <c r="H314" s="660"/>
      <c r="I314" s="660"/>
      <c r="J314" s="660"/>
      <c r="K314" s="660"/>
      <c r="L314" s="660"/>
      <c r="M314" s="660"/>
      <c r="N314" s="660"/>
      <c r="O314" s="673">
        <v>0</v>
      </c>
      <c r="P314" s="673">
        <v>8.5638000000000005</v>
      </c>
      <c r="Q314" s="673">
        <v>7.9195253164556965</v>
      </c>
      <c r="R314" s="673">
        <v>7.6288</v>
      </c>
      <c r="S314" s="673">
        <v>0</v>
      </c>
      <c r="T314" s="673">
        <v>0</v>
      </c>
      <c r="U314" s="673">
        <v>0</v>
      </c>
      <c r="V314" s="673">
        <v>0</v>
      </c>
      <c r="W314" s="673">
        <v>0</v>
      </c>
      <c r="X314" s="673">
        <v>0</v>
      </c>
      <c r="Y314" s="673">
        <v>0</v>
      </c>
      <c r="Z314" s="673">
        <v>0</v>
      </c>
      <c r="AA314" s="628">
        <v>379800</v>
      </c>
    </row>
    <row r="315" spans="2:27">
      <c r="B315" s="672"/>
      <c r="C315" s="660"/>
      <c r="D315" s="660"/>
      <c r="E315" s="660"/>
      <c r="F315" s="660"/>
      <c r="G315" s="660"/>
      <c r="H315" s="660"/>
      <c r="I315" s="660"/>
      <c r="J315" s="660"/>
      <c r="K315" s="660"/>
      <c r="L315" s="660"/>
      <c r="M315" s="660"/>
      <c r="N315" s="660"/>
      <c r="O315" s="673">
        <v>0</v>
      </c>
      <c r="P315" s="673">
        <v>7.1369999999999996</v>
      </c>
      <c r="Q315" s="673">
        <v>7.665</v>
      </c>
      <c r="R315" s="673">
        <v>7.5544579339723112</v>
      </c>
      <c r="S315" s="673">
        <v>46500</v>
      </c>
      <c r="T315" s="673">
        <v>0</v>
      </c>
      <c r="U315" s="673">
        <v>0</v>
      </c>
      <c r="V315" s="673">
        <v>0</v>
      </c>
      <c r="W315" s="673">
        <v>0</v>
      </c>
      <c r="X315" s="673">
        <v>0</v>
      </c>
      <c r="Y315" s="673">
        <v>0</v>
      </c>
      <c r="Z315" s="673">
        <v>0</v>
      </c>
      <c r="AA315" s="628">
        <v>1994500</v>
      </c>
    </row>
    <row r="316" spans="2:27">
      <c r="B316" s="672"/>
      <c r="C316" s="660"/>
      <c r="D316" s="660"/>
      <c r="E316" s="660"/>
      <c r="F316" s="660"/>
      <c r="G316" s="660"/>
      <c r="H316" s="660"/>
      <c r="I316" s="660"/>
      <c r="J316" s="660"/>
      <c r="K316" s="660"/>
      <c r="L316" s="660"/>
      <c r="M316" s="660"/>
      <c r="N316" s="660"/>
      <c r="O316" s="673">
        <v>0</v>
      </c>
      <c r="P316" s="673">
        <v>15500</v>
      </c>
      <c r="Q316" s="673">
        <v>15500</v>
      </c>
      <c r="R316" s="673">
        <v>8.4979999999999993</v>
      </c>
      <c r="S316" s="673">
        <v>0</v>
      </c>
      <c r="T316" s="673">
        <v>0</v>
      </c>
      <c r="U316" s="673">
        <v>0</v>
      </c>
      <c r="V316" s="673">
        <v>0</v>
      </c>
      <c r="W316" s="673">
        <v>0</v>
      </c>
      <c r="X316" s="673">
        <v>0</v>
      </c>
      <c r="Y316" s="673">
        <v>0</v>
      </c>
      <c r="Z316" s="673">
        <v>0</v>
      </c>
      <c r="AA316" s="628">
        <v>20000</v>
      </c>
    </row>
    <row r="317" spans="2:27">
      <c r="B317" s="672"/>
      <c r="C317" s="660"/>
      <c r="D317" s="660"/>
      <c r="E317" s="660"/>
      <c r="F317" s="660"/>
      <c r="G317" s="660"/>
      <c r="H317" s="660"/>
      <c r="I317" s="660"/>
      <c r="J317" s="660"/>
      <c r="K317" s="660"/>
      <c r="L317" s="660"/>
      <c r="M317" s="660"/>
      <c r="N317" s="660"/>
      <c r="O317" s="673">
        <v>6.1810689655172411</v>
      </c>
      <c r="P317" s="673">
        <v>7.3547676767676764</v>
      </c>
      <c r="Q317" s="673">
        <v>7.5694282001299547</v>
      </c>
      <c r="R317" s="673">
        <v>7.431222222222222</v>
      </c>
      <c r="S317" s="673">
        <v>18600</v>
      </c>
      <c r="T317" s="673">
        <v>0</v>
      </c>
      <c r="U317" s="673">
        <v>0</v>
      </c>
      <c r="V317" s="673">
        <v>0</v>
      </c>
      <c r="W317" s="673">
        <v>0</v>
      </c>
      <c r="X317" s="673">
        <v>0</v>
      </c>
      <c r="Y317" s="673">
        <v>0</v>
      </c>
      <c r="Z317" s="673">
        <v>0</v>
      </c>
      <c r="AA317" s="628">
        <v>917300</v>
      </c>
    </row>
    <row r="318" spans="2:27">
      <c r="B318" s="672"/>
      <c r="C318" s="660"/>
      <c r="D318" s="660"/>
      <c r="E318" s="660"/>
      <c r="F318" s="660"/>
      <c r="G318" s="660"/>
      <c r="H318" s="660"/>
      <c r="I318" s="660"/>
      <c r="J318" s="660"/>
      <c r="K318" s="660"/>
      <c r="L318" s="660"/>
      <c r="M318" s="660"/>
      <c r="N318" s="660"/>
      <c r="O318" s="673">
        <v>0</v>
      </c>
      <c r="P318" s="673">
        <v>18600</v>
      </c>
      <c r="Q318" s="673">
        <v>18600</v>
      </c>
      <c r="R318" s="673">
        <v>7.85243</v>
      </c>
      <c r="S318" s="673">
        <v>0</v>
      </c>
      <c r="T318" s="673">
        <v>0</v>
      </c>
      <c r="U318" s="673">
        <v>0</v>
      </c>
      <c r="V318" s="673">
        <v>0</v>
      </c>
      <c r="W318" s="673">
        <v>0</v>
      </c>
      <c r="X318" s="673">
        <v>0</v>
      </c>
      <c r="Y318" s="673">
        <v>0</v>
      </c>
      <c r="Z318" s="673">
        <v>0</v>
      </c>
      <c r="AA318" s="628">
        <v>400000</v>
      </c>
    </row>
    <row r="319" spans="2:27">
      <c r="B319" s="676"/>
      <c r="C319" s="651"/>
      <c r="D319" s="651"/>
      <c r="E319" s="651"/>
      <c r="F319" s="651"/>
      <c r="G319" s="651"/>
      <c r="H319" s="651"/>
      <c r="I319" s="651"/>
      <c r="J319" s="651"/>
      <c r="K319" s="651"/>
      <c r="L319" s="651"/>
      <c r="M319" s="651"/>
      <c r="N319" s="651"/>
      <c r="O319" s="628">
        <v>0</v>
      </c>
      <c r="P319" s="628">
        <v>14875</v>
      </c>
      <c r="Q319" s="628">
        <v>27125</v>
      </c>
      <c r="R319" s="628">
        <v>8.2128399999999999</v>
      </c>
      <c r="S319" s="628">
        <v>0</v>
      </c>
      <c r="T319" s="628">
        <v>0</v>
      </c>
      <c r="U319" s="628">
        <v>0</v>
      </c>
      <c r="V319" s="628">
        <v>0</v>
      </c>
      <c r="W319" s="628">
        <v>0</v>
      </c>
      <c r="X319" s="628">
        <v>0</v>
      </c>
      <c r="Y319" s="628">
        <v>0</v>
      </c>
      <c r="Z319" s="628">
        <v>0</v>
      </c>
      <c r="AA319" s="628">
        <v>50000</v>
      </c>
    </row>
    <row r="320" spans="2:27">
      <c r="B320" s="672"/>
      <c r="C320" s="651"/>
      <c r="D320" s="651"/>
      <c r="E320" s="651"/>
      <c r="F320" s="651"/>
      <c r="G320" s="651"/>
      <c r="H320" s="651"/>
      <c r="I320" s="651"/>
      <c r="J320" s="651"/>
      <c r="K320" s="651"/>
      <c r="L320" s="651"/>
      <c r="M320" s="651"/>
      <c r="N320" s="651"/>
      <c r="O320" s="628">
        <v>0</v>
      </c>
      <c r="P320" s="628">
        <v>27900</v>
      </c>
      <c r="Q320" s="628">
        <v>27900</v>
      </c>
      <c r="R320" s="628">
        <v>8.7879000000000005</v>
      </c>
      <c r="S320" s="628">
        <v>0</v>
      </c>
      <c r="T320" s="628">
        <v>0</v>
      </c>
      <c r="U320" s="628">
        <v>0</v>
      </c>
      <c r="V320" s="628">
        <v>0</v>
      </c>
      <c r="W320" s="628">
        <v>0</v>
      </c>
      <c r="X320" s="628">
        <v>0</v>
      </c>
      <c r="Y320" s="628">
        <v>0</v>
      </c>
      <c r="Z320" s="628">
        <v>0</v>
      </c>
      <c r="AA320" s="628">
        <v>30000</v>
      </c>
    </row>
    <row r="321" spans="2:27">
      <c r="C321" s="660"/>
      <c r="D321" s="660"/>
      <c r="E321" s="660"/>
      <c r="F321" s="660"/>
      <c r="G321" s="660"/>
      <c r="H321" s="660"/>
      <c r="I321" s="660"/>
      <c r="J321" s="660"/>
      <c r="K321" s="660"/>
      <c r="L321" s="660"/>
      <c r="M321" s="660"/>
      <c r="N321" s="660"/>
      <c r="O321" s="628">
        <v>0</v>
      </c>
      <c r="P321" s="628">
        <v>20400</v>
      </c>
      <c r="Q321" s="628">
        <v>37200</v>
      </c>
      <c r="R321" s="628">
        <v>8.8787500000000001</v>
      </c>
      <c r="S321" s="628">
        <v>0</v>
      </c>
      <c r="T321" s="628">
        <v>0</v>
      </c>
      <c r="U321" s="628">
        <v>0</v>
      </c>
      <c r="V321" s="628">
        <v>0</v>
      </c>
      <c r="W321" s="628">
        <v>0</v>
      </c>
      <c r="X321" s="628">
        <v>0</v>
      </c>
      <c r="Y321" s="628">
        <v>0</v>
      </c>
      <c r="Z321" s="628">
        <v>0</v>
      </c>
      <c r="AA321" s="628">
        <v>20000</v>
      </c>
    </row>
    <row r="322" spans="2:27">
      <c r="O322" s="628">
        <v>0</v>
      </c>
      <c r="P322" s="628">
        <v>63581</v>
      </c>
      <c r="Q322" s="628">
        <v>63581</v>
      </c>
      <c r="R322" s="628">
        <v>8.8591714285714289</v>
      </c>
      <c r="S322" s="628">
        <v>0</v>
      </c>
      <c r="T322" s="628">
        <v>0</v>
      </c>
      <c r="U322" s="628">
        <v>0</v>
      </c>
      <c r="V322" s="628">
        <v>0</v>
      </c>
      <c r="W322" s="628">
        <v>0</v>
      </c>
      <c r="X322" s="628">
        <v>0</v>
      </c>
      <c r="Y322" s="628">
        <v>0</v>
      </c>
      <c r="Z322" s="628">
        <v>0</v>
      </c>
      <c r="AA322" s="628">
        <v>70000</v>
      </c>
    </row>
    <row r="323" spans="2:27">
      <c r="B323" s="678"/>
      <c r="C323" s="679"/>
      <c r="D323" s="679"/>
      <c r="E323" s="679"/>
      <c r="F323" s="679"/>
      <c r="G323" s="679"/>
      <c r="H323" s="679"/>
      <c r="I323" s="679"/>
      <c r="J323" s="679"/>
      <c r="K323" s="679"/>
      <c r="L323" s="679"/>
      <c r="M323" s="679"/>
      <c r="N323" s="679"/>
      <c r="O323" s="679">
        <v>0</v>
      </c>
      <c r="P323" s="680">
        <v>8.2514400000000006</v>
      </c>
      <c r="Q323" s="628">
        <v>18.922857142857143</v>
      </c>
      <c r="R323" s="628">
        <v>7.7581177777777777</v>
      </c>
      <c r="S323" s="628">
        <v>23250</v>
      </c>
      <c r="T323" s="628">
        <v>0</v>
      </c>
      <c r="U323" s="628">
        <v>0</v>
      </c>
      <c r="V323" s="628">
        <v>0</v>
      </c>
      <c r="W323" s="628">
        <v>0</v>
      </c>
      <c r="X323" s="628">
        <v>0</v>
      </c>
      <c r="Y323" s="628">
        <v>0</v>
      </c>
      <c r="Z323" s="628">
        <v>0</v>
      </c>
      <c r="AA323" s="628">
        <v>477100</v>
      </c>
    </row>
    <row r="324" spans="2:27">
      <c r="B324" s="678"/>
      <c r="C324" s="679"/>
      <c r="D324" s="679"/>
      <c r="E324" s="679"/>
      <c r="F324" s="679"/>
      <c r="G324" s="679"/>
      <c r="H324" s="679"/>
      <c r="I324" s="679"/>
      <c r="J324" s="679"/>
      <c r="K324" s="679"/>
      <c r="L324" s="679"/>
      <c r="M324" s="679"/>
      <c r="N324" s="679"/>
      <c r="O324" s="679">
        <v>0</v>
      </c>
      <c r="P324" s="680">
        <v>7.5879677419354836</v>
      </c>
      <c r="Q324" s="628">
        <v>8.1179774193548386</v>
      </c>
      <c r="R324" s="628">
        <v>7.9779714285714283</v>
      </c>
      <c r="S324" s="628">
        <v>0</v>
      </c>
      <c r="T324" s="628">
        <v>0</v>
      </c>
      <c r="U324" s="628">
        <v>0</v>
      </c>
      <c r="V324" s="628">
        <v>0</v>
      </c>
      <c r="W324" s="628">
        <v>0</v>
      </c>
      <c r="X324" s="628">
        <v>0</v>
      </c>
      <c r="Y324" s="628">
        <v>0</v>
      </c>
      <c r="Z324" s="628">
        <v>0</v>
      </c>
      <c r="AA324" s="628">
        <v>900000</v>
      </c>
    </row>
    <row r="325" spans="2:27">
      <c r="B325" s="678"/>
      <c r="C325" s="679"/>
      <c r="D325" s="679"/>
      <c r="E325" s="679"/>
      <c r="F325" s="679"/>
      <c r="G325" s="679"/>
      <c r="H325" s="679"/>
      <c r="I325" s="679"/>
      <c r="J325" s="679"/>
      <c r="K325" s="679"/>
      <c r="L325" s="679"/>
      <c r="M325" s="679"/>
      <c r="N325" s="679"/>
      <c r="O325" s="679">
        <v>0</v>
      </c>
      <c r="P325" s="680">
        <v>0</v>
      </c>
      <c r="Q325" s="628">
        <v>0</v>
      </c>
      <c r="R325" s="628">
        <v>7.9478999999999997</v>
      </c>
      <c r="S325" s="628">
        <v>0</v>
      </c>
      <c r="T325" s="628">
        <v>0</v>
      </c>
      <c r="U325" s="628">
        <v>0</v>
      </c>
      <c r="V325" s="628">
        <v>0</v>
      </c>
      <c r="W325" s="628">
        <v>0</v>
      </c>
      <c r="X325" s="628">
        <v>0</v>
      </c>
      <c r="Y325" s="628">
        <v>0</v>
      </c>
      <c r="Z325" s="628">
        <v>0</v>
      </c>
      <c r="AA325" s="628">
        <v>100000</v>
      </c>
    </row>
    <row r="326" spans="2:27">
      <c r="B326" s="678"/>
      <c r="C326" s="679"/>
      <c r="D326" s="679"/>
      <c r="E326" s="679"/>
      <c r="F326" s="679"/>
      <c r="G326" s="679"/>
      <c r="H326" s="679"/>
      <c r="I326" s="679"/>
      <c r="J326" s="679"/>
      <c r="K326" s="679"/>
      <c r="L326" s="679"/>
      <c r="M326" s="679"/>
      <c r="N326" s="679"/>
      <c r="O326" s="679">
        <v>0</v>
      </c>
      <c r="P326" s="680">
        <v>11.782133333333332</v>
      </c>
      <c r="Q326" s="628">
        <v>8.832774261603376</v>
      </c>
      <c r="R326" s="628">
        <v>8.2461777777777776</v>
      </c>
      <c r="S326" s="628">
        <v>0</v>
      </c>
      <c r="T326" s="628">
        <v>0</v>
      </c>
      <c r="U326" s="628">
        <v>0</v>
      </c>
      <c r="V326" s="628">
        <v>0</v>
      </c>
      <c r="W326" s="628">
        <v>0</v>
      </c>
      <c r="X326" s="628">
        <v>0</v>
      </c>
      <c r="Y326" s="628">
        <v>0</v>
      </c>
      <c r="Z326" s="628">
        <v>0</v>
      </c>
      <c r="AA326" s="628">
        <v>379800</v>
      </c>
    </row>
    <row r="327" spans="2:27">
      <c r="B327" s="678"/>
      <c r="C327" s="679"/>
      <c r="D327" s="679"/>
      <c r="E327" s="679"/>
      <c r="F327" s="679"/>
      <c r="G327" s="679"/>
      <c r="H327" s="679"/>
      <c r="I327" s="679"/>
      <c r="J327" s="679"/>
      <c r="K327" s="679"/>
      <c r="L327" s="679"/>
      <c r="M327" s="679"/>
      <c r="N327" s="679"/>
      <c r="O327" s="679">
        <v>0</v>
      </c>
      <c r="P327" s="680">
        <v>23375</v>
      </c>
      <c r="Q327" s="628">
        <v>42625</v>
      </c>
      <c r="R327" s="628">
        <v>8.4227799999999995</v>
      </c>
      <c r="S327" s="628">
        <v>0</v>
      </c>
      <c r="T327" s="628">
        <v>0</v>
      </c>
      <c r="U327" s="628">
        <v>0</v>
      </c>
      <c r="V327" s="628">
        <v>0</v>
      </c>
      <c r="W327" s="628">
        <v>0</v>
      </c>
      <c r="X327" s="628">
        <v>0</v>
      </c>
      <c r="Y327" s="628">
        <v>0</v>
      </c>
      <c r="Z327" s="628">
        <v>0</v>
      </c>
      <c r="AA327" s="628">
        <v>50000</v>
      </c>
    </row>
    <row r="328" spans="2:27">
      <c r="B328" s="678"/>
      <c r="C328" s="679"/>
      <c r="D328" s="679"/>
      <c r="E328" s="679"/>
      <c r="F328" s="679"/>
      <c r="G328" s="679"/>
      <c r="H328" s="679"/>
      <c r="I328" s="679"/>
      <c r="J328" s="679"/>
      <c r="K328" s="679"/>
      <c r="L328" s="679"/>
      <c r="M328" s="679"/>
      <c r="N328" s="679"/>
      <c r="O328" s="679">
        <v>0</v>
      </c>
      <c r="P328" s="680">
        <v>13950</v>
      </c>
      <c r="Q328" s="628">
        <v>13950</v>
      </c>
      <c r="R328" s="628">
        <v>8.5778999999999996</v>
      </c>
      <c r="S328" s="628">
        <v>0</v>
      </c>
      <c r="T328" s="628">
        <v>0</v>
      </c>
      <c r="U328" s="628">
        <v>0</v>
      </c>
      <c r="V328" s="628">
        <v>0</v>
      </c>
      <c r="W328" s="628">
        <v>0</v>
      </c>
      <c r="X328" s="628">
        <v>0</v>
      </c>
      <c r="Y328" s="628">
        <v>0</v>
      </c>
      <c r="Z328" s="628">
        <v>0</v>
      </c>
      <c r="AA328" s="628">
        <v>20000</v>
      </c>
    </row>
    <row r="329" spans="2:27">
      <c r="B329" s="678"/>
      <c r="C329" s="679"/>
      <c r="D329" s="679"/>
      <c r="E329" s="679"/>
      <c r="F329" s="679"/>
      <c r="G329" s="679"/>
      <c r="H329" s="679"/>
      <c r="I329" s="679"/>
      <c r="J329" s="679"/>
      <c r="K329" s="679"/>
      <c r="L329" s="679"/>
      <c r="M329" s="679"/>
      <c r="N329" s="679"/>
      <c r="O329" s="679">
        <v>0</v>
      </c>
      <c r="P329" s="680">
        <v>20400</v>
      </c>
      <c r="Q329" s="628">
        <v>37200</v>
      </c>
      <c r="R329" s="628">
        <v>8.367775</v>
      </c>
      <c r="S329" s="628">
        <v>0</v>
      </c>
      <c r="T329" s="628">
        <v>0</v>
      </c>
      <c r="U329" s="628">
        <v>0</v>
      </c>
      <c r="V329" s="628">
        <v>0</v>
      </c>
      <c r="W329" s="628">
        <v>0</v>
      </c>
      <c r="X329" s="628">
        <v>0</v>
      </c>
      <c r="Y329" s="628">
        <v>0</v>
      </c>
      <c r="Z329" s="628">
        <v>0</v>
      </c>
      <c r="AA329" s="628">
        <v>40000</v>
      </c>
    </row>
    <row r="330" spans="2:27">
      <c r="B330" s="678"/>
      <c r="C330" s="679"/>
      <c r="D330" s="679"/>
      <c r="E330" s="679"/>
      <c r="F330" s="679"/>
      <c r="G330" s="679"/>
      <c r="H330" s="679"/>
      <c r="I330" s="679"/>
      <c r="J330" s="679"/>
      <c r="K330" s="679"/>
      <c r="L330" s="679"/>
      <c r="M330" s="679"/>
      <c r="N330" s="679"/>
      <c r="O330" s="679">
        <v>6.5976699999999999</v>
      </c>
      <c r="P330" s="680">
        <v>53475</v>
      </c>
      <c r="Q330" s="628">
        <v>53475</v>
      </c>
      <c r="R330" s="628">
        <v>8.7446800000000007</v>
      </c>
      <c r="S330" s="628">
        <v>24150</v>
      </c>
      <c r="T330" s="628">
        <v>0</v>
      </c>
      <c r="U330" s="628">
        <v>0</v>
      </c>
      <c r="V330" s="628">
        <v>0</v>
      </c>
      <c r="W330" s="628">
        <v>0</v>
      </c>
      <c r="X330" s="628">
        <v>0</v>
      </c>
      <c r="Y330" s="628">
        <v>0</v>
      </c>
      <c r="Z330" s="628">
        <v>0</v>
      </c>
      <c r="AA330" s="628">
        <v>450000</v>
      </c>
    </row>
    <row r="331" spans="2:27">
      <c r="B331" s="678"/>
      <c r="C331" s="679"/>
      <c r="D331" s="679"/>
      <c r="E331" s="679"/>
      <c r="F331" s="679"/>
      <c r="G331" s="679"/>
      <c r="H331" s="679"/>
      <c r="I331" s="679"/>
      <c r="J331" s="679"/>
      <c r="K331" s="679"/>
      <c r="L331" s="679"/>
      <c r="M331" s="679"/>
      <c r="N331" s="679"/>
      <c r="O331" s="679">
        <v>0</v>
      </c>
      <c r="P331" s="680">
        <v>0</v>
      </c>
      <c r="Q331" s="628">
        <v>0</v>
      </c>
      <c r="R331" s="628">
        <v>0</v>
      </c>
      <c r="S331" s="628">
        <v>0</v>
      </c>
      <c r="T331" s="628">
        <v>0</v>
      </c>
      <c r="U331" s="628">
        <v>0</v>
      </c>
      <c r="V331" s="628">
        <v>0</v>
      </c>
      <c r="W331" s="628">
        <v>0</v>
      </c>
      <c r="X331" s="628">
        <v>0</v>
      </c>
      <c r="Y331" s="628">
        <v>0</v>
      </c>
      <c r="Z331" s="628">
        <v>0</v>
      </c>
      <c r="AA331" s="628">
        <v>0</v>
      </c>
    </row>
    <row r="332" spans="2:27">
      <c r="B332" s="678"/>
      <c r="C332" s="679"/>
      <c r="D332" s="679"/>
      <c r="E332" s="679"/>
      <c r="F332" s="679"/>
      <c r="G332" s="679"/>
      <c r="H332" s="679"/>
      <c r="I332" s="679"/>
      <c r="J332" s="679"/>
      <c r="K332" s="679"/>
      <c r="L332" s="679"/>
      <c r="M332" s="679"/>
      <c r="N332" s="679"/>
      <c r="O332" s="679">
        <v>0</v>
      </c>
      <c r="P332" s="680">
        <v>0</v>
      </c>
      <c r="Q332" s="628">
        <v>0</v>
      </c>
      <c r="R332" s="628">
        <v>0</v>
      </c>
      <c r="S332" s="628">
        <v>0</v>
      </c>
      <c r="T332" s="628">
        <v>0</v>
      </c>
      <c r="U332" s="628">
        <v>0</v>
      </c>
      <c r="V332" s="628">
        <v>0</v>
      </c>
      <c r="W332" s="628">
        <v>0</v>
      </c>
      <c r="X332" s="628">
        <v>0</v>
      </c>
      <c r="Y332" s="628">
        <v>0</v>
      </c>
      <c r="Z332" s="628">
        <v>0</v>
      </c>
      <c r="AA332" s="628">
        <v>0</v>
      </c>
    </row>
    <row r="333" spans="2:27">
      <c r="B333" s="678"/>
      <c r="C333" s="679"/>
      <c r="D333" s="679"/>
      <c r="E333" s="679"/>
      <c r="F333" s="679"/>
      <c r="G333" s="679"/>
      <c r="H333" s="679"/>
      <c r="I333" s="679"/>
      <c r="J333" s="679"/>
      <c r="K333" s="679"/>
      <c r="L333" s="679"/>
      <c r="M333" s="679"/>
      <c r="N333" s="679"/>
      <c r="O333" s="679">
        <v>0</v>
      </c>
      <c r="P333" s="680">
        <v>0</v>
      </c>
      <c r="Q333" s="628">
        <v>0</v>
      </c>
      <c r="R333" s="628">
        <v>0</v>
      </c>
      <c r="S333" s="628">
        <v>0</v>
      </c>
      <c r="T333" s="628">
        <v>0</v>
      </c>
      <c r="U333" s="628">
        <v>0</v>
      </c>
      <c r="V333" s="628">
        <v>0</v>
      </c>
      <c r="W333" s="628">
        <v>0</v>
      </c>
      <c r="X333" s="628">
        <v>0</v>
      </c>
      <c r="Y333" s="628">
        <v>0</v>
      </c>
      <c r="Z333" s="628">
        <v>0</v>
      </c>
      <c r="AA333" s="628">
        <v>0</v>
      </c>
    </row>
    <row r="334" spans="2:27">
      <c r="B334" s="678"/>
      <c r="C334" s="679"/>
      <c r="D334" s="679"/>
      <c r="E334" s="679"/>
      <c r="F334" s="679"/>
      <c r="G334" s="679"/>
      <c r="H334" s="679"/>
      <c r="I334" s="679"/>
      <c r="J334" s="679"/>
      <c r="K334" s="679"/>
      <c r="L334" s="679"/>
      <c r="M334" s="679"/>
      <c r="N334" s="679"/>
      <c r="O334" s="679">
        <v>0</v>
      </c>
      <c r="P334" s="680">
        <v>0</v>
      </c>
      <c r="Q334" s="628">
        <v>0</v>
      </c>
      <c r="R334" s="628">
        <v>0</v>
      </c>
      <c r="S334" s="628">
        <v>0</v>
      </c>
      <c r="T334" s="628">
        <v>0</v>
      </c>
      <c r="U334" s="628">
        <v>0</v>
      </c>
      <c r="V334" s="628">
        <v>0</v>
      </c>
      <c r="W334" s="628">
        <v>0</v>
      </c>
      <c r="X334" s="628">
        <v>0</v>
      </c>
      <c r="Y334" s="628">
        <v>0</v>
      </c>
      <c r="Z334" s="628">
        <v>0</v>
      </c>
      <c r="AA334" s="628">
        <v>0</v>
      </c>
    </row>
    <row r="335" spans="2:27">
      <c r="B335" s="678"/>
      <c r="C335" s="679"/>
      <c r="D335" s="679"/>
      <c r="E335" s="679"/>
      <c r="F335" s="679"/>
      <c r="G335" s="679"/>
      <c r="H335" s="679"/>
      <c r="I335" s="679"/>
      <c r="J335" s="679"/>
      <c r="K335" s="679"/>
      <c r="L335" s="679"/>
      <c r="M335" s="679"/>
      <c r="N335" s="679"/>
      <c r="O335" s="679">
        <v>0</v>
      </c>
      <c r="P335" s="680">
        <v>0</v>
      </c>
      <c r="Q335" s="628">
        <v>0</v>
      </c>
      <c r="R335" s="628">
        <v>0</v>
      </c>
      <c r="S335" s="628">
        <v>0</v>
      </c>
      <c r="T335" s="628">
        <v>0</v>
      </c>
      <c r="U335" s="628">
        <v>0</v>
      </c>
      <c r="V335" s="628">
        <v>0</v>
      </c>
      <c r="W335" s="628">
        <v>0</v>
      </c>
      <c r="X335" s="628">
        <v>0</v>
      </c>
      <c r="Y335" s="628">
        <v>0</v>
      </c>
      <c r="Z335" s="628">
        <v>0</v>
      </c>
      <c r="AA335" s="628">
        <v>0</v>
      </c>
    </row>
    <row r="336" spans="2:27">
      <c r="B336" s="678"/>
      <c r="C336" s="679"/>
      <c r="D336" s="679"/>
      <c r="E336" s="679"/>
      <c r="F336" s="679"/>
      <c r="G336" s="679"/>
      <c r="H336" s="679"/>
      <c r="I336" s="679"/>
      <c r="J336" s="679"/>
      <c r="K336" s="679"/>
      <c r="L336" s="679"/>
      <c r="M336" s="679"/>
      <c r="N336" s="679"/>
      <c r="O336" s="679">
        <v>0</v>
      </c>
      <c r="P336" s="680">
        <v>0</v>
      </c>
      <c r="Q336" s="628">
        <v>0</v>
      </c>
      <c r="R336" s="628">
        <v>0</v>
      </c>
      <c r="S336" s="628">
        <v>0</v>
      </c>
      <c r="T336" s="628">
        <v>0</v>
      </c>
      <c r="U336" s="628">
        <v>0</v>
      </c>
      <c r="V336" s="628">
        <v>0</v>
      </c>
      <c r="W336" s="628">
        <v>0</v>
      </c>
      <c r="X336" s="628">
        <v>0</v>
      </c>
      <c r="Y336" s="628">
        <v>0</v>
      </c>
      <c r="Z336" s="628">
        <v>0</v>
      </c>
      <c r="AA336" s="628">
        <v>0</v>
      </c>
    </row>
    <row r="337" spans="2:27">
      <c r="B337" s="678"/>
      <c r="C337" s="679"/>
      <c r="D337" s="679"/>
      <c r="E337" s="679"/>
      <c r="F337" s="679"/>
      <c r="G337" s="679"/>
      <c r="H337" s="679"/>
      <c r="I337" s="679"/>
      <c r="J337" s="679"/>
      <c r="K337" s="679"/>
      <c r="L337" s="679"/>
      <c r="M337" s="679"/>
      <c r="N337" s="679"/>
      <c r="O337" s="679">
        <v>1590000</v>
      </c>
      <c r="P337" s="680">
        <v>310000</v>
      </c>
      <c r="Q337" s="628">
        <v>-511500</v>
      </c>
      <c r="R337" s="682">
        <v>-266000</v>
      </c>
      <c r="S337" s="628">
        <v>0</v>
      </c>
      <c r="T337" s="628">
        <v>0</v>
      </c>
      <c r="U337" s="628">
        <v>0</v>
      </c>
      <c r="V337" s="628">
        <v>0</v>
      </c>
      <c r="W337" s="628">
        <v>0</v>
      </c>
      <c r="X337" s="628">
        <v>0</v>
      </c>
      <c r="Y337" s="628">
        <v>0</v>
      </c>
      <c r="Z337" s="628">
        <v>0</v>
      </c>
      <c r="AA337" s="628">
        <v>0</v>
      </c>
    </row>
    <row r="338" spans="2:27">
      <c r="B338" s="678"/>
      <c r="C338" s="679"/>
      <c r="D338" s="679"/>
      <c r="E338" s="679"/>
      <c r="F338" s="679"/>
      <c r="G338" s="679"/>
      <c r="H338" s="679"/>
      <c r="I338" s="679"/>
      <c r="J338" s="679"/>
      <c r="K338" s="679"/>
      <c r="L338" s="679"/>
      <c r="M338" s="679"/>
      <c r="N338" s="679"/>
      <c r="O338" s="679">
        <v>7.9537157321616201</v>
      </c>
      <c r="P338" s="680">
        <v>8.0510298839219558</v>
      </c>
      <c r="Q338" s="628">
        <v>7.8207500756124606</v>
      </c>
      <c r="R338" s="628">
        <v>7.7915080940531771</v>
      </c>
      <c r="S338" s="628">
        <v>65.536153846153852</v>
      </c>
      <c r="T338" s="628">
        <v>0</v>
      </c>
      <c r="U338" s="628">
        <v>0</v>
      </c>
      <c r="V338" s="628">
        <v>0</v>
      </c>
      <c r="W338" s="628">
        <v>0</v>
      </c>
      <c r="X338" s="628">
        <v>0</v>
      </c>
      <c r="Y338" s="628">
        <v>0</v>
      </c>
      <c r="Z338" s="628">
        <v>0</v>
      </c>
      <c r="AA338" s="628">
        <v>0</v>
      </c>
    </row>
    <row r="339" spans="2:27">
      <c r="B339" s="678" t="s">
        <v>527</v>
      </c>
      <c r="C339" s="679"/>
      <c r="D339" s="679"/>
      <c r="E339" s="679"/>
      <c r="F339" s="679"/>
      <c r="G339" s="679"/>
      <c r="H339" s="679"/>
      <c r="I339" s="679"/>
      <c r="J339" s="679"/>
      <c r="K339" s="679"/>
      <c r="L339" s="679"/>
      <c r="M339" s="679"/>
      <c r="N339" s="679"/>
      <c r="O339" s="679">
        <v>40473500</v>
      </c>
      <c r="P339" s="680"/>
      <c r="AA339" s="628">
        <v>80947000</v>
      </c>
    </row>
    <row r="340" spans="2:27">
      <c r="B340" s="678" t="s">
        <v>528</v>
      </c>
      <c r="C340" s="679"/>
      <c r="D340" s="679"/>
      <c r="E340" s="679"/>
      <c r="F340" s="679"/>
      <c r="G340" s="679"/>
      <c r="H340" s="679"/>
      <c r="I340" s="679"/>
      <c r="J340" s="679"/>
      <c r="K340" s="679"/>
      <c r="L340" s="679"/>
      <c r="M340" s="679"/>
      <c r="N340" s="679"/>
      <c r="O340" s="679">
        <v>7826000</v>
      </c>
      <c r="P340" s="680"/>
      <c r="AA340" s="628">
        <v>7826000</v>
      </c>
    </row>
    <row r="341" spans="2:27">
      <c r="B341" s="678"/>
      <c r="C341" s="679"/>
      <c r="D341" s="679"/>
      <c r="E341" s="679"/>
      <c r="F341" s="679"/>
      <c r="G341" s="679"/>
      <c r="H341" s="679"/>
      <c r="I341" s="679"/>
      <c r="J341" s="679"/>
      <c r="K341" s="679"/>
      <c r="L341" s="679"/>
      <c r="M341" s="679"/>
      <c r="N341" s="679"/>
      <c r="O341" s="679">
        <v>48299500</v>
      </c>
      <c r="P341" s="680"/>
      <c r="AA341" s="628">
        <v>48299500</v>
      </c>
    </row>
    <row r="342" spans="2:27">
      <c r="B342" s="678"/>
      <c r="C342" s="679"/>
      <c r="D342" s="679"/>
      <c r="E342" s="679"/>
      <c r="F342" s="679"/>
      <c r="G342" s="679"/>
      <c r="H342" s="679"/>
      <c r="I342" s="679"/>
      <c r="J342" s="679"/>
      <c r="K342" s="679"/>
      <c r="L342" s="679"/>
      <c r="M342" s="679"/>
      <c r="N342" s="679"/>
      <c r="O342" s="679" t="s">
        <v>529</v>
      </c>
      <c r="P342" s="680" t="s">
        <v>530</v>
      </c>
    </row>
    <row r="343" spans="2:27">
      <c r="B343" s="678">
        <v>0</v>
      </c>
      <c r="C343" s="679"/>
      <c r="D343" s="679"/>
      <c r="E343" s="679"/>
      <c r="F343" s="679"/>
      <c r="G343" s="679"/>
      <c r="H343" s="679"/>
      <c r="I343" s="679"/>
      <c r="J343" s="679"/>
      <c r="K343" s="679"/>
      <c r="L343" s="679"/>
      <c r="M343" s="679"/>
      <c r="N343" s="679"/>
      <c r="O343" s="679">
        <v>9312900</v>
      </c>
      <c r="P343" s="680">
        <v>6.8603314917127074</v>
      </c>
      <c r="S343" s="682"/>
    </row>
    <row r="344" spans="2:27">
      <c r="B344" s="678">
        <v>0</v>
      </c>
      <c r="C344" s="679"/>
      <c r="D344" s="679"/>
      <c r="E344" s="679"/>
      <c r="F344" s="679"/>
      <c r="G344" s="679"/>
      <c r="H344" s="679"/>
      <c r="I344" s="679"/>
      <c r="J344" s="679"/>
      <c r="K344" s="679"/>
      <c r="L344" s="679"/>
      <c r="M344" s="679"/>
      <c r="N344" s="679"/>
      <c r="O344" s="679">
        <v>6862412.5</v>
      </c>
      <c r="P344" s="680">
        <v>7.5827762430939227</v>
      </c>
    </row>
    <row r="345" spans="2:27">
      <c r="B345" s="678">
        <v>0</v>
      </c>
      <c r="C345" s="679"/>
      <c r="D345" s="679"/>
      <c r="E345" s="679"/>
      <c r="F345" s="679"/>
      <c r="G345" s="679"/>
      <c r="H345" s="679"/>
      <c r="I345" s="679"/>
      <c r="J345" s="679"/>
      <c r="K345" s="679"/>
      <c r="L345" s="679"/>
      <c r="M345" s="679"/>
      <c r="N345" s="679"/>
      <c r="O345" s="679">
        <v>4147750</v>
      </c>
      <c r="P345" s="680">
        <v>6.9129166666666668</v>
      </c>
    </row>
    <row r="346" spans="2:27">
      <c r="B346" s="678">
        <v>0</v>
      </c>
      <c r="C346" s="679"/>
      <c r="D346" s="679"/>
      <c r="E346" s="679"/>
      <c r="F346" s="679"/>
      <c r="G346" s="679"/>
      <c r="H346" s="679"/>
      <c r="I346" s="679"/>
      <c r="J346" s="679"/>
      <c r="K346" s="679"/>
      <c r="L346" s="679"/>
      <c r="M346" s="679"/>
      <c r="N346" s="679"/>
      <c r="O346" s="679">
        <v>12386000</v>
      </c>
      <c r="P346" s="680">
        <v>6.7868493150684932</v>
      </c>
    </row>
    <row r="347" spans="2:27">
      <c r="B347" s="678">
        <v>0</v>
      </c>
      <c r="C347" s="679"/>
      <c r="D347" s="679"/>
      <c r="E347" s="679"/>
      <c r="F347" s="679"/>
      <c r="G347" s="679"/>
      <c r="H347" s="679"/>
      <c r="I347" s="679"/>
      <c r="J347" s="679"/>
      <c r="K347" s="679"/>
      <c r="L347" s="679"/>
      <c r="M347" s="679"/>
      <c r="N347" s="679"/>
      <c r="O347" s="679">
        <v>2337000</v>
      </c>
      <c r="P347" s="680">
        <v>7.79</v>
      </c>
    </row>
    <row r="348" spans="2:27">
      <c r="B348" s="678">
        <v>0</v>
      </c>
      <c r="C348" s="679"/>
      <c r="D348" s="679"/>
      <c r="E348" s="679"/>
      <c r="F348" s="679"/>
      <c r="G348" s="679"/>
      <c r="H348" s="679"/>
      <c r="I348" s="679"/>
      <c r="J348" s="679"/>
      <c r="K348" s="679"/>
      <c r="L348" s="679"/>
      <c r="M348" s="679"/>
      <c r="N348" s="679"/>
      <c r="O348" s="679">
        <v>5796000.0000000009</v>
      </c>
      <c r="P348" s="680">
        <v>8.0500000000000007</v>
      </c>
    </row>
    <row r="349" spans="2:27">
      <c r="B349" s="678">
        <v>0</v>
      </c>
      <c r="C349" s="679"/>
      <c r="D349" s="679"/>
      <c r="E349" s="679"/>
      <c r="F349" s="679"/>
      <c r="G349" s="679"/>
      <c r="H349" s="679"/>
      <c r="I349" s="679"/>
      <c r="J349" s="679"/>
      <c r="K349" s="679"/>
      <c r="L349" s="679"/>
      <c r="M349" s="679"/>
      <c r="N349" s="679"/>
      <c r="O349" s="679">
        <v>14261725</v>
      </c>
      <c r="P349" s="680">
        <v>6.8483673469387751</v>
      </c>
    </row>
    <row r="350" spans="2:27">
      <c r="B350" s="678">
        <v>0</v>
      </c>
      <c r="C350" s="679"/>
      <c r="D350" s="679"/>
      <c r="E350" s="679"/>
      <c r="F350" s="679"/>
      <c r="G350" s="679"/>
      <c r="H350" s="679"/>
      <c r="I350" s="679"/>
      <c r="J350" s="679"/>
      <c r="K350" s="679"/>
      <c r="L350" s="679"/>
      <c r="M350" s="679"/>
      <c r="N350" s="679"/>
      <c r="O350" s="679">
        <v>37322250</v>
      </c>
      <c r="P350" s="680">
        <v>6.8168493150684935</v>
      </c>
    </row>
    <row r="351" spans="2:27">
      <c r="B351" s="678">
        <v>0</v>
      </c>
      <c r="C351" s="679"/>
      <c r="D351" s="679"/>
      <c r="E351" s="679"/>
      <c r="F351" s="679"/>
      <c r="G351" s="679"/>
      <c r="H351" s="679"/>
      <c r="I351" s="679"/>
      <c r="J351" s="679"/>
      <c r="K351" s="679"/>
      <c r="L351" s="679"/>
      <c r="M351" s="679"/>
      <c r="N351" s="679"/>
      <c r="O351" s="679">
        <v>4614000</v>
      </c>
      <c r="P351" s="680">
        <v>7.69</v>
      </c>
    </row>
    <row r="352" spans="2:27">
      <c r="B352" s="678">
        <v>0</v>
      </c>
      <c r="C352" s="679"/>
      <c r="D352" s="679"/>
      <c r="E352" s="679"/>
      <c r="F352" s="679"/>
      <c r="G352" s="679"/>
      <c r="H352" s="679"/>
      <c r="I352" s="679"/>
      <c r="J352" s="679"/>
      <c r="K352" s="679"/>
      <c r="L352" s="679"/>
      <c r="M352" s="679"/>
      <c r="N352" s="679"/>
      <c r="O352" s="679">
        <v>4722000</v>
      </c>
      <c r="P352" s="680">
        <v>7.87</v>
      </c>
    </row>
    <row r="353" spans="2:16">
      <c r="B353" s="678">
        <v>0</v>
      </c>
      <c r="C353" s="679"/>
      <c r="D353" s="679"/>
      <c r="E353" s="679"/>
      <c r="F353" s="679"/>
      <c r="G353" s="679"/>
      <c r="H353" s="679"/>
      <c r="I353" s="679"/>
      <c r="J353" s="679"/>
      <c r="K353" s="679"/>
      <c r="L353" s="679"/>
      <c r="M353" s="679"/>
      <c r="N353" s="679"/>
      <c r="O353" s="679">
        <v>5277900</v>
      </c>
      <c r="P353" s="680">
        <v>6.9905960264900662</v>
      </c>
    </row>
    <row r="354" spans="2:16">
      <c r="B354" s="678">
        <v>0</v>
      </c>
      <c r="C354" s="679"/>
      <c r="D354" s="679"/>
      <c r="E354" s="679"/>
      <c r="F354" s="679"/>
      <c r="G354" s="679"/>
      <c r="H354" s="679"/>
      <c r="I354" s="679"/>
      <c r="J354" s="679"/>
      <c r="K354" s="679"/>
      <c r="L354" s="679"/>
      <c r="M354" s="679"/>
      <c r="N354" s="679"/>
      <c r="O354" s="679">
        <v>6124000</v>
      </c>
      <c r="P354" s="680">
        <v>8.1112582781456961</v>
      </c>
    </row>
    <row r="355" spans="2:16">
      <c r="B355" s="678">
        <v>0</v>
      </c>
      <c r="C355" s="679"/>
      <c r="D355" s="679"/>
      <c r="E355" s="679"/>
      <c r="F355" s="679"/>
      <c r="G355" s="679"/>
      <c r="H355" s="679"/>
      <c r="I355" s="679"/>
      <c r="J355" s="679"/>
      <c r="K355" s="679"/>
      <c r="L355" s="679"/>
      <c r="M355" s="679"/>
      <c r="N355" s="679"/>
      <c r="O355" s="679">
        <v>5956000</v>
      </c>
      <c r="P355" s="680">
        <v>7.8887417218543048</v>
      </c>
    </row>
    <row r="356" spans="2:16">
      <c r="B356" s="678">
        <v>0</v>
      </c>
      <c r="C356" s="679"/>
      <c r="D356" s="679"/>
      <c r="E356" s="679"/>
      <c r="F356" s="679"/>
      <c r="G356" s="679"/>
      <c r="H356" s="679"/>
      <c r="I356" s="679"/>
      <c r="J356" s="679"/>
      <c r="K356" s="679"/>
      <c r="L356" s="679"/>
      <c r="M356" s="679"/>
      <c r="N356" s="679"/>
      <c r="O356" s="679">
        <v>3522150</v>
      </c>
      <c r="P356" s="680">
        <v>6.5225</v>
      </c>
    </row>
    <row r="357" spans="2:16">
      <c r="B357" s="678">
        <v>0</v>
      </c>
      <c r="C357" s="679"/>
      <c r="D357" s="679"/>
      <c r="E357" s="679"/>
      <c r="F357" s="679"/>
      <c r="G357" s="679"/>
      <c r="H357" s="679"/>
      <c r="I357" s="679"/>
      <c r="J357" s="679"/>
      <c r="K357" s="679"/>
      <c r="L357" s="679"/>
      <c r="M357" s="679"/>
      <c r="N357" s="679"/>
      <c r="O357" s="679">
        <v>5627050</v>
      </c>
      <c r="P357" s="680">
        <v>7.4530463576158938</v>
      </c>
    </row>
    <row r="358" spans="2:16">
      <c r="B358" s="678">
        <v>0</v>
      </c>
      <c r="C358" s="679"/>
      <c r="D358" s="679"/>
      <c r="E358" s="679"/>
      <c r="F358" s="679"/>
      <c r="G358" s="679"/>
      <c r="H358" s="679"/>
      <c r="I358" s="679"/>
      <c r="J358" s="679"/>
      <c r="K358" s="679"/>
      <c r="L358" s="679"/>
      <c r="M358" s="679"/>
      <c r="N358" s="679"/>
      <c r="O358" s="679">
        <v>5116100</v>
      </c>
      <c r="P358" s="680">
        <v>6.7762913907284767</v>
      </c>
    </row>
    <row r="359" spans="2:16">
      <c r="B359" s="678">
        <v>0</v>
      </c>
      <c r="C359" s="679"/>
      <c r="D359" s="679"/>
      <c r="E359" s="679"/>
      <c r="F359" s="679"/>
      <c r="G359" s="679"/>
      <c r="H359" s="679"/>
      <c r="I359" s="679"/>
      <c r="J359" s="679"/>
      <c r="K359" s="679"/>
      <c r="L359" s="679"/>
      <c r="M359" s="679"/>
      <c r="N359" s="679"/>
      <c r="O359" s="679">
        <v>4590000</v>
      </c>
      <c r="P359" s="680">
        <v>7.65</v>
      </c>
    </row>
    <row r="360" spans="2:16">
      <c r="B360" s="678">
        <v>0</v>
      </c>
      <c r="C360" s="679"/>
      <c r="D360" s="679"/>
      <c r="E360" s="679"/>
      <c r="F360" s="679"/>
      <c r="G360" s="679"/>
      <c r="H360" s="679"/>
      <c r="I360" s="679"/>
      <c r="J360" s="679"/>
      <c r="K360" s="679"/>
      <c r="L360" s="679"/>
      <c r="M360" s="679"/>
      <c r="N360" s="679"/>
      <c r="O360" s="679">
        <v>4710000</v>
      </c>
      <c r="P360" s="680">
        <v>7.85</v>
      </c>
    </row>
    <row r="361" spans="2:16">
      <c r="B361" s="678">
        <v>0</v>
      </c>
      <c r="C361" s="679"/>
      <c r="D361" s="679"/>
      <c r="E361" s="679"/>
      <c r="F361" s="679"/>
      <c r="G361" s="679"/>
      <c r="H361" s="679"/>
      <c r="I361" s="679"/>
      <c r="J361" s="679"/>
      <c r="K361" s="679"/>
      <c r="L361" s="679"/>
      <c r="M361" s="679"/>
      <c r="N361" s="679"/>
      <c r="O361" s="679">
        <v>4677000</v>
      </c>
      <c r="P361" s="680">
        <v>7.7949999999999999</v>
      </c>
    </row>
    <row r="362" spans="2:16">
      <c r="B362" s="685">
        <v>0</v>
      </c>
      <c r="C362" s="686"/>
      <c r="D362" s="686"/>
      <c r="E362" s="686"/>
      <c r="F362" s="686"/>
      <c r="G362" s="686"/>
      <c r="H362" s="686"/>
      <c r="I362" s="686"/>
      <c r="J362" s="686"/>
      <c r="K362" s="686"/>
      <c r="L362" s="686"/>
      <c r="M362" s="686"/>
      <c r="N362" s="686"/>
      <c r="O362" s="679">
        <v>982500</v>
      </c>
      <c r="P362" s="680">
        <v>6.55</v>
      </c>
    </row>
    <row r="363" spans="2:16">
      <c r="B363" s="685">
        <v>0</v>
      </c>
      <c r="C363" s="686"/>
      <c r="D363" s="686"/>
      <c r="E363" s="686"/>
      <c r="F363" s="686"/>
      <c r="G363" s="686"/>
      <c r="H363" s="686"/>
      <c r="I363" s="686"/>
      <c r="J363" s="686"/>
      <c r="K363" s="686"/>
      <c r="L363" s="686"/>
      <c r="M363" s="686"/>
      <c r="N363" s="686"/>
      <c r="O363" s="679">
        <v>6814975</v>
      </c>
      <c r="P363" s="680">
        <v>7.5303591160220993</v>
      </c>
    </row>
    <row r="364" spans="2:16">
      <c r="B364" s="685">
        <v>0</v>
      </c>
      <c r="C364" s="686"/>
      <c r="D364" s="686"/>
      <c r="E364" s="686"/>
      <c r="F364" s="686"/>
      <c r="G364" s="686"/>
      <c r="H364" s="686"/>
      <c r="I364" s="686"/>
      <c r="J364" s="686"/>
      <c r="K364" s="686"/>
      <c r="L364" s="686"/>
      <c r="M364" s="686"/>
      <c r="N364" s="686"/>
      <c r="O364" s="679">
        <v>2378250</v>
      </c>
      <c r="P364" s="680">
        <v>6.3</v>
      </c>
    </row>
    <row r="365" spans="2:16">
      <c r="B365" s="685">
        <v>0</v>
      </c>
      <c r="C365" s="686"/>
      <c r="D365" s="686"/>
      <c r="E365" s="686"/>
      <c r="F365" s="686"/>
      <c r="G365" s="686"/>
      <c r="H365" s="686"/>
      <c r="I365" s="686"/>
      <c r="J365" s="686"/>
      <c r="K365" s="686"/>
      <c r="L365" s="686"/>
      <c r="M365" s="686"/>
      <c r="N365" s="686"/>
      <c r="O365" s="679">
        <v>1610750</v>
      </c>
      <c r="P365" s="680">
        <v>7.1588888888888889</v>
      </c>
    </row>
    <row r="366" spans="2:16">
      <c r="B366" s="685">
        <v>0</v>
      </c>
      <c r="C366" s="686"/>
      <c r="D366" s="686"/>
      <c r="E366" s="686"/>
      <c r="F366" s="686"/>
      <c r="G366" s="686"/>
      <c r="H366" s="686"/>
      <c r="I366" s="686"/>
      <c r="J366" s="686"/>
      <c r="K366" s="686"/>
      <c r="L366" s="686"/>
      <c r="M366" s="686"/>
      <c r="N366" s="686"/>
      <c r="O366" s="679">
        <v>2166000</v>
      </c>
      <c r="P366" s="680">
        <v>7.22</v>
      </c>
    </row>
    <row r="367" spans="2:16">
      <c r="B367" s="685">
        <v>0</v>
      </c>
      <c r="C367" s="686"/>
      <c r="D367" s="686"/>
      <c r="E367" s="686"/>
      <c r="F367" s="686"/>
      <c r="G367" s="686"/>
      <c r="H367" s="686"/>
      <c r="I367" s="686"/>
      <c r="J367" s="686"/>
      <c r="K367" s="686"/>
      <c r="L367" s="686"/>
      <c r="M367" s="686"/>
      <c r="N367" s="686"/>
      <c r="O367" s="679">
        <v>2542000</v>
      </c>
      <c r="P367" s="680">
        <v>8.1999999999999993</v>
      </c>
    </row>
    <row r="368" spans="2:16">
      <c r="B368" s="685">
        <v>0</v>
      </c>
      <c r="C368" s="686"/>
      <c r="D368" s="686"/>
      <c r="E368" s="686"/>
      <c r="F368" s="686"/>
      <c r="G368" s="686"/>
      <c r="H368" s="686"/>
      <c r="I368" s="686"/>
      <c r="J368" s="686"/>
      <c r="K368" s="686"/>
      <c r="L368" s="686"/>
      <c r="M368" s="686"/>
      <c r="N368" s="686"/>
      <c r="O368" s="679">
        <v>6210000</v>
      </c>
      <c r="P368" s="680">
        <v>6.9</v>
      </c>
    </row>
    <row r="369" spans="2:16">
      <c r="B369" s="685">
        <v>0</v>
      </c>
      <c r="C369" s="686"/>
      <c r="D369" s="686"/>
      <c r="E369" s="686"/>
      <c r="F369" s="686"/>
      <c r="G369" s="686"/>
      <c r="H369" s="686"/>
      <c r="I369" s="686"/>
      <c r="J369" s="686"/>
      <c r="K369" s="686"/>
      <c r="L369" s="686"/>
      <c r="M369" s="686"/>
      <c r="N369" s="686"/>
      <c r="O369" s="679">
        <v>20749200</v>
      </c>
      <c r="P369" s="680">
        <v>6.8705960264900661</v>
      </c>
    </row>
    <row r="370" spans="2:16">
      <c r="B370" s="685">
        <v>0</v>
      </c>
      <c r="C370" s="686"/>
      <c r="D370" s="686"/>
      <c r="E370" s="686"/>
      <c r="F370" s="686"/>
      <c r="G370" s="686"/>
      <c r="H370" s="686"/>
      <c r="I370" s="686"/>
      <c r="J370" s="686"/>
      <c r="K370" s="686"/>
      <c r="L370" s="686"/>
      <c r="M370" s="686"/>
      <c r="N370" s="686"/>
      <c r="O370" s="679">
        <v>10385500</v>
      </c>
      <c r="P370" s="680">
        <v>6.8778145695364241</v>
      </c>
    </row>
    <row r="371" spans="2:16">
      <c r="B371" s="685">
        <v>0</v>
      </c>
      <c r="C371" s="686"/>
      <c r="D371" s="686"/>
      <c r="E371" s="686"/>
      <c r="F371" s="686"/>
      <c r="G371" s="686"/>
      <c r="H371" s="686"/>
      <c r="I371" s="686"/>
      <c r="J371" s="686"/>
      <c r="K371" s="686"/>
      <c r="L371" s="686"/>
      <c r="M371" s="686"/>
      <c r="N371" s="686"/>
      <c r="O371" s="679">
        <v>6041899.9999999991</v>
      </c>
      <c r="P371" s="680">
        <v>8.0025165562913898</v>
      </c>
    </row>
    <row r="372" spans="2:16">
      <c r="B372" s="685">
        <v>0</v>
      </c>
      <c r="C372" s="686"/>
      <c r="D372" s="686"/>
      <c r="E372" s="686"/>
      <c r="F372" s="686"/>
      <c r="G372" s="686"/>
      <c r="H372" s="686"/>
      <c r="I372" s="686"/>
      <c r="J372" s="686"/>
      <c r="K372" s="686"/>
      <c r="L372" s="686"/>
      <c r="M372" s="686"/>
      <c r="N372" s="686"/>
      <c r="O372" s="679">
        <v>5759900</v>
      </c>
      <c r="P372" s="680">
        <v>7.629006622516556</v>
      </c>
    </row>
    <row r="373" spans="2:16">
      <c r="B373" s="685">
        <v>0</v>
      </c>
      <c r="C373" s="686"/>
      <c r="D373" s="686"/>
      <c r="E373" s="686"/>
      <c r="F373" s="686"/>
      <c r="G373" s="686"/>
      <c r="H373" s="686"/>
      <c r="I373" s="686"/>
      <c r="J373" s="686"/>
      <c r="K373" s="686"/>
      <c r="L373" s="686"/>
      <c r="M373" s="686"/>
      <c r="N373" s="686"/>
      <c r="O373" s="679">
        <v>5681900</v>
      </c>
      <c r="P373" s="680">
        <v>7.5256953642384108</v>
      </c>
    </row>
    <row r="374" spans="2:16">
      <c r="B374" s="685">
        <v>0</v>
      </c>
      <c r="C374" s="686"/>
      <c r="D374" s="686"/>
      <c r="E374" s="686"/>
      <c r="F374" s="686"/>
      <c r="G374" s="686"/>
      <c r="H374" s="686"/>
      <c r="I374" s="686"/>
      <c r="J374" s="686"/>
      <c r="K374" s="686"/>
      <c r="L374" s="686"/>
      <c r="M374" s="686"/>
      <c r="N374" s="686"/>
      <c r="O374" s="679">
        <v>5597900</v>
      </c>
      <c r="P374" s="680">
        <v>7.4144370860927156</v>
      </c>
    </row>
    <row r="375" spans="2:16">
      <c r="B375" s="685">
        <v>0</v>
      </c>
      <c r="C375" s="686"/>
      <c r="D375" s="686"/>
      <c r="E375" s="686"/>
      <c r="F375" s="686"/>
      <c r="G375" s="686"/>
      <c r="H375" s="686"/>
      <c r="I375" s="686"/>
      <c r="J375" s="686"/>
      <c r="K375" s="686"/>
      <c r="L375" s="686"/>
      <c r="M375" s="686"/>
      <c r="N375" s="686"/>
      <c r="O375" s="679">
        <v>16919480</v>
      </c>
      <c r="P375" s="680">
        <v>7.0030960264900664</v>
      </c>
    </row>
    <row r="376" spans="2:16">
      <c r="B376" s="685">
        <v>0</v>
      </c>
      <c r="C376" s="686"/>
      <c r="D376" s="686"/>
      <c r="E376" s="686"/>
      <c r="F376" s="686"/>
      <c r="G376" s="686"/>
      <c r="H376" s="686"/>
      <c r="I376" s="686"/>
      <c r="J376" s="686"/>
      <c r="K376" s="686"/>
      <c r="L376" s="686"/>
      <c r="M376" s="686"/>
      <c r="N376" s="686"/>
      <c r="O376" s="679">
        <v>4980000</v>
      </c>
      <c r="P376" s="680">
        <v>8.3000000000000007</v>
      </c>
    </row>
    <row r="377" spans="2:16">
      <c r="B377" s="685" t="s">
        <v>526</v>
      </c>
      <c r="C377" s="686"/>
      <c r="D377" s="686"/>
      <c r="E377" s="686"/>
      <c r="F377" s="686"/>
      <c r="G377" s="686"/>
      <c r="H377" s="686"/>
      <c r="I377" s="686"/>
      <c r="J377" s="686"/>
      <c r="K377" s="686"/>
      <c r="L377" s="686"/>
      <c r="M377" s="686"/>
      <c r="N377" s="686"/>
      <c r="O377" s="679">
        <v>2588900</v>
      </c>
      <c r="P377" s="680">
        <v>7.1913888888888886</v>
      </c>
    </row>
    <row r="378" spans="2:16">
      <c r="B378" s="685"/>
      <c r="C378" s="686"/>
      <c r="D378" s="686"/>
      <c r="E378" s="686"/>
      <c r="F378" s="686"/>
      <c r="G378" s="686"/>
      <c r="H378" s="686"/>
      <c r="I378" s="686"/>
      <c r="J378" s="686"/>
      <c r="K378" s="686"/>
      <c r="L378" s="686"/>
      <c r="M378" s="686"/>
      <c r="N378" s="686"/>
      <c r="O378" s="679">
        <v>3255250</v>
      </c>
      <c r="P378" s="680">
        <v>7.233888888888889</v>
      </c>
    </row>
    <row r="379" spans="2:16">
      <c r="B379" s="685"/>
      <c r="C379" s="686"/>
      <c r="D379" s="686"/>
      <c r="E379" s="686"/>
      <c r="F379" s="686"/>
      <c r="G379" s="686"/>
      <c r="H379" s="686"/>
      <c r="I379" s="686"/>
      <c r="J379" s="686"/>
      <c r="K379" s="686"/>
      <c r="L379" s="686"/>
      <c r="M379" s="686"/>
      <c r="N379" s="686"/>
      <c r="O379" s="679">
        <v>6294500</v>
      </c>
      <c r="P379" s="680">
        <v>6.9938888888888888</v>
      </c>
    </row>
    <row r="380" spans="2:16">
      <c r="B380" s="685"/>
      <c r="C380" s="686"/>
      <c r="D380" s="686"/>
      <c r="E380" s="686"/>
      <c r="F380" s="686"/>
      <c r="G380" s="686"/>
      <c r="H380" s="686"/>
      <c r="I380" s="686"/>
      <c r="J380" s="686"/>
      <c r="K380" s="686"/>
      <c r="L380" s="686"/>
      <c r="M380" s="686"/>
      <c r="N380" s="686"/>
      <c r="O380" s="679">
        <v>6429500</v>
      </c>
      <c r="P380" s="680">
        <v>7.1438888888888892</v>
      </c>
    </row>
    <row r="381" spans="2:16">
      <c r="B381" s="685"/>
      <c r="C381" s="686"/>
      <c r="D381" s="686"/>
      <c r="E381" s="686"/>
      <c r="F381" s="686"/>
      <c r="G381" s="686"/>
      <c r="H381" s="686"/>
      <c r="I381" s="686"/>
      <c r="J381" s="686"/>
      <c r="K381" s="686"/>
      <c r="L381" s="686"/>
      <c r="M381" s="686"/>
      <c r="N381" s="686"/>
      <c r="O381" s="679">
        <v>3886050</v>
      </c>
      <c r="P381" s="680">
        <v>7.1963888888888885</v>
      </c>
    </row>
    <row r="382" spans="2:16">
      <c r="B382" s="685"/>
      <c r="C382" s="686"/>
      <c r="D382" s="686"/>
      <c r="E382" s="686"/>
      <c r="F382" s="686"/>
      <c r="G382" s="686"/>
      <c r="H382" s="686"/>
      <c r="I382" s="686"/>
      <c r="J382" s="686"/>
      <c r="K382" s="686"/>
      <c r="L382" s="686"/>
      <c r="M382" s="686"/>
      <c r="N382" s="686"/>
      <c r="O382" s="679">
        <v>3681000</v>
      </c>
      <c r="P382" s="680">
        <v>8.18</v>
      </c>
    </row>
    <row r="383" spans="2:16" ht="15">
      <c r="B383" s="685"/>
      <c r="C383" s="708"/>
      <c r="D383" s="708"/>
      <c r="E383" s="708"/>
      <c r="F383" s="708"/>
      <c r="G383" s="708"/>
      <c r="H383" s="708"/>
      <c r="I383" s="708"/>
      <c r="J383" s="708"/>
      <c r="K383" s="708"/>
      <c r="L383" s="708"/>
      <c r="M383" s="708"/>
      <c r="N383" s="708"/>
      <c r="O383" s="679">
        <v>7470000</v>
      </c>
      <c r="P383" s="680">
        <v>8.3000000000000007</v>
      </c>
    </row>
    <row r="384" spans="2:16" ht="15">
      <c r="B384" s="685"/>
      <c r="C384" s="708"/>
      <c r="D384" s="708"/>
      <c r="E384" s="708"/>
      <c r="F384" s="708"/>
      <c r="G384" s="708"/>
      <c r="H384" s="708"/>
      <c r="I384" s="708"/>
      <c r="J384" s="708"/>
      <c r="K384" s="708"/>
      <c r="L384" s="708"/>
      <c r="M384" s="708"/>
      <c r="N384" s="708"/>
      <c r="O384" s="679">
        <v>3555000</v>
      </c>
      <c r="P384" s="680">
        <v>7.9</v>
      </c>
    </row>
    <row r="385" spans="2:20" ht="15">
      <c r="B385" s="685"/>
      <c r="C385" s="708"/>
      <c r="D385" s="708"/>
      <c r="E385" s="708"/>
      <c r="F385" s="708"/>
      <c r="G385" s="708"/>
      <c r="H385" s="708"/>
      <c r="I385" s="708"/>
      <c r="J385" s="708"/>
      <c r="K385" s="708"/>
      <c r="L385" s="708"/>
      <c r="M385" s="708"/>
      <c r="N385" s="708"/>
      <c r="O385" s="679">
        <v>9394900</v>
      </c>
      <c r="P385" s="680">
        <v>7.7643801652892561</v>
      </c>
    </row>
    <row r="386" spans="2:20" ht="15">
      <c r="B386" s="685"/>
      <c r="C386" s="708"/>
      <c r="D386" s="708"/>
      <c r="E386" s="708"/>
      <c r="F386" s="708"/>
      <c r="G386" s="708"/>
      <c r="H386" s="708"/>
      <c r="I386" s="708"/>
      <c r="J386" s="708"/>
      <c r="K386" s="708"/>
      <c r="L386" s="708"/>
      <c r="M386" s="708"/>
      <c r="N386" s="708"/>
      <c r="O386" s="679">
        <v>0</v>
      </c>
      <c r="P386" s="680" t="e">
        <v>#DIV/0!</v>
      </c>
    </row>
    <row r="387" spans="2:20" ht="15">
      <c r="B387" s="685"/>
      <c r="C387" s="708"/>
      <c r="D387" s="708"/>
      <c r="E387" s="708"/>
      <c r="F387" s="708"/>
      <c r="G387" s="708"/>
      <c r="H387" s="708"/>
      <c r="I387" s="708"/>
      <c r="J387" s="708"/>
      <c r="K387" s="708"/>
      <c r="L387" s="708"/>
      <c r="M387" s="708"/>
      <c r="N387" s="708"/>
      <c r="O387" s="679">
        <v>0</v>
      </c>
      <c r="P387" s="680" t="e">
        <v>#DIV/0!</v>
      </c>
    </row>
    <row r="388" spans="2:20" ht="15">
      <c r="B388" s="685"/>
      <c r="C388" s="708"/>
      <c r="D388" s="708"/>
      <c r="E388" s="708"/>
      <c r="F388" s="708"/>
      <c r="G388" s="708"/>
      <c r="H388" s="708"/>
      <c r="I388" s="708"/>
      <c r="J388" s="708"/>
      <c r="K388" s="708"/>
      <c r="L388" s="708"/>
      <c r="M388" s="708"/>
      <c r="N388" s="708"/>
      <c r="O388" s="679">
        <v>0</v>
      </c>
      <c r="P388" s="680" t="e">
        <v>#DIV/0!</v>
      </c>
    </row>
    <row r="389" spans="2:20" ht="15">
      <c r="B389" s="685"/>
      <c r="C389" s="708"/>
      <c r="D389" s="708"/>
      <c r="E389" s="708"/>
      <c r="F389" s="708"/>
      <c r="G389" s="708"/>
      <c r="H389" s="708"/>
      <c r="I389" s="708"/>
      <c r="J389" s="708"/>
      <c r="K389" s="708"/>
      <c r="L389" s="708"/>
      <c r="M389" s="708"/>
      <c r="N389" s="708"/>
      <c r="O389" s="679">
        <v>0</v>
      </c>
      <c r="P389" s="680" t="e">
        <v>#DIV/0!</v>
      </c>
    </row>
    <row r="390" spans="2:20" ht="15">
      <c r="B390" s="685"/>
      <c r="C390" s="708"/>
      <c r="D390" s="708"/>
      <c r="E390" s="708"/>
      <c r="F390" s="708"/>
      <c r="G390" s="708"/>
      <c r="H390" s="708"/>
      <c r="I390" s="708"/>
      <c r="J390" s="708"/>
      <c r="K390" s="708"/>
      <c r="L390" s="708"/>
      <c r="M390" s="708"/>
      <c r="N390" s="708"/>
      <c r="O390" s="679">
        <v>0</v>
      </c>
      <c r="P390" s="680" t="e">
        <v>#DIV/0!</v>
      </c>
    </row>
    <row r="391" spans="2:20" ht="15">
      <c r="B391" s="685"/>
      <c r="C391" s="708"/>
      <c r="D391" s="708"/>
      <c r="E391" s="708"/>
      <c r="F391" s="708"/>
      <c r="G391" s="708"/>
      <c r="H391" s="708"/>
      <c r="I391" s="708"/>
      <c r="J391" s="708"/>
      <c r="K391" s="708"/>
      <c r="L391" s="708"/>
      <c r="M391" s="708"/>
      <c r="N391" s="708"/>
      <c r="O391" s="679">
        <v>0</v>
      </c>
      <c r="P391" s="680" t="e">
        <v>#DIV/0!</v>
      </c>
    </row>
    <row r="392" spans="2:20" ht="15">
      <c r="B392" s="685"/>
      <c r="C392" s="708"/>
      <c r="D392" s="708"/>
      <c r="E392" s="708"/>
      <c r="F392" s="708"/>
      <c r="G392" s="708"/>
      <c r="H392" s="708"/>
      <c r="I392" s="708"/>
      <c r="J392" s="708"/>
      <c r="K392" s="708"/>
      <c r="L392" s="708"/>
      <c r="M392" s="708"/>
      <c r="N392" s="708"/>
      <c r="O392" s="679">
        <v>0</v>
      </c>
      <c r="P392" s="680" t="e">
        <v>#DIV/0!</v>
      </c>
    </row>
    <row r="393" spans="2:20" ht="15">
      <c r="B393" s="685"/>
      <c r="C393" s="708"/>
      <c r="D393" s="708"/>
      <c r="E393" s="708"/>
      <c r="F393" s="708"/>
      <c r="G393" s="708"/>
      <c r="H393" s="708"/>
      <c r="I393" s="708"/>
      <c r="J393" s="708"/>
      <c r="K393" s="708"/>
      <c r="L393" s="708"/>
      <c r="M393" s="708"/>
      <c r="N393" s="708"/>
      <c r="O393" s="679">
        <v>0</v>
      </c>
      <c r="P393" s="680" t="e">
        <v>#DIV/0!</v>
      </c>
    </row>
    <row r="394" spans="2:20" ht="15">
      <c r="B394" s="685"/>
      <c r="C394" s="708"/>
      <c r="D394" s="708"/>
      <c r="E394" s="708"/>
      <c r="F394" s="708"/>
      <c r="G394" s="708"/>
      <c r="H394" s="708"/>
      <c r="I394" s="708"/>
      <c r="J394" s="708"/>
      <c r="K394" s="708"/>
      <c r="L394" s="708"/>
      <c r="M394" s="708"/>
      <c r="N394" s="708"/>
      <c r="O394" s="679">
        <v>0</v>
      </c>
      <c r="P394" s="680" t="e">
        <v>#DIV/0!</v>
      </c>
    </row>
    <row r="395" spans="2:20" ht="15">
      <c r="B395" s="685"/>
      <c r="C395" s="708"/>
      <c r="D395" s="708"/>
      <c r="E395" s="708"/>
      <c r="F395" s="708"/>
      <c r="G395" s="708"/>
      <c r="H395" s="708"/>
      <c r="I395" s="708"/>
      <c r="J395" s="708"/>
      <c r="K395" s="708"/>
      <c r="L395" s="708"/>
      <c r="M395" s="708"/>
      <c r="N395" s="708"/>
      <c r="O395" s="679">
        <v>0</v>
      </c>
      <c r="P395" s="680" t="e">
        <v>#DIV/0!</v>
      </c>
    </row>
    <row r="396" spans="2:20" ht="15">
      <c r="B396" s="685"/>
      <c r="C396" s="708"/>
      <c r="D396" s="708"/>
      <c r="E396" s="708"/>
      <c r="F396" s="708"/>
      <c r="G396" s="708"/>
      <c r="H396" s="708"/>
      <c r="I396" s="708"/>
      <c r="J396" s="708"/>
      <c r="K396" s="708"/>
      <c r="L396" s="708"/>
      <c r="M396" s="708"/>
      <c r="N396" s="708"/>
      <c r="O396" s="679">
        <v>0</v>
      </c>
      <c r="P396" s="680" t="e">
        <v>#DIV/0!</v>
      </c>
    </row>
    <row r="397" spans="2:20" ht="15">
      <c r="B397" s="685"/>
      <c r="C397" s="708"/>
      <c r="D397" s="708"/>
      <c r="E397" s="708"/>
      <c r="F397" s="708"/>
      <c r="G397" s="708"/>
      <c r="H397" s="708"/>
      <c r="I397" s="708"/>
      <c r="J397" s="708"/>
      <c r="K397" s="708"/>
      <c r="L397" s="708"/>
      <c r="M397" s="708"/>
      <c r="N397" s="708"/>
      <c r="O397" s="679">
        <v>0</v>
      </c>
      <c r="P397" s="680" t="e">
        <v>#DIV/0!</v>
      </c>
    </row>
    <row r="398" spans="2:20" ht="15">
      <c r="B398" s="685"/>
      <c r="C398" s="708"/>
      <c r="D398" s="708"/>
      <c r="E398" s="708"/>
      <c r="F398" s="708"/>
      <c r="G398" s="708"/>
      <c r="H398" s="708"/>
      <c r="I398" s="708"/>
      <c r="J398" s="708"/>
      <c r="K398" s="708"/>
      <c r="L398" s="708"/>
      <c r="M398" s="708"/>
      <c r="N398" s="708"/>
      <c r="O398" s="679">
        <v>0</v>
      </c>
      <c r="P398" s="680" t="e">
        <v>#DIV/0!</v>
      </c>
    </row>
    <row r="399" spans="2:20" ht="15">
      <c r="B399" s="685">
        <v>0</v>
      </c>
      <c r="C399" s="708"/>
      <c r="D399" s="708"/>
      <c r="E399" s="708"/>
      <c r="F399" s="708"/>
      <c r="G399" s="708"/>
      <c r="H399" s="708"/>
      <c r="I399" s="708"/>
      <c r="J399" s="708"/>
      <c r="K399" s="708"/>
      <c r="L399" s="708"/>
      <c r="M399" s="708"/>
      <c r="N399" s="708"/>
      <c r="O399" s="679">
        <v>0</v>
      </c>
      <c r="P399" s="680" t="e">
        <v>#DIV/0!</v>
      </c>
    </row>
    <row r="400" spans="2:20" ht="15">
      <c r="B400" s="676">
        <v>0</v>
      </c>
      <c r="C400" s="688"/>
      <c r="D400" s="688"/>
      <c r="E400" s="688"/>
      <c r="F400" s="688"/>
      <c r="G400" s="688"/>
      <c r="H400" s="688"/>
      <c r="I400" s="688"/>
      <c r="J400" s="688"/>
      <c r="K400" s="688"/>
      <c r="L400" s="688"/>
      <c r="M400" s="688"/>
      <c r="N400" s="688"/>
      <c r="O400" s="688">
        <v>0</v>
      </c>
      <c r="P400" s="680" t="e">
        <v>#DIV/0!</v>
      </c>
      <c r="Q400" s="652"/>
      <c r="T400" s="689"/>
    </row>
    <row r="401" spans="2:28" ht="15">
      <c r="B401" s="672">
        <v>0</v>
      </c>
      <c r="C401" s="690"/>
      <c r="D401" s="690"/>
      <c r="E401" s="690"/>
      <c r="F401" s="690"/>
      <c r="G401" s="690"/>
      <c r="H401" s="690"/>
      <c r="I401" s="690"/>
      <c r="J401" s="690"/>
      <c r="K401" s="690"/>
      <c r="L401" s="690"/>
      <c r="M401" s="690"/>
      <c r="N401" s="690"/>
      <c r="O401" s="679">
        <v>0</v>
      </c>
      <c r="P401" s="680" t="e">
        <v>#DIV/0!</v>
      </c>
      <c r="Q401" s="691"/>
    </row>
    <row r="402" spans="2:28">
      <c r="B402" s="628">
        <v>0</v>
      </c>
      <c r="C402" s="679">
        <v>0</v>
      </c>
      <c r="D402" s="679">
        <v>0</v>
      </c>
      <c r="E402" s="679">
        <v>0</v>
      </c>
      <c r="F402" s="679">
        <v>0</v>
      </c>
      <c r="G402" s="679">
        <v>0</v>
      </c>
      <c r="H402" s="679">
        <v>0</v>
      </c>
      <c r="I402" s="679">
        <v>0</v>
      </c>
      <c r="J402" s="679">
        <v>0</v>
      </c>
      <c r="K402" s="679">
        <v>0</v>
      </c>
      <c r="L402" s="679">
        <v>0</v>
      </c>
      <c r="M402" s="679">
        <v>0</v>
      </c>
      <c r="N402" s="679">
        <v>0</v>
      </c>
      <c r="O402" s="679">
        <v>0</v>
      </c>
      <c r="P402" s="680" t="e">
        <v>#DIV/0!</v>
      </c>
    </row>
    <row r="403" spans="2:28">
      <c r="B403" s="628" t="s">
        <v>504</v>
      </c>
      <c r="C403" s="628">
        <v>6.9525515463917529</v>
      </c>
      <c r="D403" s="628">
        <v>7.3698343079922024</v>
      </c>
      <c r="E403" s="628">
        <v>7.5485087719298249</v>
      </c>
      <c r="F403" s="628">
        <v>7.4879239766081875</v>
      </c>
      <c r="G403" s="628">
        <v>7.0330877742946711</v>
      </c>
      <c r="H403" s="628">
        <v>7.0584239130434785</v>
      </c>
      <c r="I403" s="628">
        <v>6.4077192982456141</v>
      </c>
      <c r="J403" s="628">
        <v>6.457719298245614</v>
      </c>
      <c r="K403" s="628">
        <v>6.6077192982456143</v>
      </c>
      <c r="L403" s="628">
        <v>6.5577192982456136</v>
      </c>
      <c r="M403" s="628">
        <v>6.7977192982456138</v>
      </c>
      <c r="N403" s="628">
        <v>7.6177192982456141</v>
      </c>
      <c r="O403" s="682">
        <v>292737592.5</v>
      </c>
      <c r="P403" s="628">
        <v>7.2328212904740141</v>
      </c>
    </row>
    <row r="404" spans="2:28" ht="15">
      <c r="B404" s="628">
        <v>0</v>
      </c>
      <c r="C404" s="628">
        <v>0</v>
      </c>
      <c r="D404" s="628">
        <v>77445</v>
      </c>
      <c r="E404" s="628">
        <v>24800</v>
      </c>
      <c r="F404" s="628">
        <v>1356074</v>
      </c>
      <c r="G404" s="628">
        <v>0</v>
      </c>
      <c r="H404" s="628">
        <v>0</v>
      </c>
      <c r="I404" s="628">
        <v>0</v>
      </c>
      <c r="J404" s="628">
        <v>0</v>
      </c>
      <c r="K404" s="628">
        <v>0</v>
      </c>
      <c r="L404" s="628">
        <v>0</v>
      </c>
      <c r="M404" s="628">
        <v>0</v>
      </c>
      <c r="N404" s="628">
        <v>0</v>
      </c>
      <c r="O404" s="692">
        <v>1458319</v>
      </c>
      <c r="P404" s="628">
        <v>7.7777013333333329</v>
      </c>
    </row>
    <row r="405" spans="2:28">
      <c r="B405" s="628">
        <v>0</v>
      </c>
      <c r="C405" s="628">
        <v>0</v>
      </c>
      <c r="D405" s="628">
        <v>54250</v>
      </c>
      <c r="E405" s="628">
        <v>54250</v>
      </c>
      <c r="F405" s="628">
        <v>447392</v>
      </c>
      <c r="G405" s="628">
        <v>0</v>
      </c>
      <c r="H405" s="628">
        <v>0</v>
      </c>
      <c r="I405" s="628">
        <v>0</v>
      </c>
      <c r="J405" s="628">
        <v>0</v>
      </c>
      <c r="K405" s="628">
        <v>0</v>
      </c>
      <c r="L405" s="628">
        <v>0</v>
      </c>
      <c r="M405" s="628">
        <v>0</v>
      </c>
      <c r="N405" s="693">
        <v>0</v>
      </c>
      <c r="O405" s="694">
        <v>555892</v>
      </c>
      <c r="P405" s="695">
        <v>11.117839999999999</v>
      </c>
      <c r="AA405" s="651"/>
      <c r="AB405" s="628">
        <v>7753363.2699999996</v>
      </c>
    </row>
    <row r="406" spans="2:28">
      <c r="B406" s="628">
        <v>0</v>
      </c>
      <c r="C406" s="628">
        <v>0</v>
      </c>
      <c r="D406" s="628">
        <v>27125</v>
      </c>
      <c r="E406" s="628">
        <v>27125</v>
      </c>
      <c r="F406" s="628">
        <v>101872</v>
      </c>
      <c r="G406" s="628">
        <v>0</v>
      </c>
      <c r="H406" s="628">
        <v>0</v>
      </c>
      <c r="I406" s="628">
        <v>0</v>
      </c>
      <c r="J406" s="628">
        <v>0</v>
      </c>
      <c r="K406" s="628">
        <v>0</v>
      </c>
      <c r="L406" s="628">
        <v>0</v>
      </c>
      <c r="M406" s="628">
        <v>0</v>
      </c>
      <c r="N406" s="628">
        <v>0</v>
      </c>
      <c r="O406" s="628">
        <v>156122</v>
      </c>
      <c r="P406" s="695">
        <v>15.6122</v>
      </c>
    </row>
    <row r="407" spans="2:28">
      <c r="B407" s="628">
        <v>0</v>
      </c>
      <c r="C407" s="628">
        <v>344151</v>
      </c>
      <c r="D407" s="628">
        <v>74147</v>
      </c>
      <c r="E407" s="628">
        <v>417820</v>
      </c>
      <c r="F407" s="628">
        <v>408389</v>
      </c>
      <c r="G407" s="628">
        <v>21506</v>
      </c>
      <c r="H407" s="628">
        <v>0</v>
      </c>
      <c r="I407" s="628">
        <v>0</v>
      </c>
      <c r="J407" s="628">
        <v>0</v>
      </c>
      <c r="K407" s="628">
        <v>0</v>
      </c>
      <c r="L407" s="628">
        <v>0</v>
      </c>
      <c r="M407" s="628">
        <v>0</v>
      </c>
      <c r="N407" s="700">
        <v>0</v>
      </c>
      <c r="O407" s="682">
        <v>1266013</v>
      </c>
      <c r="P407" s="695">
        <v>7.6728060606060602</v>
      </c>
    </row>
    <row r="408" spans="2:28">
      <c r="B408" s="628">
        <v>0</v>
      </c>
      <c r="C408" s="628">
        <v>343026</v>
      </c>
      <c r="D408" s="628">
        <v>72985</v>
      </c>
      <c r="E408" s="628">
        <v>416657</v>
      </c>
      <c r="F408" s="628">
        <v>407339</v>
      </c>
      <c r="G408" s="628">
        <v>20344</v>
      </c>
      <c r="H408" s="628">
        <v>0</v>
      </c>
      <c r="I408" s="628">
        <v>0</v>
      </c>
      <c r="J408" s="628">
        <v>0</v>
      </c>
      <c r="K408" s="628">
        <v>0</v>
      </c>
      <c r="L408" s="628">
        <v>0</v>
      </c>
      <c r="M408" s="628">
        <v>0</v>
      </c>
      <c r="N408" s="628">
        <v>0</v>
      </c>
      <c r="O408" s="628">
        <v>1260351</v>
      </c>
      <c r="P408" s="695">
        <v>7.6384909090909092</v>
      </c>
    </row>
    <row r="409" spans="2:28">
      <c r="B409" s="628">
        <v>0</v>
      </c>
      <c r="C409" s="628">
        <v>228309</v>
      </c>
      <c r="D409" s="628">
        <v>48269</v>
      </c>
      <c r="E409" s="628">
        <v>277384</v>
      </c>
      <c r="F409" s="628">
        <v>271209</v>
      </c>
      <c r="G409" s="628">
        <v>13175</v>
      </c>
      <c r="H409" s="628">
        <v>0</v>
      </c>
      <c r="I409" s="628">
        <v>0</v>
      </c>
      <c r="J409" s="628">
        <v>0</v>
      </c>
      <c r="K409" s="628">
        <v>0</v>
      </c>
      <c r="L409" s="628">
        <v>0</v>
      </c>
      <c r="M409" s="628">
        <v>0</v>
      </c>
      <c r="N409" s="700">
        <v>0</v>
      </c>
      <c r="O409" s="682">
        <v>838346</v>
      </c>
      <c r="P409" s="695">
        <v>7.6213272727272727</v>
      </c>
    </row>
    <row r="410" spans="2:28">
      <c r="B410" s="628">
        <v>0</v>
      </c>
      <c r="C410" s="628">
        <v>343026</v>
      </c>
      <c r="D410" s="628">
        <v>72985</v>
      </c>
      <c r="E410" s="628">
        <v>416657</v>
      </c>
      <c r="F410" s="628">
        <v>407339</v>
      </c>
      <c r="G410" s="628">
        <v>20344</v>
      </c>
      <c r="H410" s="628">
        <v>19688</v>
      </c>
      <c r="I410" s="628">
        <v>0</v>
      </c>
      <c r="J410" s="628">
        <v>0</v>
      </c>
      <c r="K410" s="628">
        <v>0</v>
      </c>
      <c r="L410" s="628">
        <v>0</v>
      </c>
      <c r="M410" s="628">
        <v>0</v>
      </c>
      <c r="N410" s="628">
        <v>0</v>
      </c>
      <c r="O410" s="628">
        <v>1280039</v>
      </c>
      <c r="P410" s="675">
        <v>7.7578121212121216</v>
      </c>
    </row>
    <row r="411" spans="2:28">
      <c r="B411" s="628">
        <v>0</v>
      </c>
      <c r="C411" s="628">
        <v>342464</v>
      </c>
      <c r="D411" s="628">
        <v>72404</v>
      </c>
      <c r="E411" s="628">
        <v>416076</v>
      </c>
      <c r="F411" s="628">
        <v>406814</v>
      </c>
      <c r="G411" s="628">
        <v>19762</v>
      </c>
      <c r="H411" s="628">
        <v>19125</v>
      </c>
      <c r="I411" s="628">
        <v>0</v>
      </c>
      <c r="J411" s="628">
        <v>0</v>
      </c>
      <c r="K411" s="628">
        <v>0</v>
      </c>
      <c r="L411" s="628">
        <v>0</v>
      </c>
      <c r="M411" s="628">
        <v>0</v>
      </c>
      <c r="N411" s="701">
        <v>0</v>
      </c>
      <c r="O411" s="702">
        <v>1276645</v>
      </c>
      <c r="P411" s="695">
        <v>7.7372424242424245</v>
      </c>
    </row>
    <row r="412" spans="2:28" s="709" customFormat="1">
      <c r="B412" s="709">
        <v>0</v>
      </c>
      <c r="C412" s="709">
        <v>0</v>
      </c>
      <c r="D412" s="709">
        <v>91789</v>
      </c>
      <c r="E412" s="709">
        <v>1198130</v>
      </c>
      <c r="F412" s="709">
        <v>147934</v>
      </c>
      <c r="G412" s="709">
        <v>0</v>
      </c>
      <c r="H412" s="709">
        <v>0</v>
      </c>
      <c r="I412" s="709">
        <v>0</v>
      </c>
      <c r="J412" s="709">
        <v>0</v>
      </c>
      <c r="K412" s="709">
        <v>0</v>
      </c>
      <c r="L412" s="709">
        <v>0</v>
      </c>
      <c r="M412" s="709">
        <v>0</v>
      </c>
      <c r="N412" s="709">
        <v>0</v>
      </c>
      <c r="O412" s="709">
        <v>1437853</v>
      </c>
      <c r="P412" s="709">
        <v>8.1051465614430658</v>
      </c>
    </row>
    <row r="413" spans="2:28">
      <c r="B413" s="628">
        <v>0</v>
      </c>
      <c r="C413" s="652">
        <v>704191</v>
      </c>
      <c r="D413" s="652">
        <v>0</v>
      </c>
      <c r="E413" s="652">
        <v>0</v>
      </c>
      <c r="F413" s="652">
        <v>0</v>
      </c>
      <c r="G413" s="652">
        <v>0</v>
      </c>
      <c r="H413" s="652">
        <v>0</v>
      </c>
      <c r="I413" s="652">
        <v>0</v>
      </c>
      <c r="J413" s="652">
        <v>0</v>
      </c>
      <c r="K413" s="652">
        <v>0</v>
      </c>
      <c r="L413" s="652">
        <v>0</v>
      </c>
      <c r="M413" s="652">
        <v>0</v>
      </c>
      <c r="N413" s="652">
        <v>0</v>
      </c>
      <c r="O413" s="628">
        <v>704191</v>
      </c>
      <c r="P413" s="628">
        <v>6.2930384271671134</v>
      </c>
    </row>
    <row r="414" spans="2:28">
      <c r="B414" s="628">
        <v>0</v>
      </c>
      <c r="C414" s="704">
        <v>0</v>
      </c>
      <c r="D414" s="704">
        <v>0</v>
      </c>
      <c r="E414" s="704">
        <v>0</v>
      </c>
      <c r="F414" s="704">
        <v>0</v>
      </c>
      <c r="G414" s="704">
        <v>47960</v>
      </c>
      <c r="H414" s="704">
        <v>0</v>
      </c>
      <c r="I414" s="704">
        <v>0</v>
      </c>
      <c r="J414" s="704">
        <v>0</v>
      </c>
      <c r="K414" s="704">
        <v>0</v>
      </c>
      <c r="L414" s="704">
        <v>0</v>
      </c>
      <c r="M414" s="704">
        <v>0</v>
      </c>
      <c r="N414" s="704">
        <v>0</v>
      </c>
      <c r="O414" s="628">
        <v>47960</v>
      </c>
      <c r="P414" s="628">
        <v>12.297435897435898</v>
      </c>
    </row>
    <row r="415" spans="2:28">
      <c r="B415" s="628">
        <v>0</v>
      </c>
      <c r="C415" s="704">
        <v>0</v>
      </c>
      <c r="D415" s="704">
        <v>25575</v>
      </c>
      <c r="E415" s="704">
        <v>25575</v>
      </c>
      <c r="F415" s="704">
        <v>1672688</v>
      </c>
      <c r="G415" s="704">
        <v>0</v>
      </c>
      <c r="H415" s="704">
        <v>0</v>
      </c>
      <c r="I415" s="704">
        <v>0</v>
      </c>
      <c r="J415" s="704">
        <v>0</v>
      </c>
      <c r="K415" s="704">
        <v>0</v>
      </c>
      <c r="L415" s="704">
        <v>0</v>
      </c>
      <c r="M415" s="704">
        <v>0</v>
      </c>
      <c r="N415" s="704">
        <v>0</v>
      </c>
      <c r="O415" s="628">
        <v>1723838</v>
      </c>
      <c r="P415" s="628">
        <v>7.9512822878228784</v>
      </c>
    </row>
    <row r="416" spans="2:28">
      <c r="B416" s="628">
        <v>0</v>
      </c>
      <c r="C416" s="628">
        <v>0</v>
      </c>
      <c r="D416" s="628">
        <v>128457</v>
      </c>
      <c r="E416" s="628">
        <v>750771</v>
      </c>
      <c r="F416" s="628">
        <v>2059776</v>
      </c>
      <c r="G416" s="628">
        <v>0</v>
      </c>
      <c r="H416" s="628">
        <v>0</v>
      </c>
      <c r="I416" s="628">
        <v>0</v>
      </c>
      <c r="J416" s="628">
        <v>0</v>
      </c>
      <c r="K416" s="628">
        <v>0</v>
      </c>
      <c r="L416" s="628">
        <v>0</v>
      </c>
      <c r="M416" s="628">
        <v>0</v>
      </c>
      <c r="N416" s="628">
        <v>0</v>
      </c>
      <c r="O416" s="628">
        <v>2939004</v>
      </c>
      <c r="P416" s="628">
        <v>7.7382938388625595</v>
      </c>
    </row>
    <row r="417" spans="2:45">
      <c r="B417" s="628">
        <v>0</v>
      </c>
      <c r="C417" s="628">
        <v>0</v>
      </c>
      <c r="D417" s="628">
        <v>5352750</v>
      </c>
      <c r="E417" s="628">
        <v>5940375</v>
      </c>
      <c r="F417" s="628">
        <v>3546818</v>
      </c>
      <c r="G417" s="628">
        <v>46500</v>
      </c>
      <c r="H417" s="628">
        <v>0</v>
      </c>
      <c r="I417" s="628">
        <v>0</v>
      </c>
      <c r="J417" s="628">
        <v>0</v>
      </c>
      <c r="K417" s="628">
        <v>0</v>
      </c>
      <c r="L417" s="628">
        <v>0</v>
      </c>
      <c r="M417" s="628">
        <v>0</v>
      </c>
      <c r="N417" s="628">
        <v>0</v>
      </c>
      <c r="O417" s="628">
        <v>14886443</v>
      </c>
      <c r="P417" s="628">
        <v>7.4637468037102028</v>
      </c>
    </row>
    <row r="418" spans="2:45">
      <c r="B418" s="628">
        <v>0</v>
      </c>
      <c r="C418" s="628">
        <v>0</v>
      </c>
      <c r="D418" s="628">
        <v>15500</v>
      </c>
      <c r="E418" s="628">
        <v>15500</v>
      </c>
      <c r="F418" s="628">
        <v>169960</v>
      </c>
      <c r="G418" s="710">
        <v>0</v>
      </c>
      <c r="H418" s="710">
        <v>0</v>
      </c>
      <c r="I418" s="710">
        <v>0</v>
      </c>
      <c r="J418" s="710">
        <v>0</v>
      </c>
      <c r="K418" s="710">
        <v>0</v>
      </c>
      <c r="L418" s="710">
        <v>0</v>
      </c>
      <c r="M418" s="628">
        <v>0</v>
      </c>
      <c r="N418" s="628">
        <v>0</v>
      </c>
      <c r="O418" s="628">
        <v>200960</v>
      </c>
      <c r="P418" s="628">
        <v>10.048</v>
      </c>
    </row>
    <row r="419" spans="2:45">
      <c r="B419" s="628">
        <v>0</v>
      </c>
      <c r="C419" s="628">
        <v>1792510</v>
      </c>
      <c r="D419" s="628">
        <v>364061</v>
      </c>
      <c r="E419" s="628">
        <v>2329870</v>
      </c>
      <c r="F419" s="628">
        <v>2006430</v>
      </c>
      <c r="G419" s="647">
        <v>18600</v>
      </c>
      <c r="H419" s="647">
        <v>0</v>
      </c>
      <c r="I419" s="647">
        <v>0</v>
      </c>
      <c r="J419" s="647">
        <v>0</v>
      </c>
      <c r="K419" s="647">
        <v>0</v>
      </c>
      <c r="L419" s="647">
        <v>0</v>
      </c>
      <c r="M419" s="628">
        <v>0</v>
      </c>
      <c r="N419" s="628">
        <v>0</v>
      </c>
      <c r="O419" s="628">
        <v>6511471</v>
      </c>
      <c r="P419" s="628">
        <v>7.098518478142374</v>
      </c>
    </row>
    <row r="420" spans="2:45">
      <c r="B420" s="628">
        <v>0</v>
      </c>
      <c r="C420" s="711">
        <v>0</v>
      </c>
      <c r="D420" s="711">
        <v>18600</v>
      </c>
      <c r="E420" s="711">
        <v>18600</v>
      </c>
      <c r="F420" s="711">
        <v>3140972</v>
      </c>
      <c r="G420" s="711">
        <v>0</v>
      </c>
      <c r="H420" s="711">
        <v>0</v>
      </c>
      <c r="I420" s="711">
        <v>0</v>
      </c>
      <c r="J420" s="711">
        <v>0</v>
      </c>
      <c r="K420" s="711">
        <v>0</v>
      </c>
      <c r="L420" s="711">
        <v>0</v>
      </c>
      <c r="M420" s="711">
        <v>0</v>
      </c>
      <c r="N420" s="711">
        <v>0</v>
      </c>
      <c r="O420" s="711">
        <v>3178172</v>
      </c>
      <c r="P420" s="711">
        <v>7.94543</v>
      </c>
      <c r="Q420" s="711"/>
      <c r="R420" s="711"/>
      <c r="S420" s="711"/>
      <c r="T420" s="711"/>
      <c r="U420" s="711"/>
      <c r="V420" s="711"/>
      <c r="W420" s="711"/>
      <c r="X420" s="711"/>
      <c r="Y420" s="711"/>
      <c r="Z420" s="711"/>
      <c r="AA420" s="711"/>
      <c r="AB420" s="711">
        <v>38929</v>
      </c>
      <c r="AC420" s="711">
        <v>38960</v>
      </c>
      <c r="AD420" s="711">
        <v>38990</v>
      </c>
      <c r="AE420" s="711">
        <v>39021</v>
      </c>
      <c r="AF420" s="711">
        <v>39051</v>
      </c>
      <c r="AG420" s="711">
        <v>39082</v>
      </c>
      <c r="AH420" s="711">
        <v>39113</v>
      </c>
      <c r="AI420" s="711">
        <v>39141</v>
      </c>
      <c r="AJ420" s="711">
        <v>39172</v>
      </c>
      <c r="AK420" s="711">
        <v>39202</v>
      </c>
      <c r="AL420" s="711">
        <v>39233</v>
      </c>
      <c r="AM420" s="711">
        <v>39263</v>
      </c>
      <c r="AN420" s="711">
        <v>39294</v>
      </c>
      <c r="AO420" s="711">
        <v>39325</v>
      </c>
      <c r="AP420" s="711">
        <v>39355</v>
      </c>
      <c r="AQ420" s="711">
        <v>39386</v>
      </c>
      <c r="AR420" s="711">
        <v>39416</v>
      </c>
      <c r="AS420" s="711">
        <v>39447</v>
      </c>
    </row>
    <row r="421" spans="2:45">
      <c r="B421" s="628">
        <v>0</v>
      </c>
      <c r="C421" s="628">
        <v>0</v>
      </c>
      <c r="D421" s="628">
        <v>14875</v>
      </c>
      <c r="E421" s="628">
        <v>27125</v>
      </c>
      <c r="F421" s="628">
        <v>410642</v>
      </c>
      <c r="G421" s="628">
        <v>0</v>
      </c>
      <c r="H421" s="628">
        <v>0</v>
      </c>
      <c r="I421" s="628">
        <v>0</v>
      </c>
      <c r="J421" s="628">
        <v>0</v>
      </c>
      <c r="K421" s="628">
        <v>0</v>
      </c>
      <c r="L421" s="628">
        <v>0</v>
      </c>
      <c r="M421" s="628">
        <v>0</v>
      </c>
      <c r="N421" s="628">
        <v>0</v>
      </c>
      <c r="O421" s="628">
        <v>452642</v>
      </c>
      <c r="P421" s="628">
        <v>9.0528399999999998</v>
      </c>
      <c r="AB421" s="628">
        <v>5.43</v>
      </c>
      <c r="AC421" s="628">
        <v>5.89</v>
      </c>
      <c r="AD421" s="628">
        <v>3.6150000000000002</v>
      </c>
      <c r="AE421" s="628">
        <v>3.49</v>
      </c>
      <c r="AF421" s="628">
        <v>5.99</v>
      </c>
      <c r="AG421" s="628">
        <v>6.85</v>
      </c>
      <c r="AH421" s="628">
        <v>7.38</v>
      </c>
      <c r="AI421" s="628">
        <v>7.24</v>
      </c>
      <c r="AJ421" s="628">
        <v>7.29</v>
      </c>
      <c r="AK421" s="628">
        <v>7.13</v>
      </c>
      <c r="AL421" s="628">
        <v>6.5</v>
      </c>
      <c r="AM421" s="628">
        <v>6.55</v>
      </c>
      <c r="AN421" s="628">
        <v>6.7</v>
      </c>
      <c r="AO421" s="628">
        <v>6.65</v>
      </c>
      <c r="AP421" s="628">
        <v>6.89</v>
      </c>
      <c r="AQ421" s="628">
        <v>7.71</v>
      </c>
      <c r="AR421" s="628">
        <v>9.86</v>
      </c>
      <c r="AS421" s="628">
        <v>10.050000000000001</v>
      </c>
    </row>
    <row r="422" spans="2:45">
      <c r="B422" s="628">
        <v>0</v>
      </c>
      <c r="C422" s="628">
        <v>0</v>
      </c>
      <c r="D422" s="628">
        <v>27900</v>
      </c>
      <c r="E422" s="628">
        <v>27900</v>
      </c>
      <c r="F422" s="628">
        <v>263637</v>
      </c>
      <c r="G422" s="628">
        <v>0</v>
      </c>
      <c r="H422" s="628">
        <v>0</v>
      </c>
      <c r="I422" s="628">
        <v>0</v>
      </c>
      <c r="J422" s="628">
        <v>0</v>
      </c>
      <c r="K422" s="628">
        <v>0</v>
      </c>
      <c r="L422" s="628">
        <v>0</v>
      </c>
      <c r="M422" s="628">
        <v>0</v>
      </c>
      <c r="N422" s="628">
        <v>0</v>
      </c>
      <c r="O422" s="628">
        <v>319437</v>
      </c>
      <c r="P422" s="628">
        <v>10.6479</v>
      </c>
      <c r="AB422" s="628">
        <v>4.75</v>
      </c>
      <c r="AC422" s="628">
        <v>5.5</v>
      </c>
      <c r="AD422" s="628">
        <v>4.12</v>
      </c>
      <c r="AE422" s="628">
        <v>2.42</v>
      </c>
    </row>
    <row r="423" spans="2:45">
      <c r="B423" s="628">
        <v>0</v>
      </c>
      <c r="C423" s="628">
        <v>0</v>
      </c>
      <c r="D423" s="628">
        <v>20400</v>
      </c>
      <c r="E423" s="628">
        <v>37200</v>
      </c>
      <c r="F423" s="628">
        <v>177575</v>
      </c>
      <c r="G423" s="628">
        <v>0</v>
      </c>
      <c r="H423" s="628">
        <v>0</v>
      </c>
      <c r="I423" s="628">
        <v>0</v>
      </c>
      <c r="J423" s="628">
        <v>0</v>
      </c>
      <c r="K423" s="628">
        <v>0</v>
      </c>
      <c r="L423" s="628">
        <v>0</v>
      </c>
      <c r="M423" s="628">
        <v>0</v>
      </c>
      <c r="N423" s="628">
        <v>0</v>
      </c>
      <c r="O423" s="628">
        <v>235175</v>
      </c>
      <c r="P423" s="628">
        <v>11.758749999999999</v>
      </c>
      <c r="AB423" s="628">
        <v>6.53</v>
      </c>
      <c r="AC423" s="628">
        <v>6.53</v>
      </c>
      <c r="AD423" s="628">
        <v>6.53</v>
      </c>
      <c r="AE423" s="628">
        <v>6.53</v>
      </c>
      <c r="AF423" s="628">
        <v>5.3721153573889886</v>
      </c>
    </row>
    <row r="424" spans="2:45">
      <c r="B424" s="628">
        <v>0</v>
      </c>
      <c r="C424" s="628">
        <v>0</v>
      </c>
      <c r="D424" s="628">
        <v>63581</v>
      </c>
      <c r="E424" s="628">
        <v>63581</v>
      </c>
      <c r="F424" s="628">
        <v>620142</v>
      </c>
      <c r="G424" s="628">
        <v>0</v>
      </c>
      <c r="H424" s="628">
        <v>0</v>
      </c>
      <c r="I424" s="628">
        <v>0</v>
      </c>
      <c r="J424" s="628">
        <v>0</v>
      </c>
      <c r="K424" s="628">
        <v>0</v>
      </c>
      <c r="L424" s="628">
        <v>0</v>
      </c>
      <c r="M424" s="628">
        <v>0</v>
      </c>
      <c r="N424" s="628">
        <v>0</v>
      </c>
      <c r="O424" s="628">
        <v>747304</v>
      </c>
      <c r="P424" s="628">
        <v>10.675771428571428</v>
      </c>
    </row>
    <row r="425" spans="2:45">
      <c r="B425" s="628">
        <v>0</v>
      </c>
      <c r="C425" s="628">
        <v>0</v>
      </c>
      <c r="D425" s="628">
        <v>206286</v>
      </c>
      <c r="E425" s="628">
        <v>39738</v>
      </c>
      <c r="F425" s="628">
        <v>3491153</v>
      </c>
      <c r="G425" s="628">
        <v>23250</v>
      </c>
      <c r="H425" s="628">
        <v>0</v>
      </c>
      <c r="I425" s="628">
        <v>0</v>
      </c>
      <c r="J425" s="628">
        <v>0</v>
      </c>
      <c r="K425" s="628">
        <v>0</v>
      </c>
      <c r="L425" s="628">
        <v>0</v>
      </c>
      <c r="M425" s="628">
        <v>0</v>
      </c>
      <c r="N425" s="628">
        <v>0</v>
      </c>
      <c r="O425" s="628">
        <v>3760427</v>
      </c>
      <c r="P425" s="628">
        <v>7.8818423810521905</v>
      </c>
    </row>
    <row r="426" spans="2:45">
      <c r="B426" s="628">
        <v>0</v>
      </c>
      <c r="C426" s="628">
        <v>0</v>
      </c>
      <c r="D426" s="628">
        <v>2352270</v>
      </c>
      <c r="E426" s="628">
        <v>2516573</v>
      </c>
      <c r="F426" s="628">
        <v>2233832</v>
      </c>
      <c r="G426" s="628">
        <v>0</v>
      </c>
      <c r="H426" s="628">
        <v>0</v>
      </c>
      <c r="I426" s="628">
        <v>0</v>
      </c>
      <c r="J426" s="628">
        <v>0</v>
      </c>
      <c r="K426" s="628">
        <v>0</v>
      </c>
      <c r="L426" s="628">
        <v>0</v>
      </c>
      <c r="M426" s="628">
        <v>0</v>
      </c>
      <c r="N426" s="628">
        <v>0</v>
      </c>
      <c r="O426" s="628">
        <v>7102675</v>
      </c>
      <c r="P426" s="628">
        <v>7.891861111111111</v>
      </c>
    </row>
    <row r="427" spans="2:45">
      <c r="B427" s="628">
        <v>0</v>
      </c>
      <c r="C427" s="628">
        <v>0</v>
      </c>
      <c r="D427" s="628">
        <v>0</v>
      </c>
      <c r="E427" s="628">
        <v>0</v>
      </c>
      <c r="F427" s="628">
        <v>794790</v>
      </c>
      <c r="G427" s="628">
        <v>0</v>
      </c>
      <c r="H427" s="628">
        <v>0</v>
      </c>
      <c r="I427" s="628">
        <v>0</v>
      </c>
      <c r="J427" s="628">
        <v>0</v>
      </c>
      <c r="K427" s="628">
        <v>0</v>
      </c>
      <c r="L427" s="628">
        <v>0</v>
      </c>
      <c r="M427" s="628">
        <v>0</v>
      </c>
      <c r="N427" s="628">
        <v>0</v>
      </c>
      <c r="O427" s="628">
        <v>794790</v>
      </c>
      <c r="P427" s="628">
        <v>7.9478999999999997</v>
      </c>
    </row>
    <row r="428" spans="2:45">
      <c r="B428" s="628">
        <v>0</v>
      </c>
      <c r="C428" s="628">
        <v>0</v>
      </c>
      <c r="D428" s="628">
        <v>176732</v>
      </c>
      <c r="E428" s="628">
        <v>837347</v>
      </c>
      <c r="F428" s="628">
        <v>2226468</v>
      </c>
      <c r="G428" s="628">
        <v>0</v>
      </c>
      <c r="H428" s="628">
        <v>0</v>
      </c>
      <c r="I428" s="628">
        <v>0</v>
      </c>
      <c r="J428" s="628">
        <v>0</v>
      </c>
      <c r="K428" s="628">
        <v>0</v>
      </c>
      <c r="L428" s="628">
        <v>0</v>
      </c>
      <c r="M428" s="628">
        <v>0</v>
      </c>
      <c r="N428" s="628">
        <v>0</v>
      </c>
      <c r="O428" s="628">
        <v>3240547</v>
      </c>
      <c r="P428" s="628">
        <v>8.5322459189046871</v>
      </c>
    </row>
    <row r="429" spans="2:45">
      <c r="B429" s="628">
        <v>0</v>
      </c>
      <c r="C429" s="628">
        <v>0</v>
      </c>
      <c r="D429" s="628">
        <v>23375</v>
      </c>
      <c r="E429" s="628">
        <v>42625</v>
      </c>
      <c r="F429" s="628">
        <v>421139</v>
      </c>
      <c r="G429" s="628">
        <v>0</v>
      </c>
      <c r="H429" s="628">
        <v>0</v>
      </c>
      <c r="I429" s="628">
        <v>0</v>
      </c>
      <c r="J429" s="628">
        <v>0</v>
      </c>
      <c r="K429" s="628">
        <v>0</v>
      </c>
      <c r="L429" s="628">
        <v>0</v>
      </c>
      <c r="M429" s="628">
        <v>0</v>
      </c>
      <c r="N429" s="628">
        <v>0</v>
      </c>
      <c r="O429" s="628">
        <v>487139</v>
      </c>
      <c r="P429" s="628">
        <v>9.7427799999999998</v>
      </c>
    </row>
    <row r="430" spans="2:45">
      <c r="B430" s="628">
        <v>0</v>
      </c>
      <c r="C430" s="628">
        <v>0</v>
      </c>
      <c r="D430" s="628">
        <v>13950</v>
      </c>
      <c r="E430" s="628">
        <v>13950</v>
      </c>
      <c r="F430" s="628">
        <v>171558</v>
      </c>
      <c r="G430" s="628">
        <v>0</v>
      </c>
      <c r="H430" s="628">
        <v>0</v>
      </c>
      <c r="I430" s="628">
        <v>0</v>
      </c>
      <c r="J430" s="628">
        <v>0</v>
      </c>
      <c r="K430" s="628">
        <v>0</v>
      </c>
      <c r="L430" s="628">
        <v>0</v>
      </c>
      <c r="M430" s="628">
        <v>0</v>
      </c>
      <c r="N430" s="628">
        <v>0</v>
      </c>
      <c r="O430" s="628">
        <v>199458</v>
      </c>
      <c r="P430" s="628">
        <v>9.9728999999999992</v>
      </c>
    </row>
    <row r="431" spans="2:45">
      <c r="B431" s="628">
        <v>0</v>
      </c>
      <c r="C431" s="628">
        <v>0</v>
      </c>
      <c r="D431" s="628">
        <v>20400</v>
      </c>
      <c r="E431" s="628">
        <v>37200</v>
      </c>
      <c r="F431" s="628">
        <v>334711</v>
      </c>
      <c r="G431" s="628">
        <v>0</v>
      </c>
      <c r="H431" s="628">
        <v>0</v>
      </c>
      <c r="I431" s="628">
        <v>0</v>
      </c>
      <c r="J431" s="628">
        <v>0</v>
      </c>
      <c r="K431" s="628">
        <v>0</v>
      </c>
      <c r="L431" s="628">
        <v>0</v>
      </c>
      <c r="M431" s="628">
        <v>0</v>
      </c>
      <c r="N431" s="628">
        <v>0</v>
      </c>
      <c r="O431" s="628">
        <v>392311</v>
      </c>
      <c r="P431" s="628">
        <v>9.8077749999999995</v>
      </c>
    </row>
    <row r="432" spans="2:45">
      <c r="B432" s="628">
        <v>0</v>
      </c>
      <c r="C432" s="628">
        <v>2639068</v>
      </c>
      <c r="D432" s="628">
        <v>53475</v>
      </c>
      <c r="E432" s="628">
        <v>53475</v>
      </c>
      <c r="F432" s="628">
        <v>437234</v>
      </c>
      <c r="G432" s="628">
        <v>24150</v>
      </c>
      <c r="H432" s="628">
        <v>0</v>
      </c>
      <c r="I432" s="628">
        <v>0</v>
      </c>
      <c r="J432" s="628">
        <v>0</v>
      </c>
      <c r="K432" s="628">
        <v>0</v>
      </c>
      <c r="L432" s="628">
        <v>0</v>
      </c>
      <c r="M432" s="628">
        <v>0</v>
      </c>
      <c r="N432" s="628">
        <v>0</v>
      </c>
      <c r="O432" s="628">
        <v>3207402</v>
      </c>
      <c r="P432" s="628">
        <v>7.1275599999999999</v>
      </c>
    </row>
    <row r="433" spans="2:27">
      <c r="B433" s="628">
        <v>0</v>
      </c>
      <c r="C433" s="628">
        <v>0</v>
      </c>
      <c r="D433" s="628">
        <v>0</v>
      </c>
      <c r="E433" s="628">
        <v>0</v>
      </c>
      <c r="F433" s="628">
        <v>0</v>
      </c>
      <c r="G433" s="628">
        <v>0</v>
      </c>
      <c r="H433" s="628">
        <v>0</v>
      </c>
      <c r="I433" s="628">
        <v>0</v>
      </c>
      <c r="J433" s="628">
        <v>0</v>
      </c>
      <c r="K433" s="628">
        <v>0</v>
      </c>
      <c r="L433" s="628">
        <v>0</v>
      </c>
      <c r="M433" s="628">
        <v>0</v>
      </c>
      <c r="N433" s="628">
        <v>0</v>
      </c>
      <c r="O433" s="628">
        <v>0</v>
      </c>
      <c r="P433" s="628" t="e">
        <v>#DIV/0!</v>
      </c>
    </row>
    <row r="434" spans="2:27">
      <c r="B434" s="628">
        <v>0</v>
      </c>
      <c r="C434" s="628">
        <v>0</v>
      </c>
      <c r="D434" s="628">
        <v>0</v>
      </c>
      <c r="E434" s="628">
        <v>0</v>
      </c>
      <c r="F434" s="628">
        <v>0</v>
      </c>
      <c r="G434" s="628">
        <v>0</v>
      </c>
      <c r="H434" s="628">
        <v>0</v>
      </c>
      <c r="I434" s="628">
        <v>0</v>
      </c>
      <c r="J434" s="628">
        <v>0</v>
      </c>
      <c r="K434" s="628">
        <v>0</v>
      </c>
      <c r="L434" s="628">
        <v>0</v>
      </c>
      <c r="M434" s="628">
        <v>0</v>
      </c>
      <c r="N434" s="628">
        <v>0</v>
      </c>
      <c r="O434" s="628">
        <v>0</v>
      </c>
      <c r="P434" s="628" t="e">
        <v>#DIV/0!</v>
      </c>
    </row>
    <row r="435" spans="2:27">
      <c r="B435" s="628">
        <v>0</v>
      </c>
      <c r="C435" s="628">
        <v>0</v>
      </c>
      <c r="D435" s="628">
        <v>0</v>
      </c>
      <c r="E435" s="628">
        <v>0</v>
      </c>
      <c r="F435" s="628">
        <v>0</v>
      </c>
      <c r="G435" s="628">
        <v>0</v>
      </c>
      <c r="H435" s="628">
        <v>0</v>
      </c>
      <c r="I435" s="628">
        <v>0</v>
      </c>
      <c r="J435" s="628">
        <v>0</v>
      </c>
      <c r="K435" s="628">
        <v>0</v>
      </c>
      <c r="L435" s="628">
        <v>0</v>
      </c>
      <c r="M435" s="628">
        <v>0</v>
      </c>
      <c r="N435" s="628">
        <v>0</v>
      </c>
      <c r="O435" s="628">
        <v>0</v>
      </c>
      <c r="P435" s="628" t="e">
        <v>#DIV/0!</v>
      </c>
    </row>
    <row r="436" spans="2:27">
      <c r="B436" s="628">
        <v>0</v>
      </c>
      <c r="C436" s="628">
        <v>0</v>
      </c>
      <c r="D436" s="628">
        <v>0</v>
      </c>
      <c r="E436" s="628">
        <v>0</v>
      </c>
      <c r="F436" s="628">
        <v>0</v>
      </c>
      <c r="G436" s="628">
        <v>0</v>
      </c>
      <c r="H436" s="628">
        <v>0</v>
      </c>
      <c r="I436" s="628">
        <v>0</v>
      </c>
      <c r="J436" s="628">
        <v>0</v>
      </c>
      <c r="K436" s="628">
        <v>0</v>
      </c>
      <c r="L436" s="628">
        <v>0</v>
      </c>
      <c r="M436" s="628">
        <v>0</v>
      </c>
      <c r="N436" s="628">
        <v>0</v>
      </c>
      <c r="O436" s="628">
        <v>0</v>
      </c>
      <c r="P436" s="628" t="e">
        <v>#DIV/0!</v>
      </c>
    </row>
    <row r="437" spans="2:27">
      <c r="B437" s="628">
        <v>0</v>
      </c>
      <c r="C437" s="628">
        <v>0</v>
      </c>
      <c r="D437" s="628">
        <v>0</v>
      </c>
      <c r="E437" s="628">
        <v>0</v>
      </c>
      <c r="F437" s="628">
        <v>0</v>
      </c>
      <c r="G437" s="628">
        <v>0</v>
      </c>
      <c r="H437" s="628">
        <v>0</v>
      </c>
      <c r="I437" s="628">
        <v>0</v>
      </c>
      <c r="J437" s="628">
        <v>0</v>
      </c>
      <c r="K437" s="628">
        <v>0</v>
      </c>
      <c r="L437" s="628">
        <v>0</v>
      </c>
      <c r="M437" s="628">
        <v>0</v>
      </c>
      <c r="N437" s="628">
        <v>0</v>
      </c>
      <c r="O437" s="628">
        <v>0</v>
      </c>
      <c r="P437" s="628" t="e">
        <v>#DIV/0!</v>
      </c>
    </row>
    <row r="438" spans="2:27">
      <c r="B438" s="628">
        <v>0</v>
      </c>
      <c r="C438" s="628">
        <v>0</v>
      </c>
      <c r="D438" s="628">
        <v>0</v>
      </c>
      <c r="E438" s="628">
        <v>0</v>
      </c>
      <c r="F438" s="628">
        <v>0</v>
      </c>
      <c r="G438" s="628">
        <v>0</v>
      </c>
      <c r="H438" s="628">
        <v>0</v>
      </c>
      <c r="I438" s="628">
        <v>0</v>
      </c>
      <c r="J438" s="628">
        <v>0</v>
      </c>
      <c r="K438" s="628">
        <v>0</v>
      </c>
      <c r="L438" s="628">
        <v>0</v>
      </c>
      <c r="M438" s="628">
        <v>0</v>
      </c>
      <c r="N438" s="628">
        <v>0</v>
      </c>
      <c r="O438" s="628">
        <v>0</v>
      </c>
      <c r="P438" s="628" t="e">
        <v>#DIV/0!</v>
      </c>
    </row>
    <row r="439" spans="2:27">
      <c r="B439" s="628" t="s">
        <v>505</v>
      </c>
      <c r="C439" s="628">
        <v>1590000</v>
      </c>
      <c r="D439" s="628">
        <v>310000</v>
      </c>
      <c r="E439" s="628">
        <v>-511500</v>
      </c>
      <c r="F439" s="628">
        <v>-266000</v>
      </c>
      <c r="G439" s="628">
        <v>0</v>
      </c>
      <c r="H439" s="628">
        <v>0</v>
      </c>
      <c r="I439" s="628">
        <v>0</v>
      </c>
      <c r="J439" s="628">
        <v>0</v>
      </c>
      <c r="K439" s="628">
        <v>0</v>
      </c>
      <c r="L439" s="628">
        <v>0</v>
      </c>
      <c r="M439" s="628">
        <v>0</v>
      </c>
      <c r="N439" s="628">
        <v>0</v>
      </c>
      <c r="O439" s="628">
        <v>1122500</v>
      </c>
      <c r="P439" s="628" t="e">
        <v>#DIV/0!</v>
      </c>
    </row>
    <row r="440" spans="2:27">
      <c r="B440" s="628" t="s">
        <v>504</v>
      </c>
      <c r="C440" s="712">
        <v>7.9537157321616201</v>
      </c>
      <c r="D440" s="712">
        <v>8.0510298839219558</v>
      </c>
      <c r="E440" s="712">
        <v>7.8207500756124606</v>
      </c>
      <c r="F440" s="712">
        <v>7.7915080940531771</v>
      </c>
      <c r="G440" s="628">
        <v>65.536153846153852</v>
      </c>
      <c r="H440" s="712">
        <v>0</v>
      </c>
      <c r="I440" s="712">
        <v>0</v>
      </c>
      <c r="J440" s="712">
        <v>0</v>
      </c>
      <c r="K440" s="712">
        <v>0</v>
      </c>
      <c r="L440" s="628">
        <v>0</v>
      </c>
      <c r="M440" s="628">
        <v>0</v>
      </c>
      <c r="N440" s="628">
        <v>0</v>
      </c>
      <c r="O440" s="628">
        <v>97.153157631903071</v>
      </c>
      <c r="P440" s="628" t="e">
        <v>#DIV/0!</v>
      </c>
    </row>
    <row r="441" spans="2:27">
      <c r="B441" s="628" t="s">
        <v>506</v>
      </c>
      <c r="C441" s="712">
        <v>40463850</v>
      </c>
      <c r="D441" s="712">
        <v>58601237.5</v>
      </c>
      <c r="E441" s="712">
        <v>60021967.5</v>
      </c>
      <c r="F441" s="712">
        <v>53778270</v>
      </c>
      <c r="G441" s="628">
        <v>34775102.5</v>
      </c>
      <c r="H441" s="712">
        <v>9740625</v>
      </c>
      <c r="I441" s="712">
        <v>5661220</v>
      </c>
      <c r="J441" s="712">
        <v>5521350</v>
      </c>
      <c r="K441" s="712">
        <v>5837920</v>
      </c>
      <c r="L441" s="628">
        <v>5793745</v>
      </c>
      <c r="M441" s="628">
        <v>5812050</v>
      </c>
      <c r="N441" s="628">
        <v>6730255</v>
      </c>
      <c r="O441" s="628">
        <v>292737592.5</v>
      </c>
      <c r="P441" s="628">
        <v>7.2328212904740141</v>
      </c>
      <c r="T441" s="628">
        <v>7.3234385213828661</v>
      </c>
    </row>
    <row r="442" spans="2:27">
      <c r="B442" s="628" t="s">
        <v>508</v>
      </c>
      <c r="C442" s="628">
        <v>8326745</v>
      </c>
      <c r="D442" s="628">
        <v>9779586</v>
      </c>
      <c r="E442" s="628">
        <v>15514804</v>
      </c>
      <c r="F442" s="628">
        <v>27867887</v>
      </c>
      <c r="G442" s="628">
        <v>255591</v>
      </c>
      <c r="H442" s="628">
        <v>38813</v>
      </c>
      <c r="I442" s="628">
        <v>0</v>
      </c>
      <c r="J442" s="628">
        <v>0</v>
      </c>
      <c r="K442" s="628">
        <v>0</v>
      </c>
      <c r="L442" s="628">
        <v>0</v>
      </c>
      <c r="M442" s="628">
        <v>0</v>
      </c>
      <c r="N442" s="628">
        <v>0</v>
      </c>
      <c r="O442" s="628">
        <v>61783426</v>
      </c>
      <c r="P442" s="628">
        <v>7.8946365959621776</v>
      </c>
      <c r="Q442" s="628">
        <v>61783426</v>
      </c>
      <c r="T442" s="628">
        <v>1.7839999999999634E-2</v>
      </c>
    </row>
    <row r="443" spans="2:27">
      <c r="B443" s="710" t="s">
        <v>509</v>
      </c>
      <c r="C443" s="628">
        <v>48790595</v>
      </c>
      <c r="D443" s="628">
        <v>68380823.5</v>
      </c>
      <c r="E443" s="628">
        <v>75536771.5</v>
      </c>
      <c r="F443" s="628">
        <v>81646157</v>
      </c>
      <c r="G443" s="628">
        <v>35030693.5</v>
      </c>
      <c r="H443" s="628">
        <v>9779438</v>
      </c>
      <c r="I443" s="628">
        <v>5661220</v>
      </c>
      <c r="J443" s="649">
        <v>5521350</v>
      </c>
      <c r="K443" s="649">
        <v>5837920</v>
      </c>
      <c r="L443" s="628">
        <v>5793745</v>
      </c>
      <c r="M443" s="628">
        <v>5812050</v>
      </c>
      <c r="N443" s="628">
        <v>6730255</v>
      </c>
      <c r="O443" s="628">
        <v>354521018.5</v>
      </c>
      <c r="P443" s="628">
        <v>7.3400556631021026</v>
      </c>
      <c r="S443" s="628">
        <v>465</v>
      </c>
    </row>
    <row r="444" spans="2:27">
      <c r="B444" s="710" t="s">
        <v>510</v>
      </c>
      <c r="J444" s="649"/>
      <c r="K444" s="649"/>
      <c r="O444" s="628">
        <v>2000000</v>
      </c>
    </row>
    <row r="445" spans="2:27">
      <c r="B445" s="710" t="s">
        <v>367</v>
      </c>
      <c r="J445" s="649"/>
      <c r="K445" s="649"/>
    </row>
    <row r="446" spans="2:27">
      <c r="B446" s="710" t="s">
        <v>512</v>
      </c>
      <c r="J446" s="649"/>
      <c r="K446" s="649"/>
      <c r="N446" s="628">
        <v>48299500</v>
      </c>
      <c r="O446" s="628">
        <v>356521018.5</v>
      </c>
      <c r="P446" s="628">
        <v>7.3814639592542362</v>
      </c>
      <c r="Q446" s="628">
        <v>-658</v>
      </c>
      <c r="AA446" s="628">
        <v>22537507.210000001</v>
      </c>
    </row>
    <row r="447" spans="2:27">
      <c r="B447" s="710"/>
      <c r="J447" s="649"/>
      <c r="K447" s="649"/>
    </row>
    <row r="448" spans="2:27">
      <c r="B448" s="710" t="s">
        <v>515</v>
      </c>
      <c r="J448" s="649"/>
      <c r="K448" s="649"/>
      <c r="N448" s="628">
        <v>4162781</v>
      </c>
      <c r="O448" s="628">
        <v>28503067</v>
      </c>
      <c r="P448" s="628">
        <v>6.8471214315622175</v>
      </c>
      <c r="S448" s="628">
        <v>4162781</v>
      </c>
      <c r="T448" s="628">
        <v>28503067</v>
      </c>
    </row>
    <row r="449" spans="2:20">
      <c r="B449" s="710"/>
      <c r="J449" s="649"/>
      <c r="K449" s="649"/>
    </row>
    <row r="450" spans="2:20">
      <c r="B450" s="710" t="s">
        <v>516</v>
      </c>
      <c r="J450" s="649"/>
      <c r="K450" s="649"/>
      <c r="N450" s="628">
        <v>11255314</v>
      </c>
      <c r="O450" s="628">
        <v>79419045</v>
      </c>
      <c r="P450" s="628">
        <v>7.0561376608418032</v>
      </c>
      <c r="S450" s="628">
        <v>11255314</v>
      </c>
      <c r="T450" s="628">
        <v>79419045</v>
      </c>
    </row>
    <row r="451" spans="2:20">
      <c r="B451" s="710"/>
      <c r="J451" s="649"/>
      <c r="K451" s="649"/>
    </row>
    <row r="452" spans="2:20">
      <c r="B452" s="710" t="s">
        <v>518</v>
      </c>
      <c r="J452" s="649"/>
      <c r="K452" s="649"/>
      <c r="N452" s="628">
        <v>63717595</v>
      </c>
      <c r="O452" s="628">
        <v>464443130.5</v>
      </c>
      <c r="P452" s="628">
        <v>7.2890875824801613</v>
      </c>
    </row>
    <row r="453" spans="2:20">
      <c r="B453" s="710"/>
      <c r="J453" s="649"/>
      <c r="K453" s="649"/>
    </row>
    <row r="454" spans="2:20">
      <c r="B454" s="710" t="s">
        <v>531</v>
      </c>
      <c r="J454" s="649"/>
      <c r="K454" s="649"/>
    </row>
    <row r="455" spans="2:20">
      <c r="B455" s="710" t="s">
        <v>522</v>
      </c>
      <c r="C455" s="628">
        <v>6.9525515463917529</v>
      </c>
      <c r="D455" s="628">
        <v>7.3698343079922024</v>
      </c>
      <c r="E455" s="628">
        <v>7.5485087719298249</v>
      </c>
      <c r="F455" s="628">
        <v>7.4879239766081875</v>
      </c>
      <c r="G455" s="628">
        <v>7.0330877742946711</v>
      </c>
      <c r="H455" s="628">
        <v>7.0584239130434785</v>
      </c>
      <c r="I455" s="628">
        <v>6.4077192982456141</v>
      </c>
      <c r="J455" s="649">
        <v>6.457719298245614</v>
      </c>
      <c r="K455" s="649">
        <v>6.6077192982456143</v>
      </c>
      <c r="L455" s="628">
        <v>6.5577192982456136</v>
      </c>
      <c r="M455" s="628">
        <v>6.7977192982456138</v>
      </c>
      <c r="N455" s="628">
        <v>7.6177192982456141</v>
      </c>
    </row>
    <row r="456" spans="2:20">
      <c r="B456" s="710" t="s">
        <v>523</v>
      </c>
      <c r="C456" s="628">
        <v>7.9537157321616201</v>
      </c>
      <c r="D456" s="650">
        <v>8.0510298839219558</v>
      </c>
      <c r="E456" s="628">
        <v>7.8207500756124606</v>
      </c>
      <c r="F456" s="650">
        <v>7.7915080940531771</v>
      </c>
      <c r="G456" s="628">
        <v>65.536153846153852</v>
      </c>
      <c r="H456" s="628">
        <v>38813</v>
      </c>
      <c r="I456" s="628">
        <v>0</v>
      </c>
      <c r="J456" s="628">
        <v>0</v>
      </c>
      <c r="K456" s="628">
        <v>0</v>
      </c>
      <c r="L456" s="628">
        <v>0</v>
      </c>
      <c r="M456" s="628">
        <v>0</v>
      </c>
      <c r="N456" s="628">
        <v>0</v>
      </c>
    </row>
    <row r="457" spans="2:20">
      <c r="B457" s="710" t="s">
        <v>532</v>
      </c>
    </row>
    <row r="458" spans="2:20">
      <c r="B458" s="710"/>
    </row>
    <row r="459" spans="2:20">
      <c r="B459" s="710"/>
    </row>
    <row r="461" spans="2:20">
      <c r="C461" s="628">
        <v>2005</v>
      </c>
      <c r="F461" s="628">
        <v>2006</v>
      </c>
    </row>
    <row r="466" spans="2:56">
      <c r="C466" s="711">
        <v>38168</v>
      </c>
      <c r="D466" s="711">
        <v>38199</v>
      </c>
      <c r="E466" s="711">
        <v>38230</v>
      </c>
      <c r="F466" s="711">
        <v>38260</v>
      </c>
      <c r="G466" s="711">
        <v>38291</v>
      </c>
      <c r="H466" s="711">
        <v>38321</v>
      </c>
      <c r="I466" s="711">
        <v>38352</v>
      </c>
      <c r="J466" s="711">
        <v>38383</v>
      </c>
      <c r="K466" s="711">
        <v>38411</v>
      </c>
      <c r="L466" s="711">
        <v>38442</v>
      </c>
      <c r="M466" s="711">
        <v>38472</v>
      </c>
      <c r="N466" s="711">
        <v>38503</v>
      </c>
      <c r="O466" s="711">
        <v>38533</v>
      </c>
      <c r="P466" s="711">
        <v>38564</v>
      </c>
      <c r="Q466" s="711">
        <v>38595</v>
      </c>
      <c r="R466" s="711">
        <v>38625</v>
      </c>
      <c r="S466" s="711">
        <v>38656</v>
      </c>
      <c r="T466" s="711">
        <v>38686</v>
      </c>
      <c r="U466" s="711">
        <v>38717</v>
      </c>
      <c r="V466" s="711">
        <v>38748</v>
      </c>
      <c r="W466" s="711">
        <v>38776</v>
      </c>
      <c r="X466" s="711">
        <v>38807</v>
      </c>
      <c r="Y466" s="711">
        <v>38837</v>
      </c>
      <c r="Z466" s="711">
        <v>38868</v>
      </c>
      <c r="AA466" s="711">
        <v>38898</v>
      </c>
      <c r="AB466" s="711">
        <v>38929</v>
      </c>
      <c r="AC466" s="711">
        <v>38960</v>
      </c>
      <c r="AD466" s="711">
        <v>38990</v>
      </c>
      <c r="AE466" s="711">
        <v>39021</v>
      </c>
      <c r="AF466" s="711">
        <v>39051</v>
      </c>
      <c r="AG466" s="711">
        <v>39082</v>
      </c>
      <c r="AH466" s="711">
        <v>39113</v>
      </c>
      <c r="AI466" s="711">
        <v>39141</v>
      </c>
      <c r="AJ466" s="711">
        <v>39172</v>
      </c>
      <c r="AK466" s="711">
        <v>39202</v>
      </c>
      <c r="AL466" s="711">
        <v>39233</v>
      </c>
      <c r="AM466" s="711">
        <v>39263</v>
      </c>
      <c r="AN466" s="711">
        <v>39294</v>
      </c>
      <c r="AO466" s="711">
        <v>39325</v>
      </c>
      <c r="AP466" s="711">
        <v>39355</v>
      </c>
      <c r="AQ466" s="711">
        <v>39386</v>
      </c>
      <c r="AR466" s="711">
        <v>39416</v>
      </c>
      <c r="AS466" s="711">
        <v>39447</v>
      </c>
      <c r="AT466" s="711">
        <v>39478</v>
      </c>
      <c r="AU466" s="711">
        <v>39507</v>
      </c>
      <c r="AV466" s="711">
        <v>39538</v>
      </c>
      <c r="AW466" s="711">
        <v>39568</v>
      </c>
      <c r="AX466" s="711">
        <v>39599</v>
      </c>
      <c r="AY466" s="711">
        <v>39629</v>
      </c>
      <c r="AZ466" s="711">
        <v>39660</v>
      </c>
      <c r="BA466" s="711">
        <v>39691</v>
      </c>
      <c r="BB466" s="711">
        <v>39721</v>
      </c>
      <c r="BC466" s="711">
        <v>39752</v>
      </c>
      <c r="BD466" s="711">
        <v>39782</v>
      </c>
    </row>
    <row r="467" spans="2:56">
      <c r="B467" s="628" t="s">
        <v>533</v>
      </c>
      <c r="C467" s="644">
        <v>5.3345454545454549</v>
      </c>
      <c r="D467" s="644">
        <v>5.4133333333333331</v>
      </c>
      <c r="E467" s="644">
        <v>5.0017391304347827</v>
      </c>
      <c r="F467" s="644">
        <v>4.5209523809523811</v>
      </c>
      <c r="G467" s="644">
        <v>5.3547619047619053</v>
      </c>
      <c r="H467" s="644">
        <v>5.918571428571429</v>
      </c>
      <c r="I467" s="644">
        <v>6.0418181818181811</v>
      </c>
      <c r="J467" s="644">
        <v>5.4740000000000002</v>
      </c>
      <c r="K467" s="644">
        <v>5.5468421052631589</v>
      </c>
      <c r="L467" s="644">
        <v>6.285909090909092</v>
      </c>
      <c r="M467" s="644">
        <v>6.4590476190476194</v>
      </c>
      <c r="N467" s="644">
        <v>5.66409090909091</v>
      </c>
      <c r="O467" s="644">
        <v>5.964090909090908</v>
      </c>
      <c r="P467" s="644">
        <v>6.48</v>
      </c>
      <c r="Q467" s="644">
        <v>7.7372727272727255</v>
      </c>
      <c r="R467" s="644">
        <v>9.4171428571428546</v>
      </c>
      <c r="S467" s="644">
        <v>10.638095238095238</v>
      </c>
      <c r="T467" s="644">
        <v>7.5549999999999997</v>
      </c>
      <c r="U467" s="644">
        <v>11.08</v>
      </c>
      <c r="V467" s="641">
        <v>7.3849999999999998</v>
      </c>
      <c r="W467" s="641">
        <v>6.44</v>
      </c>
      <c r="X467" s="641">
        <v>5.7486956521739145</v>
      </c>
      <c r="Y467" s="641">
        <v>5.81</v>
      </c>
      <c r="Z467" s="641">
        <v>5.1349999999999998</v>
      </c>
      <c r="AA467" s="641">
        <v>5.34</v>
      </c>
      <c r="AB467" s="641">
        <v>5.43</v>
      </c>
      <c r="AC467" s="641">
        <v>5.89</v>
      </c>
      <c r="AD467" s="641">
        <v>3.6150000000000002</v>
      </c>
      <c r="AE467" s="641">
        <v>3.49</v>
      </c>
      <c r="AF467" s="641">
        <v>5.99</v>
      </c>
      <c r="AG467" s="641">
        <v>6.85</v>
      </c>
      <c r="AH467" s="641">
        <v>7.38</v>
      </c>
      <c r="AI467" s="641">
        <v>7.24</v>
      </c>
      <c r="AJ467" s="641">
        <v>7.29</v>
      </c>
      <c r="AK467" s="641">
        <v>7.13</v>
      </c>
      <c r="AL467" s="641">
        <v>6.5</v>
      </c>
      <c r="AM467" s="641">
        <v>6.55</v>
      </c>
      <c r="AN467" s="641">
        <v>6.7</v>
      </c>
      <c r="AO467" s="641">
        <v>6.65</v>
      </c>
      <c r="AP467" s="641">
        <v>6.89</v>
      </c>
      <c r="AQ467" s="641">
        <v>7.71</v>
      </c>
      <c r="AR467" s="641">
        <v>3.97</v>
      </c>
      <c r="AS467" s="641">
        <v>5.24</v>
      </c>
      <c r="AT467" s="641">
        <v>5.43</v>
      </c>
      <c r="AU467" s="641">
        <v>5.39</v>
      </c>
      <c r="AV467" s="641">
        <v>5.77</v>
      </c>
      <c r="AW467" s="641">
        <v>5.9</v>
      </c>
      <c r="AX467" s="641">
        <v>5.55</v>
      </c>
      <c r="AY467" s="641">
        <v>5.42</v>
      </c>
      <c r="AZ467" s="641">
        <v>5.55</v>
      </c>
      <c r="BA467" s="641">
        <v>5.39</v>
      </c>
      <c r="BB467" s="641">
        <v>4.93</v>
      </c>
      <c r="BC467" s="641">
        <v>5.07</v>
      </c>
    </row>
    <row r="468" spans="2:56">
      <c r="B468" s="628" t="s">
        <v>534</v>
      </c>
      <c r="C468" s="644">
        <v>5.52</v>
      </c>
      <c r="D468" s="644">
        <v>5.2</v>
      </c>
      <c r="E468" s="644">
        <v>5.22</v>
      </c>
      <c r="F468" s="644">
        <v>4.3899999999999997</v>
      </c>
      <c r="G468" s="644">
        <v>4.42</v>
      </c>
      <c r="H468" s="644">
        <v>6.55</v>
      </c>
      <c r="I468" s="644">
        <v>5.91</v>
      </c>
      <c r="J468" s="644">
        <v>5.47</v>
      </c>
      <c r="K468" s="644">
        <v>5.32</v>
      </c>
      <c r="L468" s="644">
        <v>5.38</v>
      </c>
      <c r="M468" s="644">
        <v>6.02</v>
      </c>
      <c r="N468" s="644">
        <v>6.04</v>
      </c>
      <c r="O468" s="644">
        <v>5.24</v>
      </c>
      <c r="P468" s="644">
        <v>5.74</v>
      </c>
      <c r="Q468" s="644">
        <v>5.75</v>
      </c>
      <c r="R468" s="644">
        <v>7.64</v>
      </c>
      <c r="S468" s="644">
        <v>9.48</v>
      </c>
      <c r="T468" s="644">
        <v>10.210000000000001</v>
      </c>
      <c r="U468" s="644">
        <v>8.4600000000000009</v>
      </c>
      <c r="V468" s="641">
        <v>8.7799999999999994</v>
      </c>
      <c r="W468" s="641">
        <v>6.39</v>
      </c>
      <c r="X468" s="641">
        <v>5.81</v>
      </c>
      <c r="Y468" s="641">
        <v>5.32</v>
      </c>
      <c r="Z468" s="641">
        <v>5.39</v>
      </c>
      <c r="AA468" s="641">
        <v>4.53</v>
      </c>
      <c r="AB468" s="641">
        <v>4.75</v>
      </c>
      <c r="AC468" s="641">
        <v>5.5</v>
      </c>
      <c r="AD468" s="641">
        <v>4.12</v>
      </c>
      <c r="AE468" s="641">
        <v>2.42</v>
      </c>
      <c r="AF468" s="641">
        <v>5.8</v>
      </c>
      <c r="AG468" s="641">
        <v>5.54</v>
      </c>
      <c r="AH468" s="641">
        <v>3.71</v>
      </c>
      <c r="AI468" s="641">
        <v>6</v>
      </c>
      <c r="AJ468" s="641">
        <v>5.79</v>
      </c>
      <c r="AK468" s="641">
        <v>3.1</v>
      </c>
      <c r="AL468" s="641">
        <v>4.34</v>
      </c>
      <c r="AM468" s="641">
        <v>2.82</v>
      </c>
      <c r="AN468" s="641">
        <v>3.05</v>
      </c>
      <c r="AO468" s="641">
        <v>2.78</v>
      </c>
      <c r="AP468" s="641">
        <v>2</v>
      </c>
      <c r="AQ468" s="641">
        <v>1.36</v>
      </c>
      <c r="AR468" s="641"/>
      <c r="AS468" s="641"/>
      <c r="AT468" s="647"/>
      <c r="AU468" s="647"/>
      <c r="AV468" s="647"/>
      <c r="AW468" s="647"/>
      <c r="AX468" s="647"/>
      <c r="AY468" s="647"/>
      <c r="AZ468" s="647"/>
      <c r="BA468" s="647"/>
      <c r="BB468" s="647"/>
      <c r="BC468" s="647"/>
    </row>
    <row r="469" spans="2:56">
      <c r="B469" s="628" t="s">
        <v>535</v>
      </c>
      <c r="C469" s="644">
        <v>4.0869999999999997</v>
      </c>
      <c r="D469" s="644">
        <v>4.0869999999999997</v>
      </c>
      <c r="E469" s="644">
        <v>4.09</v>
      </c>
      <c r="F469" s="644">
        <v>4.0382882887869513</v>
      </c>
      <c r="G469" s="644">
        <v>4.7459522662044797</v>
      </c>
      <c r="H469" s="644">
        <v>4.7459522662044797</v>
      </c>
      <c r="I469" s="644">
        <v>4.7459522662044797</v>
      </c>
      <c r="J469" s="644">
        <v>4.7459522662044833</v>
      </c>
      <c r="K469" s="644">
        <v>4.7459522662044833</v>
      </c>
      <c r="L469" s="644">
        <v>4.7459522662044833</v>
      </c>
      <c r="M469" s="644">
        <v>4.7459522662044833</v>
      </c>
      <c r="N469" s="644">
        <v>4.7459522662044833</v>
      </c>
      <c r="O469" s="644">
        <v>5.9187936796630272</v>
      </c>
      <c r="P469" s="644">
        <v>5.9187936796630272</v>
      </c>
      <c r="Q469" s="644">
        <v>5.9187936796630272</v>
      </c>
      <c r="R469" s="644">
        <v>5.9187936796630272</v>
      </c>
      <c r="S469" s="644">
        <v>5.9187936796630272</v>
      </c>
      <c r="T469" s="644">
        <v>7.8152400000000002</v>
      </c>
      <c r="U469" s="644">
        <v>7.8152400000000002</v>
      </c>
      <c r="V469" s="641">
        <v>7.8152400000000002</v>
      </c>
      <c r="W469" s="641">
        <v>6.92</v>
      </c>
      <c r="X469" s="641">
        <v>6.92</v>
      </c>
      <c r="Y469" s="641">
        <v>6.53</v>
      </c>
      <c r="Z469" s="641">
        <v>6.53</v>
      </c>
      <c r="AA469" s="641">
        <v>6.53</v>
      </c>
      <c r="AB469" s="641">
        <v>6.53</v>
      </c>
      <c r="AC469" s="641">
        <v>6.53</v>
      </c>
      <c r="AD469" s="641">
        <v>6.53</v>
      </c>
      <c r="AE469" s="641">
        <v>6.53</v>
      </c>
      <c r="AF469" s="641">
        <v>5.3721153573889886</v>
      </c>
      <c r="AG469" s="641">
        <v>5.3721153573889886</v>
      </c>
      <c r="AH469" s="641">
        <v>5.3721153573889886</v>
      </c>
      <c r="AI469" s="641">
        <v>5.3721153573889886</v>
      </c>
      <c r="AJ469" s="641">
        <v>5.3721153573889886</v>
      </c>
      <c r="AK469" s="641">
        <v>5.3721153573889886</v>
      </c>
      <c r="AL469" s="641">
        <v>5.3721153573889886</v>
      </c>
      <c r="AM469" s="641">
        <v>5.3721153573889886</v>
      </c>
      <c r="AN469" s="641">
        <v>5.3721153573889886</v>
      </c>
      <c r="AO469" s="641">
        <v>5.3721153573889886</v>
      </c>
      <c r="AP469" s="641">
        <v>5.3721153573889886</v>
      </c>
      <c r="AQ469" s="641">
        <v>5.3721153573889886</v>
      </c>
      <c r="AR469" s="641">
        <v>4.8583455783480378</v>
      </c>
      <c r="AS469" s="641"/>
      <c r="AT469" s="647"/>
      <c r="AU469" s="647"/>
      <c r="AV469" s="647"/>
      <c r="AW469" s="647"/>
      <c r="AX469" s="647"/>
      <c r="AY469" s="647"/>
      <c r="AZ469" s="647"/>
      <c r="BA469" s="647"/>
      <c r="BB469" s="647"/>
      <c r="BC469" s="647"/>
    </row>
  </sheetData>
  <conditionalFormatting sqref="I242:N318 G242:H252 C242:F318 E104:G104 E37:G38 E32:K36 E39:H39 D81:G81 G84 E82:H83 E84:F85 E86:H87 E88:G88 D84:D88 E89:H89 D90:G91 E92:G92 D93:G103 D37:D54 E40:F54 C36:C54 C114:F117 C21:K31 C55:F80 D105:F113 C81:C113 I37:K117 L21:N117">
    <cfRule type="expression" dxfId="8" priority="4" stopIfTrue="1">
      <formula>O21&gt;0</formula>
    </cfRule>
  </conditionalFormatting>
  <conditionalFormatting sqref="G253:H318 C32:D35 D36 H37:H38 H81 D104 D82:D83 G85 H84:H85 H88 D89 G105:G117 D92 G77:H79 G40:H55 H90:H93 H98:H117">
    <cfRule type="expression" dxfId="7" priority="3" stopIfTrue="1">
      <formula>O33&gt;0</formula>
    </cfRule>
  </conditionalFormatting>
  <conditionalFormatting sqref="G56:H76 G80:H80">
    <cfRule type="expression" dxfId="6" priority="2" stopIfTrue="1">
      <formula>S77&gt;0</formula>
    </cfRule>
  </conditionalFormatting>
  <conditionalFormatting sqref="H94:H96">
    <cfRule type="expression" dxfId="5" priority="1" stopIfTrue="1">
      <formula>T96&gt;0</formula>
    </cfRule>
  </conditionalFormatting>
  <pageMargins left="0.75" right="0.75" top="1" bottom="1" header="0.5" footer="0.5"/>
  <pageSetup scale="91"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D469"/>
  <sheetViews>
    <sheetView zoomScale="75" workbookViewId="0">
      <pane ySplit="19" topLeftCell="A20" activePane="bottomLeft" state="frozen"/>
      <selection pane="bottomLeft" activeCell="E12" sqref="E12"/>
    </sheetView>
  </sheetViews>
  <sheetFormatPr defaultRowHeight="12.75" outlineLevelRow="2"/>
  <cols>
    <col min="1" max="1" width="17.33203125" style="628" customWidth="1"/>
    <col min="2" max="2" width="32.1640625" style="628" customWidth="1"/>
    <col min="3" max="3" width="17.6640625" style="628" customWidth="1"/>
    <col min="4" max="4" width="17.33203125" style="628" bestFit="1" customWidth="1"/>
    <col min="5" max="5" width="17.33203125" style="628" customWidth="1"/>
    <col min="6" max="6" width="18" style="628" customWidth="1"/>
    <col min="7" max="9" width="14.5" style="628" bestFit="1" customWidth="1"/>
    <col min="10" max="10" width="17" style="628" bestFit="1" customWidth="1"/>
    <col min="11" max="11" width="19" style="628" bestFit="1" customWidth="1"/>
    <col min="12" max="13" width="14.5" style="628" bestFit="1" customWidth="1"/>
    <col min="14" max="14" width="16.1640625" style="628" bestFit="1" customWidth="1"/>
    <col min="15" max="15" width="17.6640625" style="628" customWidth="1"/>
    <col min="16" max="16" width="18.33203125" style="628" bestFit="1" customWidth="1"/>
    <col min="17" max="17" width="15.6640625" style="628" customWidth="1"/>
    <col min="18" max="18" width="15.83203125" style="628" customWidth="1"/>
    <col min="19" max="19" width="18.83203125" style="628" bestFit="1" customWidth="1"/>
    <col min="20" max="20" width="18.33203125" style="628" bestFit="1" customWidth="1"/>
    <col min="21" max="21" width="17.1640625" style="628" bestFit="1" customWidth="1"/>
    <col min="22" max="23" width="15.5" style="628" bestFit="1" customWidth="1"/>
    <col min="24" max="24" width="15.1640625" style="628" customWidth="1"/>
    <col min="25" max="25" width="17.33203125" style="628" customWidth="1"/>
    <col min="26" max="26" width="16.33203125" style="628" customWidth="1"/>
    <col min="27" max="27" width="13.33203125" style="628" bestFit="1" customWidth="1"/>
    <col min="28" max="28" width="18.6640625" style="628" bestFit="1" customWidth="1"/>
    <col min="29" max="29" width="19.6640625" style="628" customWidth="1"/>
    <col min="30" max="30" width="10.83203125" style="628" bestFit="1" customWidth="1"/>
    <col min="31" max="31" width="11.33203125" style="628" customWidth="1"/>
    <col min="32" max="32" width="12" style="628" customWidth="1"/>
    <col min="33" max="44" width="10.83203125" style="628" bestFit="1" customWidth="1"/>
    <col min="45" max="45" width="11.33203125" style="628" bestFit="1" customWidth="1"/>
    <col min="46" max="16384" width="9.33203125" style="628"/>
  </cols>
  <sheetData>
    <row r="1" spans="1:53">
      <c r="O1" s="628" t="str">
        <f>O14</f>
        <v>October</v>
      </c>
      <c r="P1" s="628" t="str">
        <f t="shared" ref="P1:Z1" si="0">P14</f>
        <v>November</v>
      </c>
      <c r="Q1" s="628" t="str">
        <f t="shared" si="0"/>
        <v>December</v>
      </c>
      <c r="R1" s="628" t="str">
        <f t="shared" si="0"/>
        <v>January</v>
      </c>
      <c r="S1" s="628" t="str">
        <f t="shared" si="0"/>
        <v>February</v>
      </c>
      <c r="T1" s="628" t="str">
        <f t="shared" si="0"/>
        <v>March</v>
      </c>
      <c r="U1" s="628" t="str">
        <f t="shared" si="0"/>
        <v>April</v>
      </c>
      <c r="V1" s="628" t="str">
        <f t="shared" si="0"/>
        <v>May</v>
      </c>
      <c r="W1" s="628" t="str">
        <f t="shared" si="0"/>
        <v>June</v>
      </c>
      <c r="X1" s="628" t="str">
        <f t="shared" si="0"/>
        <v>July</v>
      </c>
      <c r="Y1" s="628" t="str">
        <f t="shared" si="0"/>
        <v>August</v>
      </c>
      <c r="Z1" s="628" t="str">
        <f t="shared" si="0"/>
        <v>September</v>
      </c>
      <c r="AC1" s="629">
        <v>39479</v>
      </c>
      <c r="AD1" s="630">
        <v>1</v>
      </c>
      <c r="AE1" s="630">
        <v>2</v>
      </c>
      <c r="AF1" s="630">
        <v>3</v>
      </c>
      <c r="AG1" s="630">
        <v>4</v>
      </c>
      <c r="AH1" s="630">
        <v>5</v>
      </c>
      <c r="AI1" s="630">
        <v>6</v>
      </c>
      <c r="AJ1" s="630">
        <v>7</v>
      </c>
      <c r="AK1" s="630">
        <v>8</v>
      </c>
      <c r="AL1" s="630">
        <v>9</v>
      </c>
      <c r="AM1" s="630">
        <v>10</v>
      </c>
      <c r="AN1" s="630">
        <v>11</v>
      </c>
      <c r="AO1" s="630">
        <v>12</v>
      </c>
      <c r="AP1" s="630">
        <v>13</v>
      </c>
      <c r="AQ1" s="630">
        <v>14</v>
      </c>
      <c r="AR1" s="630">
        <v>15</v>
      </c>
      <c r="AS1" s="630">
        <v>16</v>
      </c>
      <c r="AT1" s="630">
        <v>17</v>
      </c>
      <c r="AU1" s="630">
        <v>18</v>
      </c>
      <c r="AV1" s="630">
        <v>19</v>
      </c>
      <c r="AW1" s="630">
        <v>20</v>
      </c>
      <c r="AX1" s="630">
        <v>21</v>
      </c>
      <c r="AY1" s="630">
        <v>22</v>
      </c>
      <c r="AZ1" s="630">
        <v>23</v>
      </c>
      <c r="BA1" s="630">
        <v>24</v>
      </c>
    </row>
    <row r="2" spans="1:53" hidden="1" outlineLevel="1">
      <c r="N2" s="628" t="s">
        <v>497</v>
      </c>
      <c r="O2" s="631">
        <v>5.99</v>
      </c>
      <c r="P2" s="631">
        <v>6.85</v>
      </c>
      <c r="Q2" s="631">
        <v>7.38</v>
      </c>
      <c r="R2" s="631">
        <v>7.24</v>
      </c>
      <c r="S2" s="631">
        <v>7.29</v>
      </c>
      <c r="T2" s="631">
        <v>7.13</v>
      </c>
      <c r="U2" s="631">
        <v>6.5</v>
      </c>
      <c r="V2" s="631">
        <v>6.55</v>
      </c>
      <c r="W2" s="631">
        <v>6.7</v>
      </c>
      <c r="X2" s="631">
        <v>6.65</v>
      </c>
      <c r="Y2" s="631">
        <v>6.89</v>
      </c>
      <c r="Z2" s="631">
        <v>7.71</v>
      </c>
    </row>
    <row r="3" spans="1:53" hidden="1" outlineLevel="1">
      <c r="C3" s="631"/>
      <c r="D3" s="631"/>
      <c r="E3" s="631"/>
      <c r="F3" s="631"/>
      <c r="G3" s="631"/>
      <c r="H3" s="631"/>
      <c r="I3" s="631"/>
      <c r="J3" s="631"/>
      <c r="K3" s="631"/>
      <c r="L3" s="631"/>
      <c r="M3" s="631"/>
      <c r="N3" s="631" t="s">
        <v>498</v>
      </c>
      <c r="O3" s="632">
        <v>4.6934625668449206</v>
      </c>
      <c r="P3" s="632">
        <v>5.389426369863016</v>
      </c>
      <c r="Q3" s="632">
        <v>5.5250941780821927</v>
      </c>
      <c r="R3" s="632">
        <v>5.4965325342465743</v>
      </c>
      <c r="S3" s="632">
        <v>5.7664124293785317</v>
      </c>
      <c r="T3" s="632">
        <v>5.8476119402985081</v>
      </c>
      <c r="U3" s="632">
        <v>5.4551851851851865</v>
      </c>
      <c r="V3" s="632">
        <v>5.3251851851851857</v>
      </c>
      <c r="W3" s="632">
        <v>5.4551851851851865</v>
      </c>
      <c r="X3" s="632">
        <v>5.2951851851851863</v>
      </c>
      <c r="Y3" s="632">
        <v>4.8351851851851846</v>
      </c>
      <c r="Z3" s="632">
        <v>4.975185185185186</v>
      </c>
      <c r="AA3" s="633">
        <f>SUM(O3:Z3)/12</f>
        <v>5.3383042608187381</v>
      </c>
      <c r="AB3" s="631"/>
      <c r="AC3" s="631"/>
      <c r="AD3" s="631"/>
      <c r="AE3" s="631"/>
      <c r="AF3" s="631"/>
      <c r="AG3" s="631"/>
      <c r="AH3" s="631"/>
      <c r="AI3" s="631"/>
      <c r="AJ3" s="631"/>
    </row>
    <row r="4" spans="1:53" s="634" customFormat="1" collapsed="1">
      <c r="B4" s="834"/>
      <c r="C4" s="733"/>
      <c r="D4" s="733"/>
      <c r="E4" s="733"/>
      <c r="F4" s="635"/>
      <c r="G4" s="635"/>
      <c r="H4" s="635"/>
      <c r="I4" s="635"/>
      <c r="J4" s="635"/>
      <c r="K4" s="635"/>
      <c r="L4" s="635"/>
      <c r="M4" s="636" t="s">
        <v>312</v>
      </c>
      <c r="N4" s="635" t="s">
        <v>536</v>
      </c>
      <c r="O4" s="749"/>
      <c r="P4" s="749"/>
      <c r="Q4" s="749"/>
      <c r="R4" s="749"/>
      <c r="S4" s="749"/>
      <c r="T4" s="749"/>
      <c r="U4" s="749"/>
      <c r="V4" s="749"/>
      <c r="W4" s="749"/>
      <c r="X4" s="749"/>
      <c r="Y4" s="749"/>
      <c r="Z4" s="749"/>
      <c r="AB4" s="635"/>
      <c r="AC4" s="629"/>
      <c r="AD4" s="629">
        <v>39508</v>
      </c>
      <c r="AE4" s="629">
        <v>39539</v>
      </c>
      <c r="AF4" s="629">
        <v>39569</v>
      </c>
      <c r="AG4" s="629">
        <v>39600</v>
      </c>
      <c r="AH4" s="629">
        <v>39630</v>
      </c>
      <c r="AI4" s="629">
        <v>39661</v>
      </c>
      <c r="AJ4" s="629">
        <v>39692</v>
      </c>
      <c r="AK4" s="629">
        <v>39722</v>
      </c>
      <c r="AL4" s="629">
        <v>39753</v>
      </c>
      <c r="AM4" s="629">
        <v>39783</v>
      </c>
      <c r="AN4" s="629">
        <v>39814</v>
      </c>
      <c r="AO4" s="629">
        <v>39845</v>
      </c>
      <c r="AP4" s="629">
        <v>39873</v>
      </c>
      <c r="AQ4" s="629">
        <v>39904</v>
      </c>
      <c r="AR4" s="629">
        <v>39934</v>
      </c>
      <c r="AS4" s="629">
        <v>39965</v>
      </c>
      <c r="AT4" s="629">
        <v>39995</v>
      </c>
      <c r="AU4" s="629">
        <v>40026</v>
      </c>
      <c r="AV4" s="629">
        <v>40057</v>
      </c>
      <c r="AW4" s="629">
        <v>40087</v>
      </c>
      <c r="AX4" s="629">
        <v>40118</v>
      </c>
      <c r="AY4" s="629">
        <v>40148</v>
      </c>
      <c r="AZ4" s="629">
        <v>40179</v>
      </c>
      <c r="BA4" s="629">
        <v>40210</v>
      </c>
    </row>
    <row r="5" spans="1:53" s="634" customFormat="1" ht="13.5" thickBot="1">
      <c r="B5" s="834"/>
      <c r="C5" s="733"/>
      <c r="D5" s="733"/>
      <c r="E5" s="733"/>
      <c r="F5" s="635"/>
      <c r="G5" s="635"/>
      <c r="H5" s="635"/>
      <c r="I5" s="635"/>
      <c r="J5" s="635"/>
      <c r="K5" s="635"/>
      <c r="L5" s="635"/>
      <c r="M5" s="636" t="s">
        <v>309</v>
      </c>
      <c r="N5" s="635" t="s">
        <v>502</v>
      </c>
      <c r="O5" s="832">
        <f>'Price Graph'!BO16</f>
        <v>2.39</v>
      </c>
      <c r="P5" s="832">
        <f>'Price Graph'!BP16</f>
        <v>2.2599999999999998</v>
      </c>
      <c r="Q5" s="832">
        <f>'Price Graph'!BQ16</f>
        <v>2.72</v>
      </c>
      <c r="R5" s="832">
        <f>'Price Graph'!BR16</f>
        <v>2.76</v>
      </c>
      <c r="S5" s="832">
        <f>'Price Graph'!BS16</f>
        <v>2.87</v>
      </c>
      <c r="T5" s="832">
        <f>'Price Graph'!BT16</f>
        <v>3.04</v>
      </c>
      <c r="U5" s="832">
        <f>'Price Graph'!BU16</f>
        <v>3.19</v>
      </c>
      <c r="V5" s="832">
        <f>'Price Graph'!BV16</f>
        <v>3.28</v>
      </c>
      <c r="W5" s="832">
        <f>'Price Graph'!BW16</f>
        <v>3.39</v>
      </c>
      <c r="X5" s="832">
        <f>'Price Graph'!BX16</f>
        <v>3.66</v>
      </c>
      <c r="Y5" s="832">
        <f>'Price Graph'!BY16</f>
        <v>3.83</v>
      </c>
      <c r="Z5" s="832">
        <f>'Price Graph'!BZ16</f>
        <v>4.0199999999999996</v>
      </c>
      <c r="AA5" s="832"/>
      <c r="AB5" s="635"/>
      <c r="AC5" s="635" t="s">
        <v>499</v>
      </c>
      <c r="AD5" s="635">
        <v>7.72</v>
      </c>
      <c r="AE5" s="635">
        <v>7.75</v>
      </c>
      <c r="AF5" s="635">
        <v>8.8699999999999992</v>
      </c>
      <c r="AG5" s="635">
        <v>8.91</v>
      </c>
      <c r="AH5" s="635">
        <v>8.4499999999999993</v>
      </c>
      <c r="AI5" s="635">
        <v>6.51</v>
      </c>
      <c r="AJ5" s="635">
        <v>1.77</v>
      </c>
      <c r="AK5" s="635">
        <v>3.36</v>
      </c>
      <c r="AL5" s="635">
        <v>2.61</v>
      </c>
      <c r="AM5" s="635">
        <v>4.83</v>
      </c>
      <c r="AN5" s="635">
        <v>4.21</v>
      </c>
      <c r="AO5" s="635">
        <v>2.87</v>
      </c>
      <c r="AP5" s="640"/>
      <c r="AQ5" s="640"/>
      <c r="AR5" s="640"/>
      <c r="AS5" s="640"/>
      <c r="AT5" s="640"/>
      <c r="AU5" s="640"/>
      <c r="AV5" s="640"/>
      <c r="AW5" s="640"/>
      <c r="AX5" s="640"/>
      <c r="AY5" s="640"/>
      <c r="AZ5" s="640"/>
      <c r="BA5" s="640"/>
    </row>
    <row r="6" spans="1:53">
      <c r="B6" s="835" t="s">
        <v>553</v>
      </c>
      <c r="C6" s="836"/>
      <c r="D6" s="837" t="s">
        <v>413</v>
      </c>
      <c r="E6" s="838"/>
      <c r="M6" s="636" t="s">
        <v>537</v>
      </c>
      <c r="N6" s="635" t="s">
        <v>503</v>
      </c>
      <c r="O6" s="832">
        <f>'Price Graph'!BO17</f>
        <v>2.58</v>
      </c>
      <c r="P6" s="832">
        <f>'Price Graph'!BP17</f>
        <v>2.9</v>
      </c>
      <c r="Q6" s="832">
        <f>'Price Graph'!BQ17</f>
        <v>3.25</v>
      </c>
      <c r="R6" s="832">
        <f>'Price Graph'!BR17</f>
        <v>3.52</v>
      </c>
      <c r="S6" s="832">
        <f>'Price Graph'!BS17</f>
        <v>3.74</v>
      </c>
      <c r="T6" s="832">
        <f>'Price Graph'!BT17</f>
        <v>3.72</v>
      </c>
      <c r="U6" s="832">
        <f>'Price Graph'!BU17</f>
        <v>3.73</v>
      </c>
      <c r="V6" s="832">
        <f>'Price Graph'!BV17</f>
        <v>3.91</v>
      </c>
      <c r="W6" s="832">
        <f>'Price Graph'!BW17</f>
        <v>4.0999999999999996</v>
      </c>
      <c r="X6" s="832">
        <f>'Price Graph'!BX17</f>
        <v>4.25</v>
      </c>
      <c r="Y6" s="832">
        <f>'Price Graph'!BY17</f>
        <v>4.47</v>
      </c>
      <c r="Z6" s="832">
        <f>'Price Graph'!BZ17</f>
        <v>4.29</v>
      </c>
      <c r="AA6" s="832"/>
      <c r="AC6" s="631" t="s">
        <v>538</v>
      </c>
      <c r="AP6" s="643">
        <f>O7</f>
        <v>2.4850000000000003</v>
      </c>
      <c r="AQ6" s="643">
        <f t="shared" ref="AQ6:BA6" si="1">P7</f>
        <v>2.58</v>
      </c>
      <c r="AR6" s="643">
        <f t="shared" si="1"/>
        <v>2.9850000000000003</v>
      </c>
      <c r="AS6" s="643">
        <f t="shared" si="1"/>
        <v>3.1399999999999997</v>
      </c>
      <c r="AT6" s="643">
        <f t="shared" si="1"/>
        <v>3.3050000000000002</v>
      </c>
      <c r="AU6" s="643">
        <f t="shared" si="1"/>
        <v>3.38</v>
      </c>
      <c r="AV6" s="643">
        <f t="shared" si="1"/>
        <v>3.46</v>
      </c>
      <c r="AW6" s="643">
        <f t="shared" si="1"/>
        <v>3.5949999999999998</v>
      </c>
      <c r="AX6" s="643">
        <f t="shared" si="1"/>
        <v>3.7450000000000001</v>
      </c>
      <c r="AY6" s="643">
        <f t="shared" si="1"/>
        <v>3.9550000000000001</v>
      </c>
      <c r="AZ6" s="643">
        <f t="shared" si="1"/>
        <v>4.1500000000000004</v>
      </c>
      <c r="BA6" s="643">
        <f t="shared" si="1"/>
        <v>4.1549999999999994</v>
      </c>
    </row>
    <row r="7" spans="1:53">
      <c r="B7" s="734"/>
      <c r="C7" s="737"/>
      <c r="D7" s="737" t="s">
        <v>588</v>
      </c>
      <c r="E7" s="736" t="s">
        <v>589</v>
      </c>
      <c r="M7" s="636" t="s">
        <v>539</v>
      </c>
      <c r="N7" s="635" t="s">
        <v>540</v>
      </c>
      <c r="O7" s="715">
        <f>AVERAGE(O4:O6)</f>
        <v>2.4850000000000003</v>
      </c>
      <c r="P7" s="715">
        <f t="shared" ref="P7:Z7" si="2">AVERAGE(P4:P6)</f>
        <v>2.58</v>
      </c>
      <c r="Q7" s="715">
        <f t="shared" si="2"/>
        <v>2.9850000000000003</v>
      </c>
      <c r="R7" s="715">
        <f t="shared" si="2"/>
        <v>3.1399999999999997</v>
      </c>
      <c r="S7" s="715">
        <f t="shared" si="2"/>
        <v>3.3050000000000002</v>
      </c>
      <c r="T7" s="715">
        <f t="shared" si="2"/>
        <v>3.38</v>
      </c>
      <c r="U7" s="715">
        <f t="shared" si="2"/>
        <v>3.46</v>
      </c>
      <c r="V7" s="715">
        <f t="shared" si="2"/>
        <v>3.5949999999999998</v>
      </c>
      <c r="W7" s="715">
        <f t="shared" si="2"/>
        <v>3.7450000000000001</v>
      </c>
      <c r="X7" s="715">
        <f t="shared" si="2"/>
        <v>3.9550000000000001</v>
      </c>
      <c r="Y7" s="715">
        <f t="shared" si="2"/>
        <v>4.1500000000000004</v>
      </c>
      <c r="Z7" s="715">
        <f t="shared" si="2"/>
        <v>4.1549999999999994</v>
      </c>
      <c r="AA7" s="645">
        <f>AVERAGE(O7:Z7)</f>
        <v>3.4112500000000003</v>
      </c>
    </row>
    <row r="8" spans="1:53">
      <c r="B8" s="900" t="s">
        <v>587</v>
      </c>
      <c r="C8" s="735" t="s">
        <v>590</v>
      </c>
      <c r="D8" s="823">
        <v>18530000</v>
      </c>
      <c r="E8" s="738">
        <v>95684681</v>
      </c>
      <c r="M8" s="636" t="s">
        <v>541</v>
      </c>
      <c r="N8" s="635" t="s">
        <v>542</v>
      </c>
      <c r="O8" s="714">
        <f>AVERAGE(O5:O6)</f>
        <v>2.4850000000000003</v>
      </c>
      <c r="P8" s="714">
        <f t="shared" ref="P8:Z8" si="3">AVERAGE(P5:P6)</f>
        <v>2.58</v>
      </c>
      <c r="Q8" s="714">
        <f t="shared" si="3"/>
        <v>2.9850000000000003</v>
      </c>
      <c r="R8" s="714">
        <f t="shared" si="3"/>
        <v>3.1399999999999997</v>
      </c>
      <c r="S8" s="714">
        <f t="shared" si="3"/>
        <v>3.3050000000000002</v>
      </c>
      <c r="T8" s="714">
        <f t="shared" si="3"/>
        <v>3.38</v>
      </c>
      <c r="U8" s="714">
        <f t="shared" si="3"/>
        <v>3.46</v>
      </c>
      <c r="V8" s="714">
        <f t="shared" si="3"/>
        <v>3.5949999999999998</v>
      </c>
      <c r="W8" s="714">
        <f t="shared" si="3"/>
        <v>3.7450000000000001</v>
      </c>
      <c r="X8" s="714">
        <f t="shared" si="3"/>
        <v>3.9550000000000001</v>
      </c>
      <c r="Y8" s="714">
        <f t="shared" si="3"/>
        <v>4.1500000000000004</v>
      </c>
      <c r="Z8" s="714">
        <f t="shared" si="3"/>
        <v>4.1549999999999994</v>
      </c>
    </row>
    <row r="9" spans="1:53">
      <c r="B9" s="734"/>
      <c r="C9" s="735"/>
      <c r="D9" s="738"/>
      <c r="E9" s="738"/>
      <c r="N9" s="635"/>
      <c r="O9" s="715"/>
      <c r="P9" s="715"/>
      <c r="Q9" s="715"/>
      <c r="R9" s="715"/>
      <c r="S9" s="715"/>
      <c r="T9" s="715"/>
      <c r="U9" s="715"/>
      <c r="V9" s="715"/>
      <c r="W9" s="715"/>
      <c r="X9" s="715"/>
      <c r="Y9" s="715"/>
      <c r="Z9" s="715"/>
    </row>
    <row r="10" spans="1:53">
      <c r="B10" s="734"/>
      <c r="C10" s="737" t="s">
        <v>585</v>
      </c>
      <c r="D10" s="738"/>
      <c r="E10" s="738">
        <v>0</v>
      </c>
      <c r="AA10" s="646" t="s">
        <v>543</v>
      </c>
    </row>
    <row r="11" spans="1:53">
      <c r="B11" s="734"/>
      <c r="C11" s="737" t="s">
        <v>586</v>
      </c>
      <c r="D11" s="823"/>
      <c r="E11" s="736"/>
      <c r="O11" s="716">
        <v>0.5</v>
      </c>
    </row>
    <row r="12" spans="1:53">
      <c r="B12" s="734"/>
      <c r="C12" s="737" t="s">
        <v>29</v>
      </c>
      <c r="D12" s="823">
        <v>23899544</v>
      </c>
      <c r="E12" s="738">
        <v>111003232</v>
      </c>
      <c r="N12" s="717">
        <v>2.42</v>
      </c>
      <c r="O12" s="717">
        <f>N12*(1+O11)</f>
        <v>3.63</v>
      </c>
      <c r="P12" s="717">
        <f>O12*(1+P13)</f>
        <v>3.768772635814889</v>
      </c>
      <c r="Q12" s="717">
        <f t="shared" ref="Q12:Z12" si="4">P12*(1+Q13)</f>
        <v>4.3603822937625756</v>
      </c>
      <c r="R12" s="717">
        <f t="shared" si="4"/>
        <v>4.5868008048289735</v>
      </c>
      <c r="S12" s="717">
        <f t="shared" si="4"/>
        <v>4.8278269617706249</v>
      </c>
      <c r="T12" s="717">
        <f t="shared" si="4"/>
        <v>4.9373843058350113</v>
      </c>
      <c r="U12" s="717">
        <f t="shared" si="4"/>
        <v>5.0542454728370236</v>
      </c>
      <c r="V12" s="717">
        <f t="shared" si="4"/>
        <v>5.2514486921529189</v>
      </c>
      <c r="W12" s="717">
        <f t="shared" si="4"/>
        <v>5.4705633802816926</v>
      </c>
      <c r="X12" s="717">
        <f t="shared" si="4"/>
        <v>5.7773239436619743</v>
      </c>
      <c r="Y12" s="717">
        <f t="shared" si="4"/>
        <v>6.0621730382293793</v>
      </c>
      <c r="Z12" s="717">
        <f t="shared" si="4"/>
        <v>6.0694768611670034</v>
      </c>
      <c r="AA12" s="647">
        <f>AVERAGE(P12:T12)</f>
        <v>4.4962334004024145</v>
      </c>
    </row>
    <row r="13" spans="1:53">
      <c r="B13" s="734"/>
      <c r="C13" s="737"/>
      <c r="D13" s="823"/>
      <c r="E13" s="736"/>
      <c r="O13" s="718">
        <f>O15/N12-1</f>
        <v>2.6859504132231482E-2</v>
      </c>
      <c r="P13" s="718">
        <f t="shared" ref="P13:Z13" si="5">P15/O15-1</f>
        <v>3.8229376257545189E-2</v>
      </c>
      <c r="Q13" s="718">
        <f t="shared" si="5"/>
        <v>0.15697674418604657</v>
      </c>
      <c r="R13" s="718">
        <f t="shared" si="5"/>
        <v>5.1926298157453754E-2</v>
      </c>
      <c r="S13" s="718">
        <f t="shared" si="5"/>
        <v>5.2547770700637209E-2</v>
      </c>
      <c r="T13" s="718">
        <f t="shared" si="5"/>
        <v>2.2692889561270801E-2</v>
      </c>
      <c r="U13" s="718">
        <f t="shared" si="5"/>
        <v>2.3668639053254559E-2</v>
      </c>
      <c r="V13" s="718">
        <f t="shared" si="5"/>
        <v>3.9017341040462394E-2</v>
      </c>
      <c r="W13" s="718">
        <f t="shared" si="5"/>
        <v>4.1724617524339536E-2</v>
      </c>
      <c r="X13" s="718">
        <f t="shared" si="5"/>
        <v>5.6074766355140193E-2</v>
      </c>
      <c r="Y13" s="718">
        <f t="shared" si="5"/>
        <v>4.9304677623261739E-2</v>
      </c>
      <c r="Z13" s="718">
        <f t="shared" si="5"/>
        <v>1.2048192771081379E-3</v>
      </c>
    </row>
    <row r="14" spans="1:53">
      <c r="A14" s="651"/>
      <c r="B14" s="734"/>
      <c r="C14" s="839" t="s">
        <v>31</v>
      </c>
      <c r="D14" s="823">
        <v>0</v>
      </c>
      <c r="E14" s="738">
        <v>0</v>
      </c>
      <c r="F14" s="651"/>
      <c r="G14" s="651"/>
      <c r="H14" s="651"/>
      <c r="I14" s="651"/>
      <c r="J14" s="651"/>
      <c r="K14" s="651"/>
      <c r="L14" s="651"/>
      <c r="M14" s="651"/>
      <c r="N14" s="651"/>
      <c r="O14" s="652" t="str">
        <f>O19</f>
        <v>October</v>
      </c>
      <c r="P14" s="652" t="str">
        <f t="shared" ref="P14:Z14" si="6">P19</f>
        <v>November</v>
      </c>
      <c r="Q14" s="652" t="str">
        <f t="shared" si="6"/>
        <v>December</v>
      </c>
      <c r="R14" s="652" t="str">
        <f t="shared" si="6"/>
        <v>January</v>
      </c>
      <c r="S14" s="652" t="str">
        <f t="shared" si="6"/>
        <v>February</v>
      </c>
      <c r="T14" s="652" t="str">
        <f t="shared" si="6"/>
        <v>March</v>
      </c>
      <c r="U14" s="652" t="str">
        <f t="shared" si="6"/>
        <v>April</v>
      </c>
      <c r="V14" s="652" t="str">
        <f t="shared" si="6"/>
        <v>May</v>
      </c>
      <c r="W14" s="652" t="str">
        <f t="shared" si="6"/>
        <v>June</v>
      </c>
      <c r="X14" s="652" t="str">
        <f t="shared" si="6"/>
        <v>July</v>
      </c>
      <c r="Y14" s="652" t="str">
        <f t="shared" si="6"/>
        <v>August</v>
      </c>
      <c r="Z14" s="652" t="str">
        <f t="shared" si="6"/>
        <v>September</v>
      </c>
    </row>
    <row r="15" spans="1:53" ht="13.5" thickBot="1">
      <c r="B15" s="739"/>
      <c r="C15" s="840"/>
      <c r="D15" s="840"/>
      <c r="E15" s="841"/>
      <c r="F15" s="631"/>
      <c r="G15" s="631"/>
      <c r="H15" s="631"/>
      <c r="I15" s="631"/>
      <c r="J15" s="631"/>
      <c r="K15" s="631"/>
      <c r="L15" s="631"/>
      <c r="M15" s="653" t="s">
        <v>544</v>
      </c>
      <c r="N15" s="631" t="s">
        <v>498</v>
      </c>
      <c r="O15" s="632">
        <f>IF($M$15="G",O4,IF($M$15="C",O5,IF($M$15="P",O6,IF($M$15="2A",O8,O7))))</f>
        <v>2.4850000000000003</v>
      </c>
      <c r="P15" s="632">
        <f t="shared" ref="P15:Z15" si="7">IF($M$15="G",P4,IF($M$15="C",P5,IF($M$15="P",P6,IF($M$15="2A",P8,P7))))</f>
        <v>2.58</v>
      </c>
      <c r="Q15" s="632">
        <f t="shared" si="7"/>
        <v>2.9850000000000003</v>
      </c>
      <c r="R15" s="632">
        <f t="shared" si="7"/>
        <v>3.1399999999999997</v>
      </c>
      <c r="S15" s="632">
        <f t="shared" si="7"/>
        <v>3.3050000000000002</v>
      </c>
      <c r="T15" s="632">
        <f t="shared" si="7"/>
        <v>3.38</v>
      </c>
      <c r="U15" s="632">
        <f t="shared" si="7"/>
        <v>3.46</v>
      </c>
      <c r="V15" s="632">
        <f t="shared" si="7"/>
        <v>3.5949999999999998</v>
      </c>
      <c r="W15" s="632">
        <f t="shared" si="7"/>
        <v>3.7450000000000001</v>
      </c>
      <c r="X15" s="632">
        <f t="shared" si="7"/>
        <v>3.9550000000000001</v>
      </c>
      <c r="Y15" s="632">
        <f t="shared" si="7"/>
        <v>4.1500000000000004</v>
      </c>
      <c r="Z15" s="632">
        <f t="shared" si="7"/>
        <v>4.1549999999999994</v>
      </c>
      <c r="AA15" s="633">
        <f>AVERAGE(O15:Z15)</f>
        <v>3.4112500000000003</v>
      </c>
      <c r="AB15" s="631"/>
      <c r="AC15" s="633">
        <v>9.0293542716651487</v>
      </c>
      <c r="AD15" s="631"/>
      <c r="AE15" s="631"/>
      <c r="AF15" s="631"/>
      <c r="AG15" s="631"/>
      <c r="AH15" s="631"/>
      <c r="AI15" s="631"/>
      <c r="AJ15" s="631"/>
    </row>
    <row r="16" spans="1:53">
      <c r="C16" s="831">
        <v>1</v>
      </c>
      <c r="D16" s="831">
        <v>2</v>
      </c>
      <c r="E16" s="831">
        <f t="shared" ref="E16:Z16" si="8">D16+1</f>
        <v>3</v>
      </c>
      <c r="F16" s="831">
        <f t="shared" si="8"/>
        <v>4</v>
      </c>
      <c r="G16" s="831">
        <f t="shared" si="8"/>
        <v>5</v>
      </c>
      <c r="H16" s="831">
        <f t="shared" si="8"/>
        <v>6</v>
      </c>
      <c r="I16" s="831">
        <f t="shared" si="8"/>
        <v>7</v>
      </c>
      <c r="J16" s="831">
        <f t="shared" si="8"/>
        <v>8</v>
      </c>
      <c r="K16" s="831">
        <f t="shared" si="8"/>
        <v>9</v>
      </c>
      <c r="L16" s="831">
        <f t="shared" si="8"/>
        <v>10</v>
      </c>
      <c r="M16" s="831">
        <f t="shared" si="8"/>
        <v>11</v>
      </c>
      <c r="N16" s="831">
        <f t="shared" si="8"/>
        <v>12</v>
      </c>
      <c r="O16" s="831">
        <f t="shared" si="8"/>
        <v>13</v>
      </c>
      <c r="P16" s="831">
        <f t="shared" si="8"/>
        <v>14</v>
      </c>
      <c r="Q16" s="831">
        <f t="shared" si="8"/>
        <v>15</v>
      </c>
      <c r="R16" s="831">
        <f t="shared" si="8"/>
        <v>16</v>
      </c>
      <c r="S16" s="831">
        <f t="shared" si="8"/>
        <v>17</v>
      </c>
      <c r="T16" s="831">
        <f t="shared" si="8"/>
        <v>18</v>
      </c>
      <c r="U16" s="831">
        <f t="shared" si="8"/>
        <v>19</v>
      </c>
      <c r="V16" s="831">
        <f t="shared" si="8"/>
        <v>20</v>
      </c>
      <c r="W16" s="831">
        <f t="shared" si="8"/>
        <v>21</v>
      </c>
      <c r="X16" s="831">
        <f t="shared" si="8"/>
        <v>22</v>
      </c>
      <c r="Y16" s="831">
        <f t="shared" si="8"/>
        <v>23</v>
      </c>
      <c r="Z16" s="831">
        <f t="shared" si="8"/>
        <v>24</v>
      </c>
      <c r="AA16" s="631"/>
      <c r="AB16" s="631"/>
      <c r="AC16" s="631"/>
      <c r="AD16" s="631"/>
      <c r="AE16" s="631"/>
      <c r="AF16" s="631"/>
      <c r="AG16" s="631"/>
      <c r="AH16" s="631"/>
      <c r="AI16" s="631"/>
      <c r="AJ16" s="631"/>
    </row>
    <row r="17" spans="1:40">
      <c r="B17" s="829">
        <v>10</v>
      </c>
      <c r="C17" s="654" t="s">
        <v>66</v>
      </c>
      <c r="D17" s="654" t="s">
        <v>67</v>
      </c>
      <c r="E17" s="654" t="s">
        <v>68</v>
      </c>
      <c r="F17" s="654" t="s">
        <v>69</v>
      </c>
      <c r="G17" s="654" t="s">
        <v>70</v>
      </c>
      <c r="H17" s="654" t="s">
        <v>71</v>
      </c>
      <c r="I17" s="654" t="s">
        <v>72</v>
      </c>
      <c r="J17" s="654" t="s">
        <v>73</v>
      </c>
      <c r="K17" s="654" t="s">
        <v>74</v>
      </c>
      <c r="L17" s="654" t="s">
        <v>63</v>
      </c>
      <c r="M17" s="654" t="s">
        <v>64</v>
      </c>
      <c r="N17" s="654" t="s">
        <v>65</v>
      </c>
      <c r="O17" s="654" t="s">
        <v>66</v>
      </c>
      <c r="P17" s="654" t="s">
        <v>67</v>
      </c>
      <c r="Q17" s="654" t="s">
        <v>68</v>
      </c>
      <c r="R17" s="654" t="s">
        <v>69</v>
      </c>
      <c r="S17" s="654" t="s">
        <v>70</v>
      </c>
      <c r="T17" s="654" t="s">
        <v>71</v>
      </c>
      <c r="U17" s="654" t="s">
        <v>72</v>
      </c>
      <c r="V17" s="654" t="s">
        <v>73</v>
      </c>
      <c r="W17" s="654" t="s">
        <v>74</v>
      </c>
      <c r="X17" s="654" t="s">
        <v>63</v>
      </c>
      <c r="Y17" s="654" t="s">
        <v>64</v>
      </c>
      <c r="Z17" s="654" t="s">
        <v>65</v>
      </c>
    </row>
    <row r="18" spans="1:40">
      <c r="B18" s="628" t="s">
        <v>545</v>
      </c>
      <c r="C18" s="830">
        <v>2011</v>
      </c>
      <c r="D18" s="652"/>
      <c r="E18" s="652"/>
      <c r="F18" s="830">
        <v>2012</v>
      </c>
      <c r="H18" s="652"/>
      <c r="J18" s="652"/>
      <c r="K18" s="652"/>
      <c r="L18" s="652"/>
      <c r="M18" s="652"/>
      <c r="N18" s="652"/>
      <c r="O18" s="830">
        <f t="shared" ref="O18:Z19" si="9">C18</f>
        <v>2011</v>
      </c>
      <c r="P18" s="830">
        <f t="shared" ref="P18" si="10">D18</f>
        <v>0</v>
      </c>
      <c r="Q18" s="830">
        <f t="shared" ref="Q18" si="11">E18</f>
        <v>0</v>
      </c>
      <c r="R18" s="830">
        <f t="shared" ref="R18" si="12">F18</f>
        <v>2012</v>
      </c>
      <c r="S18" s="830">
        <f t="shared" ref="S18" si="13">G18</f>
        <v>0</v>
      </c>
      <c r="T18" s="830">
        <f t="shared" ref="T18" si="14">H18</f>
        <v>0</v>
      </c>
      <c r="U18" s="830">
        <f t="shared" ref="U18" si="15">I18</f>
        <v>0</v>
      </c>
      <c r="V18" s="830">
        <f t="shared" ref="V18" si="16">J18</f>
        <v>0</v>
      </c>
      <c r="W18" s="830">
        <f t="shared" ref="W18" si="17">K18</f>
        <v>0</v>
      </c>
      <c r="X18" s="830">
        <f t="shared" ref="X18" si="18">L18</f>
        <v>0</v>
      </c>
      <c r="Y18" s="830">
        <f t="shared" ref="Y18" si="19">M18</f>
        <v>0</v>
      </c>
      <c r="Z18" s="830">
        <f t="shared" ref="Z18" si="20">N18</f>
        <v>0</v>
      </c>
      <c r="AB18" s="628" t="s">
        <v>546</v>
      </c>
      <c r="AC18" s="628">
        <v>1</v>
      </c>
      <c r="AD18" s="628">
        <v>2</v>
      </c>
      <c r="AE18" s="628">
        <v>3</v>
      </c>
      <c r="AF18" s="628">
        <v>4</v>
      </c>
      <c r="AG18" s="628">
        <v>5</v>
      </c>
      <c r="AH18" s="628">
        <v>6</v>
      </c>
      <c r="AI18" s="628">
        <v>7</v>
      </c>
      <c r="AJ18" s="628">
        <v>8</v>
      </c>
      <c r="AK18" s="628">
        <v>9</v>
      </c>
      <c r="AL18" s="628">
        <v>10</v>
      </c>
      <c r="AM18" s="628">
        <v>11</v>
      </c>
      <c r="AN18" s="628">
        <v>12</v>
      </c>
    </row>
    <row r="19" spans="1:40">
      <c r="A19" s="628" t="s">
        <v>551</v>
      </c>
      <c r="B19" s="628" t="s">
        <v>525</v>
      </c>
      <c r="C19" s="658" t="str">
        <f>HLOOKUP($B$17,$C$16:$Z$17,2)</f>
        <v>October</v>
      </c>
      <c r="D19" s="658" t="str">
        <f>HLOOKUP($B$17+1,$C$16:$Z$17,2)</f>
        <v>November</v>
      </c>
      <c r="E19" s="658" t="str">
        <f>HLOOKUP($B$17+2,$C$16:$Z$17,2)</f>
        <v>December</v>
      </c>
      <c r="F19" s="658" t="str">
        <f>HLOOKUP($B$17+3,$C$16:$Z$17,2)</f>
        <v>January</v>
      </c>
      <c r="G19" s="658" t="str">
        <f>HLOOKUP($B$17+4,$C$16:$Z$17,2)</f>
        <v>February</v>
      </c>
      <c r="H19" s="658" t="str">
        <f>HLOOKUP($B$17+5,$C$16:$Z$17,2)</f>
        <v>March</v>
      </c>
      <c r="I19" s="658" t="str">
        <f>HLOOKUP($B$17+6,$C$16:$Z$17,2)</f>
        <v>April</v>
      </c>
      <c r="J19" s="658" t="str">
        <f>HLOOKUP($B$17+7,$C$16:$Z$17,2)</f>
        <v>May</v>
      </c>
      <c r="K19" s="658" t="str">
        <f>HLOOKUP($B$17+8,$C$16:$Z$17,2)</f>
        <v>June</v>
      </c>
      <c r="L19" s="658" t="str">
        <f>HLOOKUP($B$17+9,$C$16:$Z$17,2)</f>
        <v>July</v>
      </c>
      <c r="M19" s="658" t="str">
        <f>HLOOKUP($B$17+10,$C$16:$Z$17,2)</f>
        <v>August</v>
      </c>
      <c r="N19" s="658" t="str">
        <f>HLOOKUP($B$17+11,$C$16:$Z$17,2)</f>
        <v>September</v>
      </c>
      <c r="O19" s="656" t="str">
        <f>C19</f>
        <v>October</v>
      </c>
      <c r="P19" s="656" t="str">
        <f t="shared" si="9"/>
        <v>November</v>
      </c>
      <c r="Q19" s="656" t="str">
        <f t="shared" si="9"/>
        <v>December</v>
      </c>
      <c r="R19" s="656" t="str">
        <f t="shared" si="9"/>
        <v>January</v>
      </c>
      <c r="S19" s="656" t="str">
        <f t="shared" si="9"/>
        <v>February</v>
      </c>
      <c r="T19" s="656" t="str">
        <f t="shared" si="9"/>
        <v>March</v>
      </c>
      <c r="U19" s="656" t="str">
        <f t="shared" si="9"/>
        <v>April</v>
      </c>
      <c r="V19" s="656" t="str">
        <f t="shared" si="9"/>
        <v>May</v>
      </c>
      <c r="W19" s="656" t="str">
        <f t="shared" si="9"/>
        <v>June</v>
      </c>
      <c r="X19" s="656" t="str">
        <f t="shared" si="9"/>
        <v>July</v>
      </c>
      <c r="Y19" s="656" t="str">
        <f t="shared" si="9"/>
        <v>August</v>
      </c>
      <c r="Z19" s="656" t="str">
        <f t="shared" si="9"/>
        <v>September</v>
      </c>
    </row>
    <row r="20" spans="1:40" hidden="1" outlineLevel="1">
      <c r="A20" s="833">
        <v>0.18054999999999952</v>
      </c>
      <c r="B20" s="659" t="s">
        <v>550</v>
      </c>
      <c r="C20" s="660"/>
      <c r="D20" s="660"/>
      <c r="E20" s="660"/>
      <c r="F20" s="660"/>
      <c r="G20" s="660"/>
      <c r="H20" s="660"/>
      <c r="I20" s="660"/>
      <c r="J20" s="660"/>
      <c r="K20" s="660"/>
      <c r="L20" s="660"/>
      <c r="M20" s="660"/>
      <c r="N20" s="660"/>
      <c r="O20" s="661">
        <f t="shared" ref="O20:O27" si="21">IF(C20=0,0,$O$15+A20)</f>
        <v>0</v>
      </c>
      <c r="P20" s="661">
        <f>IF(D20=0,0,P$15+A$20)</f>
        <v>0</v>
      </c>
      <c r="Q20" s="661">
        <f t="shared" ref="Q20:Z27" si="22">IF(E20=0,0,Q$15+$A20)</f>
        <v>0</v>
      </c>
      <c r="R20" s="661">
        <f t="shared" si="22"/>
        <v>0</v>
      </c>
      <c r="S20" s="661">
        <f t="shared" si="22"/>
        <v>0</v>
      </c>
      <c r="T20" s="661">
        <f t="shared" si="22"/>
        <v>0</v>
      </c>
      <c r="U20" s="661">
        <f t="shared" si="22"/>
        <v>0</v>
      </c>
      <c r="V20" s="661">
        <f t="shared" si="22"/>
        <v>0</v>
      </c>
      <c r="W20" s="661">
        <f t="shared" si="22"/>
        <v>0</v>
      </c>
      <c r="X20" s="661">
        <f t="shared" si="22"/>
        <v>0</v>
      </c>
      <c r="Y20" s="661">
        <f t="shared" si="22"/>
        <v>0</v>
      </c>
      <c r="Z20" s="661">
        <f t="shared" si="22"/>
        <v>0</v>
      </c>
      <c r="AA20" s="651">
        <f>SUM(C20:N20)</f>
        <v>0</v>
      </c>
      <c r="AB20" s="717">
        <v>2</v>
      </c>
      <c r="AC20" s="662" t="e">
        <f>$AB$20*(1+($AB$21/$AB$22))^AC18</f>
        <v>#DIV/0!</v>
      </c>
      <c r="AD20" s="662" t="e">
        <f t="shared" ref="AD20:AN20" si="23">$AB$20*(1+($AB$21/$AB$22))^AD18</f>
        <v>#DIV/0!</v>
      </c>
      <c r="AE20" s="662" t="e">
        <f t="shared" si="23"/>
        <v>#DIV/0!</v>
      </c>
      <c r="AF20" s="662" t="e">
        <f t="shared" si="23"/>
        <v>#DIV/0!</v>
      </c>
      <c r="AG20" s="662" t="e">
        <f t="shared" si="23"/>
        <v>#DIV/0!</v>
      </c>
      <c r="AH20" s="662" t="e">
        <f t="shared" si="23"/>
        <v>#DIV/0!</v>
      </c>
      <c r="AI20" s="662" t="e">
        <f t="shared" si="23"/>
        <v>#DIV/0!</v>
      </c>
      <c r="AJ20" s="662" t="e">
        <f t="shared" si="23"/>
        <v>#DIV/0!</v>
      </c>
      <c r="AK20" s="662" t="e">
        <f t="shared" si="23"/>
        <v>#DIV/0!</v>
      </c>
      <c r="AL20" s="662" t="e">
        <f t="shared" si="23"/>
        <v>#DIV/0!</v>
      </c>
      <c r="AM20" s="662" t="e">
        <f t="shared" si="23"/>
        <v>#DIV/0!</v>
      </c>
      <c r="AN20" s="662" t="e">
        <f t="shared" si="23"/>
        <v>#DIV/0!</v>
      </c>
    </row>
    <row r="21" spans="1:40" s="634" customFormat="1" hidden="1" outlineLevel="1">
      <c r="A21" s="833">
        <v>1.2500000000000001E-2</v>
      </c>
      <c r="B21" s="659" t="s">
        <v>550</v>
      </c>
      <c r="C21" s="663"/>
      <c r="D21" s="663"/>
      <c r="E21" s="663"/>
      <c r="F21" s="663"/>
      <c r="G21" s="663"/>
      <c r="H21" s="663"/>
      <c r="I21" s="663"/>
      <c r="J21" s="663"/>
      <c r="K21" s="663"/>
      <c r="L21" s="663"/>
      <c r="M21" s="663"/>
      <c r="N21" s="663"/>
      <c r="O21" s="661">
        <f t="shared" si="21"/>
        <v>0</v>
      </c>
      <c r="P21" s="661">
        <f>IF(D21=0,0,P$15+A$20)</f>
        <v>0</v>
      </c>
      <c r="Q21" s="661">
        <f t="shared" si="22"/>
        <v>0</v>
      </c>
      <c r="R21" s="661">
        <f t="shared" si="22"/>
        <v>0</v>
      </c>
      <c r="S21" s="664">
        <f t="shared" si="22"/>
        <v>0</v>
      </c>
      <c r="T21" s="664">
        <f t="shared" si="22"/>
        <v>0</v>
      </c>
      <c r="U21" s="664">
        <f t="shared" si="22"/>
        <v>0</v>
      </c>
      <c r="V21" s="664">
        <f t="shared" si="22"/>
        <v>0</v>
      </c>
      <c r="W21" s="664">
        <f t="shared" si="22"/>
        <v>0</v>
      </c>
      <c r="X21" s="664">
        <f t="shared" si="22"/>
        <v>0</v>
      </c>
      <c r="Y21" s="664">
        <f t="shared" si="22"/>
        <v>0</v>
      </c>
      <c r="Z21" s="664">
        <f t="shared" si="22"/>
        <v>0</v>
      </c>
      <c r="AA21" s="665">
        <f t="shared" ref="AA21:AA53" si="24">SUM(C21:N21)</f>
        <v>0</v>
      </c>
      <c r="AB21" s="719">
        <f>AA21-G21-H21</f>
        <v>0</v>
      </c>
    </row>
    <row r="22" spans="1:40" hidden="1" outlineLevel="1">
      <c r="A22" s="833">
        <v>0.04</v>
      </c>
      <c r="B22" s="659" t="s">
        <v>550</v>
      </c>
      <c r="C22" s="660"/>
      <c r="D22" s="660"/>
      <c r="E22" s="663"/>
      <c r="F22" s="663"/>
      <c r="G22" s="660"/>
      <c r="H22" s="660"/>
      <c r="I22" s="660"/>
      <c r="J22" s="660"/>
      <c r="K22" s="660"/>
      <c r="L22" s="660"/>
      <c r="M22" s="660"/>
      <c r="N22" s="660"/>
      <c r="O22" s="661">
        <f t="shared" si="21"/>
        <v>0</v>
      </c>
      <c r="P22" s="661">
        <f t="shared" ref="P22:P27" si="25">IF(D22=0,0,$P$15+A22)</f>
        <v>0</v>
      </c>
      <c r="Q22" s="661">
        <f t="shared" si="22"/>
        <v>0</v>
      </c>
      <c r="R22" s="661">
        <f t="shared" si="22"/>
        <v>0</v>
      </c>
      <c r="S22" s="661">
        <f t="shared" si="22"/>
        <v>0</v>
      </c>
      <c r="T22" s="661">
        <f t="shared" si="22"/>
        <v>0</v>
      </c>
      <c r="U22" s="661">
        <f t="shared" si="22"/>
        <v>0</v>
      </c>
      <c r="V22" s="661">
        <f t="shared" si="22"/>
        <v>0</v>
      </c>
      <c r="W22" s="661">
        <f t="shared" si="22"/>
        <v>0</v>
      </c>
      <c r="X22" s="661">
        <f t="shared" si="22"/>
        <v>0</v>
      </c>
      <c r="Y22" s="661">
        <f t="shared" si="22"/>
        <v>0</v>
      </c>
      <c r="Z22" s="661">
        <f t="shared" si="22"/>
        <v>0</v>
      </c>
      <c r="AA22" s="651">
        <f t="shared" si="24"/>
        <v>0</v>
      </c>
    </row>
    <row r="23" spans="1:40" hidden="1" outlineLevel="1">
      <c r="A23" s="833">
        <v>0.01</v>
      </c>
      <c r="B23" s="659" t="s">
        <v>550</v>
      </c>
      <c r="C23" s="660"/>
      <c r="D23" s="660"/>
      <c r="E23" s="663"/>
      <c r="F23" s="663"/>
      <c r="G23" s="660"/>
      <c r="H23" s="660"/>
      <c r="I23" s="660"/>
      <c r="J23" s="660"/>
      <c r="K23" s="660"/>
      <c r="L23" s="660"/>
      <c r="M23" s="660"/>
      <c r="N23" s="660"/>
      <c r="O23" s="661">
        <f t="shared" si="21"/>
        <v>0</v>
      </c>
      <c r="P23" s="661">
        <f t="shared" si="25"/>
        <v>0</v>
      </c>
      <c r="Q23" s="661">
        <f t="shared" si="22"/>
        <v>0</v>
      </c>
      <c r="R23" s="661">
        <f t="shared" si="22"/>
        <v>0</v>
      </c>
      <c r="S23" s="661">
        <f t="shared" si="22"/>
        <v>0</v>
      </c>
      <c r="T23" s="661">
        <f t="shared" si="22"/>
        <v>0</v>
      </c>
      <c r="U23" s="661">
        <f t="shared" si="22"/>
        <v>0</v>
      </c>
      <c r="V23" s="661">
        <f t="shared" si="22"/>
        <v>0</v>
      </c>
      <c r="W23" s="661">
        <f t="shared" si="22"/>
        <v>0</v>
      </c>
      <c r="X23" s="661">
        <f t="shared" si="22"/>
        <v>0</v>
      </c>
      <c r="Y23" s="661">
        <f t="shared" si="22"/>
        <v>0</v>
      </c>
      <c r="Z23" s="661">
        <f t="shared" si="22"/>
        <v>0</v>
      </c>
      <c r="AA23" s="651">
        <f t="shared" si="24"/>
        <v>0</v>
      </c>
    </row>
    <row r="24" spans="1:40" s="634" customFormat="1" hidden="1" outlineLevel="1">
      <c r="A24" s="833">
        <v>0.01</v>
      </c>
      <c r="B24" s="659" t="s">
        <v>550</v>
      </c>
      <c r="C24" s="663"/>
      <c r="D24" s="663"/>
      <c r="E24" s="663"/>
      <c r="F24" s="663"/>
      <c r="G24" s="660"/>
      <c r="H24" s="663"/>
      <c r="I24" s="663"/>
      <c r="J24" s="663"/>
      <c r="K24" s="663"/>
      <c r="L24" s="663"/>
      <c r="M24" s="663"/>
      <c r="N24" s="663"/>
      <c r="O24" s="661">
        <f t="shared" si="21"/>
        <v>0</v>
      </c>
      <c r="P24" s="661">
        <f t="shared" si="25"/>
        <v>0</v>
      </c>
      <c r="Q24" s="661">
        <f t="shared" si="22"/>
        <v>0</v>
      </c>
      <c r="R24" s="661">
        <f t="shared" si="22"/>
        <v>0</v>
      </c>
      <c r="S24" s="661">
        <f t="shared" si="22"/>
        <v>0</v>
      </c>
      <c r="T24" s="661">
        <f t="shared" si="22"/>
        <v>0</v>
      </c>
      <c r="U24" s="661">
        <f t="shared" si="22"/>
        <v>0</v>
      </c>
      <c r="V24" s="661">
        <f t="shared" si="22"/>
        <v>0</v>
      </c>
      <c r="W24" s="661">
        <f t="shared" si="22"/>
        <v>0</v>
      </c>
      <c r="X24" s="661">
        <f t="shared" si="22"/>
        <v>0</v>
      </c>
      <c r="Y24" s="661">
        <f t="shared" si="22"/>
        <v>0</v>
      </c>
      <c r="Z24" s="661">
        <f t="shared" si="22"/>
        <v>0</v>
      </c>
      <c r="AA24" s="665">
        <f t="shared" si="24"/>
        <v>0</v>
      </c>
      <c r="AB24" s="665">
        <f>AA24</f>
        <v>0</v>
      </c>
    </row>
    <row r="25" spans="1:40" s="634" customFormat="1" hidden="1" outlineLevel="1">
      <c r="A25" s="833">
        <v>5.0000000000000001E-3</v>
      </c>
      <c r="B25" s="659" t="s">
        <v>550</v>
      </c>
      <c r="C25" s="663"/>
      <c r="D25" s="663"/>
      <c r="E25" s="663"/>
      <c r="F25" s="663"/>
      <c r="G25" s="660"/>
      <c r="H25" s="663"/>
      <c r="I25" s="663"/>
      <c r="J25" s="663"/>
      <c r="K25" s="663"/>
      <c r="L25" s="663"/>
      <c r="M25" s="663"/>
      <c r="N25" s="663"/>
      <c r="O25" s="661">
        <f t="shared" si="21"/>
        <v>0</v>
      </c>
      <c r="P25" s="661">
        <f t="shared" si="25"/>
        <v>0</v>
      </c>
      <c r="Q25" s="661">
        <f t="shared" si="22"/>
        <v>0</v>
      </c>
      <c r="R25" s="661">
        <f t="shared" si="22"/>
        <v>0</v>
      </c>
      <c r="S25" s="661">
        <f>IF(G25=0,0,S$15+$A25)</f>
        <v>0</v>
      </c>
      <c r="T25" s="661">
        <f t="shared" si="22"/>
        <v>0</v>
      </c>
      <c r="U25" s="661">
        <f t="shared" si="22"/>
        <v>0</v>
      </c>
      <c r="V25" s="661">
        <f t="shared" si="22"/>
        <v>0</v>
      </c>
      <c r="W25" s="661">
        <f t="shared" si="22"/>
        <v>0</v>
      </c>
      <c r="X25" s="661">
        <f t="shared" si="22"/>
        <v>0</v>
      </c>
      <c r="Y25" s="661">
        <f t="shared" si="22"/>
        <v>0</v>
      </c>
      <c r="Z25" s="661">
        <f t="shared" si="22"/>
        <v>0</v>
      </c>
      <c r="AA25" s="665">
        <f t="shared" si="24"/>
        <v>0</v>
      </c>
      <c r="AB25" s="665">
        <f>AA25</f>
        <v>0</v>
      </c>
    </row>
    <row r="26" spans="1:40" hidden="1" outlineLevel="1">
      <c r="A26" s="833">
        <v>0.01</v>
      </c>
      <c r="B26" s="659" t="s">
        <v>550</v>
      </c>
      <c r="C26" s="660"/>
      <c r="D26" s="660"/>
      <c r="E26" s="663"/>
      <c r="F26" s="663"/>
      <c r="G26" s="660"/>
      <c r="H26" s="660"/>
      <c r="I26" s="660"/>
      <c r="J26" s="660"/>
      <c r="K26" s="660"/>
      <c r="L26" s="660"/>
      <c r="M26" s="660"/>
      <c r="N26" s="660"/>
      <c r="O26" s="661">
        <f t="shared" si="21"/>
        <v>0</v>
      </c>
      <c r="P26" s="661">
        <f t="shared" si="25"/>
        <v>0</v>
      </c>
      <c r="Q26" s="661">
        <f t="shared" si="22"/>
        <v>0</v>
      </c>
      <c r="R26" s="661">
        <f t="shared" si="22"/>
        <v>0</v>
      </c>
      <c r="S26" s="661">
        <f t="shared" si="22"/>
        <v>0</v>
      </c>
      <c r="T26" s="661">
        <f t="shared" si="22"/>
        <v>0</v>
      </c>
      <c r="U26" s="661">
        <f t="shared" si="22"/>
        <v>0</v>
      </c>
      <c r="V26" s="661">
        <f t="shared" si="22"/>
        <v>0</v>
      </c>
      <c r="W26" s="661">
        <f t="shared" si="22"/>
        <v>0</v>
      </c>
      <c r="X26" s="661">
        <f t="shared" si="22"/>
        <v>0</v>
      </c>
      <c r="Y26" s="661">
        <f t="shared" si="22"/>
        <v>0</v>
      </c>
      <c r="Z26" s="661">
        <f t="shared" si="22"/>
        <v>0</v>
      </c>
      <c r="AA26" s="651">
        <f>SUM(C26:S26)</f>
        <v>0</v>
      </c>
      <c r="AB26" s="662"/>
    </row>
    <row r="27" spans="1:40" s="634" customFormat="1" hidden="1" outlineLevel="1">
      <c r="A27" s="833">
        <v>-0.08</v>
      </c>
      <c r="B27" s="659" t="s">
        <v>550</v>
      </c>
      <c r="C27" s="663"/>
      <c r="D27" s="663"/>
      <c r="E27" s="663"/>
      <c r="F27" s="663"/>
      <c r="G27" s="663"/>
      <c r="H27" s="663"/>
      <c r="I27" s="663"/>
      <c r="J27" s="663"/>
      <c r="K27" s="663"/>
      <c r="L27" s="663"/>
      <c r="M27" s="663"/>
      <c r="N27" s="663"/>
      <c r="O27" s="661">
        <f t="shared" si="21"/>
        <v>0</v>
      </c>
      <c r="P27" s="661">
        <f t="shared" si="25"/>
        <v>0</v>
      </c>
      <c r="Q27" s="661">
        <f>IF(E27=0,0,Q$15+$A27)</f>
        <v>0</v>
      </c>
      <c r="R27" s="661">
        <f t="shared" si="22"/>
        <v>0</v>
      </c>
      <c r="S27" s="661">
        <f t="shared" si="22"/>
        <v>0</v>
      </c>
      <c r="T27" s="661">
        <f t="shared" si="22"/>
        <v>0</v>
      </c>
      <c r="U27" s="661">
        <f t="shared" si="22"/>
        <v>0</v>
      </c>
      <c r="V27" s="661">
        <f t="shared" si="22"/>
        <v>0</v>
      </c>
      <c r="W27" s="661">
        <f t="shared" si="22"/>
        <v>0</v>
      </c>
      <c r="X27" s="661">
        <f t="shared" si="22"/>
        <v>0</v>
      </c>
      <c r="Y27" s="661">
        <f t="shared" si="22"/>
        <v>0</v>
      </c>
      <c r="Z27" s="661">
        <f t="shared" si="22"/>
        <v>0</v>
      </c>
      <c r="AA27" s="665">
        <f t="shared" si="24"/>
        <v>0</v>
      </c>
    </row>
    <row r="28" spans="1:40" s="720" customFormat="1" hidden="1" outlineLevel="1">
      <c r="A28" s="833">
        <v>4.72</v>
      </c>
      <c r="B28" s="721" t="s">
        <v>546</v>
      </c>
      <c r="C28" s="722">
        <v>0</v>
      </c>
      <c r="D28" s="722">
        <v>0</v>
      </c>
      <c r="E28" s="722"/>
      <c r="F28" s="722"/>
      <c r="G28" s="722"/>
      <c r="H28" s="722"/>
      <c r="I28" s="722"/>
      <c r="J28" s="722"/>
      <c r="K28" s="722"/>
      <c r="L28" s="722"/>
      <c r="M28" s="722"/>
      <c r="N28" s="722"/>
      <c r="O28" s="723">
        <f>IF(C28=0,0,$A28)</f>
        <v>0</v>
      </c>
      <c r="P28" s="723">
        <f>IF(D28=0,0,$A28)</f>
        <v>0</v>
      </c>
      <c r="Q28" s="723">
        <f t="shared" ref="Q28:Z39" si="26">IF(E28=0,0,$A28)</f>
        <v>0</v>
      </c>
      <c r="R28" s="723">
        <f t="shared" si="26"/>
        <v>0</v>
      </c>
      <c r="S28" s="723">
        <f t="shared" si="26"/>
        <v>0</v>
      </c>
      <c r="T28" s="723">
        <f t="shared" si="26"/>
        <v>0</v>
      </c>
      <c r="U28" s="723">
        <f t="shared" si="26"/>
        <v>0</v>
      </c>
      <c r="V28" s="723">
        <f t="shared" si="26"/>
        <v>0</v>
      </c>
      <c r="W28" s="723">
        <f t="shared" si="26"/>
        <v>0</v>
      </c>
      <c r="X28" s="723">
        <f t="shared" si="26"/>
        <v>0</v>
      </c>
      <c r="Y28" s="723">
        <f t="shared" si="26"/>
        <v>0</v>
      </c>
      <c r="Z28" s="723">
        <f t="shared" si="26"/>
        <v>0</v>
      </c>
      <c r="AA28" s="724">
        <f t="shared" si="24"/>
        <v>0</v>
      </c>
      <c r="AB28" s="724">
        <f>AA28</f>
        <v>0</v>
      </c>
    </row>
    <row r="29" spans="1:40" s="634" customFormat="1" hidden="1" outlineLevel="1">
      <c r="A29" s="833">
        <v>4.72</v>
      </c>
      <c r="B29" s="721" t="s">
        <v>546</v>
      </c>
      <c r="C29" s="722">
        <v>0</v>
      </c>
      <c r="D29" s="722">
        <v>0</v>
      </c>
      <c r="E29" s="722"/>
      <c r="F29" s="722"/>
      <c r="G29" s="722"/>
      <c r="H29" s="722"/>
      <c r="I29" s="722"/>
      <c r="J29" s="722"/>
      <c r="K29" s="722"/>
      <c r="L29" s="722"/>
      <c r="M29" s="722"/>
      <c r="N29" s="722"/>
      <c r="O29" s="723">
        <f t="shared" ref="O29:P39" si="27">IF(C29=0,0,$A29)</f>
        <v>0</v>
      </c>
      <c r="P29" s="723">
        <f t="shared" si="27"/>
        <v>0</v>
      </c>
      <c r="Q29" s="723">
        <f t="shared" si="26"/>
        <v>0</v>
      </c>
      <c r="R29" s="723">
        <f t="shared" si="26"/>
        <v>0</v>
      </c>
      <c r="S29" s="723">
        <f t="shared" si="26"/>
        <v>0</v>
      </c>
      <c r="T29" s="723">
        <f t="shared" si="26"/>
        <v>0</v>
      </c>
      <c r="U29" s="723">
        <f t="shared" si="26"/>
        <v>0</v>
      </c>
      <c r="V29" s="723">
        <f t="shared" si="26"/>
        <v>0</v>
      </c>
      <c r="W29" s="723">
        <f t="shared" si="26"/>
        <v>0</v>
      </c>
      <c r="X29" s="723">
        <f t="shared" si="26"/>
        <v>0</v>
      </c>
      <c r="Y29" s="723">
        <f t="shared" si="26"/>
        <v>0</v>
      </c>
      <c r="Z29" s="723">
        <f t="shared" si="26"/>
        <v>0</v>
      </c>
      <c r="AA29" s="665">
        <f t="shared" si="24"/>
        <v>0</v>
      </c>
      <c r="AB29" s="665">
        <f>AA29</f>
        <v>0</v>
      </c>
    </row>
    <row r="30" spans="1:40" s="720" customFormat="1" hidden="1" outlineLevel="1">
      <c r="A30" s="833">
        <v>4.72</v>
      </c>
      <c r="B30" s="721" t="s">
        <v>546</v>
      </c>
      <c r="C30" s="722">
        <v>0</v>
      </c>
      <c r="D30" s="722">
        <v>0</v>
      </c>
      <c r="E30" s="722"/>
      <c r="F30" s="722"/>
      <c r="G30" s="722"/>
      <c r="H30" s="722"/>
      <c r="I30" s="722"/>
      <c r="J30" s="722"/>
      <c r="K30" s="722"/>
      <c r="L30" s="722"/>
      <c r="M30" s="722"/>
      <c r="N30" s="722"/>
      <c r="O30" s="723">
        <f t="shared" si="27"/>
        <v>0</v>
      </c>
      <c r="P30" s="723">
        <f t="shared" si="27"/>
        <v>0</v>
      </c>
      <c r="Q30" s="723">
        <f t="shared" si="26"/>
        <v>0</v>
      </c>
      <c r="R30" s="723">
        <f t="shared" si="26"/>
        <v>0</v>
      </c>
      <c r="S30" s="723">
        <f t="shared" si="26"/>
        <v>0</v>
      </c>
      <c r="T30" s="723">
        <f t="shared" si="26"/>
        <v>0</v>
      </c>
      <c r="U30" s="723">
        <f t="shared" si="26"/>
        <v>0</v>
      </c>
      <c r="V30" s="723">
        <f t="shared" si="26"/>
        <v>0</v>
      </c>
      <c r="W30" s="723">
        <f t="shared" si="26"/>
        <v>0</v>
      </c>
      <c r="X30" s="723">
        <f t="shared" si="26"/>
        <v>0</v>
      </c>
      <c r="Y30" s="723">
        <f t="shared" si="26"/>
        <v>0</v>
      </c>
      <c r="Z30" s="723">
        <f t="shared" si="26"/>
        <v>0</v>
      </c>
      <c r="AA30" s="724">
        <f t="shared" si="24"/>
        <v>0</v>
      </c>
    </row>
    <row r="31" spans="1:40" s="634" customFormat="1" hidden="1" outlineLevel="1">
      <c r="A31" s="833">
        <v>4.72</v>
      </c>
      <c r="B31" s="721" t="s">
        <v>546</v>
      </c>
      <c r="C31" s="722">
        <v>0</v>
      </c>
      <c r="D31" s="722">
        <v>0</v>
      </c>
      <c r="E31" s="722"/>
      <c r="F31" s="722"/>
      <c r="G31" s="722"/>
      <c r="H31" s="722"/>
      <c r="I31" s="722"/>
      <c r="J31" s="722"/>
      <c r="K31" s="722"/>
      <c r="L31" s="722"/>
      <c r="M31" s="722"/>
      <c r="N31" s="722"/>
      <c r="O31" s="723">
        <f t="shared" si="27"/>
        <v>0</v>
      </c>
      <c r="P31" s="723">
        <f t="shared" si="27"/>
        <v>0</v>
      </c>
      <c r="Q31" s="723">
        <f t="shared" si="26"/>
        <v>0</v>
      </c>
      <c r="R31" s="723">
        <f t="shared" si="26"/>
        <v>0</v>
      </c>
      <c r="S31" s="723">
        <f t="shared" si="26"/>
        <v>0</v>
      </c>
      <c r="T31" s="723">
        <f t="shared" si="26"/>
        <v>0</v>
      </c>
      <c r="U31" s="723">
        <f t="shared" si="26"/>
        <v>0</v>
      </c>
      <c r="V31" s="723">
        <f t="shared" si="26"/>
        <v>0</v>
      </c>
      <c r="W31" s="723">
        <f t="shared" si="26"/>
        <v>0</v>
      </c>
      <c r="X31" s="723">
        <f t="shared" si="26"/>
        <v>0</v>
      </c>
      <c r="Y31" s="723">
        <f t="shared" si="26"/>
        <v>0</v>
      </c>
      <c r="Z31" s="723">
        <f t="shared" si="26"/>
        <v>0</v>
      </c>
      <c r="AA31" s="665">
        <f t="shared" si="24"/>
        <v>0</v>
      </c>
      <c r="AB31" s="665">
        <f>AA31</f>
        <v>0</v>
      </c>
    </row>
    <row r="32" spans="1:40" s="634" customFormat="1" hidden="1" outlineLevel="1">
      <c r="A32" s="833">
        <v>4.72</v>
      </c>
      <c r="B32" s="721" t="s">
        <v>546</v>
      </c>
      <c r="C32" s="722">
        <v>0</v>
      </c>
      <c r="D32" s="722">
        <v>0</v>
      </c>
      <c r="E32" s="722"/>
      <c r="F32" s="722"/>
      <c r="G32" s="722"/>
      <c r="H32" s="722"/>
      <c r="I32" s="722"/>
      <c r="J32" s="722"/>
      <c r="K32" s="722"/>
      <c r="L32" s="722"/>
      <c r="M32" s="722"/>
      <c r="N32" s="722"/>
      <c r="O32" s="723">
        <f t="shared" si="27"/>
        <v>0</v>
      </c>
      <c r="P32" s="723">
        <f t="shared" si="27"/>
        <v>0</v>
      </c>
      <c r="Q32" s="723">
        <f t="shared" si="26"/>
        <v>0</v>
      </c>
      <c r="R32" s="723">
        <f t="shared" si="26"/>
        <v>0</v>
      </c>
      <c r="S32" s="723">
        <f t="shared" si="26"/>
        <v>0</v>
      </c>
      <c r="T32" s="723">
        <f t="shared" si="26"/>
        <v>0</v>
      </c>
      <c r="U32" s="723">
        <f t="shared" si="26"/>
        <v>0</v>
      </c>
      <c r="V32" s="723">
        <f t="shared" si="26"/>
        <v>0</v>
      </c>
      <c r="W32" s="723">
        <f t="shared" si="26"/>
        <v>0</v>
      </c>
      <c r="X32" s="723">
        <f t="shared" si="26"/>
        <v>0</v>
      </c>
      <c r="Y32" s="723">
        <f t="shared" si="26"/>
        <v>0</v>
      </c>
      <c r="Z32" s="723">
        <f t="shared" si="26"/>
        <v>0</v>
      </c>
      <c r="AA32" s="665">
        <f t="shared" si="24"/>
        <v>0</v>
      </c>
      <c r="AB32" s="665">
        <f>AA32</f>
        <v>0</v>
      </c>
    </row>
    <row r="33" spans="1:28" s="720" customFormat="1" hidden="1" outlineLevel="1">
      <c r="A33" s="833">
        <v>4.72</v>
      </c>
      <c r="B33" s="721" t="s">
        <v>546</v>
      </c>
      <c r="C33" s="722">
        <v>0</v>
      </c>
      <c r="D33" s="722">
        <v>0</v>
      </c>
      <c r="E33" s="722"/>
      <c r="F33" s="722"/>
      <c r="G33" s="722"/>
      <c r="H33" s="722"/>
      <c r="I33" s="722"/>
      <c r="J33" s="722"/>
      <c r="K33" s="722"/>
      <c r="L33" s="722"/>
      <c r="M33" s="722"/>
      <c r="N33" s="722"/>
      <c r="O33" s="723">
        <f t="shared" si="27"/>
        <v>0</v>
      </c>
      <c r="P33" s="723">
        <f t="shared" si="27"/>
        <v>0</v>
      </c>
      <c r="Q33" s="723">
        <f t="shared" si="26"/>
        <v>0</v>
      </c>
      <c r="R33" s="723">
        <f t="shared" si="26"/>
        <v>0</v>
      </c>
      <c r="S33" s="723">
        <f t="shared" si="26"/>
        <v>0</v>
      </c>
      <c r="T33" s="723">
        <f t="shared" si="26"/>
        <v>0</v>
      </c>
      <c r="U33" s="723">
        <f t="shared" si="26"/>
        <v>0</v>
      </c>
      <c r="V33" s="723">
        <f t="shared" si="26"/>
        <v>0</v>
      </c>
      <c r="W33" s="723">
        <f t="shared" si="26"/>
        <v>0</v>
      </c>
      <c r="X33" s="723">
        <f t="shared" si="26"/>
        <v>0</v>
      </c>
      <c r="Y33" s="723">
        <f t="shared" si="26"/>
        <v>0</v>
      </c>
      <c r="Z33" s="723">
        <f t="shared" si="26"/>
        <v>0</v>
      </c>
      <c r="AA33" s="724">
        <f t="shared" si="24"/>
        <v>0</v>
      </c>
      <c r="AB33" s="724">
        <f>AA33</f>
        <v>0</v>
      </c>
    </row>
    <row r="34" spans="1:28" hidden="1" outlineLevel="1">
      <c r="A34" s="833">
        <v>4.72</v>
      </c>
      <c r="B34" s="721" t="s">
        <v>546</v>
      </c>
      <c r="C34" s="722">
        <v>0</v>
      </c>
      <c r="D34" s="722">
        <v>0</v>
      </c>
      <c r="E34" s="722"/>
      <c r="F34" s="722"/>
      <c r="G34" s="722"/>
      <c r="H34" s="722"/>
      <c r="I34" s="722"/>
      <c r="J34" s="722"/>
      <c r="K34" s="722"/>
      <c r="L34" s="722"/>
      <c r="M34" s="722"/>
      <c r="N34" s="722"/>
      <c r="O34" s="723">
        <f t="shared" si="27"/>
        <v>0</v>
      </c>
      <c r="P34" s="723">
        <f t="shared" si="27"/>
        <v>0</v>
      </c>
      <c r="Q34" s="723">
        <f t="shared" si="26"/>
        <v>0</v>
      </c>
      <c r="R34" s="723">
        <f t="shared" si="26"/>
        <v>0</v>
      </c>
      <c r="S34" s="723">
        <f t="shared" si="26"/>
        <v>0</v>
      </c>
      <c r="T34" s="723">
        <f t="shared" si="26"/>
        <v>0</v>
      </c>
      <c r="U34" s="723">
        <f t="shared" si="26"/>
        <v>0</v>
      </c>
      <c r="V34" s="723">
        <f t="shared" si="26"/>
        <v>0</v>
      </c>
      <c r="W34" s="723">
        <f t="shared" si="26"/>
        <v>0</v>
      </c>
      <c r="X34" s="723">
        <f t="shared" si="26"/>
        <v>0</v>
      </c>
      <c r="Y34" s="723">
        <f t="shared" si="26"/>
        <v>0</v>
      </c>
      <c r="Z34" s="723">
        <f t="shared" si="26"/>
        <v>0</v>
      </c>
      <c r="AA34" s="651">
        <f t="shared" si="24"/>
        <v>0</v>
      </c>
      <c r="AB34" s="651">
        <f>AA34-G34</f>
        <v>0</v>
      </c>
    </row>
    <row r="35" spans="1:28" s="634" customFormat="1" hidden="1" outlineLevel="1">
      <c r="A35" s="833">
        <v>4.72</v>
      </c>
      <c r="B35" s="721" t="s">
        <v>546</v>
      </c>
      <c r="C35" s="722">
        <v>0</v>
      </c>
      <c r="D35" s="722">
        <v>0</v>
      </c>
      <c r="E35" s="722"/>
      <c r="F35" s="722"/>
      <c r="G35" s="722"/>
      <c r="H35" s="722"/>
      <c r="I35" s="722"/>
      <c r="J35" s="722"/>
      <c r="K35" s="722"/>
      <c r="L35" s="722"/>
      <c r="M35" s="722"/>
      <c r="N35" s="722"/>
      <c r="O35" s="723">
        <f t="shared" si="27"/>
        <v>0</v>
      </c>
      <c r="P35" s="723">
        <f t="shared" si="27"/>
        <v>0</v>
      </c>
      <c r="Q35" s="723">
        <f t="shared" si="26"/>
        <v>0</v>
      </c>
      <c r="R35" s="723">
        <f t="shared" si="26"/>
        <v>0</v>
      </c>
      <c r="S35" s="723">
        <f t="shared" si="26"/>
        <v>0</v>
      </c>
      <c r="T35" s="723">
        <f t="shared" si="26"/>
        <v>0</v>
      </c>
      <c r="U35" s="723">
        <f t="shared" si="26"/>
        <v>0</v>
      </c>
      <c r="V35" s="723">
        <f t="shared" si="26"/>
        <v>0</v>
      </c>
      <c r="W35" s="723">
        <f t="shared" si="26"/>
        <v>0</v>
      </c>
      <c r="X35" s="723">
        <f t="shared" si="26"/>
        <v>0</v>
      </c>
      <c r="Y35" s="723">
        <f t="shared" si="26"/>
        <v>0</v>
      </c>
      <c r="Z35" s="723">
        <f t="shared" si="26"/>
        <v>0</v>
      </c>
      <c r="AA35" s="665">
        <f t="shared" si="24"/>
        <v>0</v>
      </c>
      <c r="AB35" s="665">
        <f>AA35</f>
        <v>0</v>
      </c>
    </row>
    <row r="36" spans="1:28" s="634" customFormat="1" hidden="1" outlineLevel="1">
      <c r="A36" s="833">
        <v>4.72</v>
      </c>
      <c r="B36" s="721" t="s">
        <v>546</v>
      </c>
      <c r="C36" s="722">
        <v>0</v>
      </c>
      <c r="D36" s="722">
        <v>0</v>
      </c>
      <c r="E36" s="722"/>
      <c r="F36" s="722"/>
      <c r="G36" s="722"/>
      <c r="H36" s="722"/>
      <c r="I36" s="722"/>
      <c r="J36" s="722"/>
      <c r="K36" s="722"/>
      <c r="L36" s="722"/>
      <c r="M36" s="722"/>
      <c r="N36" s="722"/>
      <c r="O36" s="723">
        <f t="shared" si="27"/>
        <v>0</v>
      </c>
      <c r="P36" s="723">
        <f t="shared" si="27"/>
        <v>0</v>
      </c>
      <c r="Q36" s="723">
        <f t="shared" si="26"/>
        <v>0</v>
      </c>
      <c r="R36" s="723">
        <f t="shared" si="26"/>
        <v>0</v>
      </c>
      <c r="S36" s="723">
        <f t="shared" si="26"/>
        <v>0</v>
      </c>
      <c r="T36" s="723">
        <f t="shared" si="26"/>
        <v>0</v>
      </c>
      <c r="U36" s="723">
        <f t="shared" si="26"/>
        <v>0</v>
      </c>
      <c r="V36" s="723">
        <f t="shared" si="26"/>
        <v>0</v>
      </c>
      <c r="W36" s="723">
        <f t="shared" si="26"/>
        <v>0</v>
      </c>
      <c r="X36" s="723">
        <f t="shared" si="26"/>
        <v>0</v>
      </c>
      <c r="Y36" s="723">
        <f t="shared" si="26"/>
        <v>0</v>
      </c>
      <c r="Z36" s="723">
        <f t="shared" si="26"/>
        <v>0</v>
      </c>
      <c r="AA36" s="665">
        <f t="shared" si="24"/>
        <v>0</v>
      </c>
      <c r="AB36" s="665">
        <f>AA36</f>
        <v>0</v>
      </c>
    </row>
    <row r="37" spans="1:28" s="634" customFormat="1" hidden="1" outlineLevel="1">
      <c r="A37" s="833">
        <v>4.72</v>
      </c>
      <c r="B37" s="721" t="s">
        <v>546</v>
      </c>
      <c r="C37" s="722">
        <v>0</v>
      </c>
      <c r="D37" s="722">
        <v>0</v>
      </c>
      <c r="E37" s="722"/>
      <c r="F37" s="722"/>
      <c r="G37" s="722"/>
      <c r="H37" s="722"/>
      <c r="I37" s="722"/>
      <c r="J37" s="722"/>
      <c r="K37" s="722"/>
      <c r="L37" s="722"/>
      <c r="M37" s="722"/>
      <c r="N37" s="722"/>
      <c r="O37" s="723">
        <f t="shared" si="27"/>
        <v>0</v>
      </c>
      <c r="P37" s="723">
        <f t="shared" si="27"/>
        <v>0</v>
      </c>
      <c r="Q37" s="723">
        <f t="shared" si="26"/>
        <v>0</v>
      </c>
      <c r="R37" s="723">
        <f t="shared" si="26"/>
        <v>0</v>
      </c>
      <c r="S37" s="723">
        <f t="shared" si="26"/>
        <v>0</v>
      </c>
      <c r="T37" s="723">
        <f t="shared" si="26"/>
        <v>0</v>
      </c>
      <c r="U37" s="723">
        <f t="shared" si="26"/>
        <v>0</v>
      </c>
      <c r="V37" s="723">
        <f t="shared" si="26"/>
        <v>0</v>
      </c>
      <c r="W37" s="723">
        <f t="shared" si="26"/>
        <v>0</v>
      </c>
      <c r="X37" s="723">
        <f t="shared" si="26"/>
        <v>0</v>
      </c>
      <c r="Y37" s="723">
        <f t="shared" si="26"/>
        <v>0</v>
      </c>
      <c r="Z37" s="723">
        <f t="shared" si="26"/>
        <v>0</v>
      </c>
      <c r="AA37" s="665">
        <f t="shared" si="24"/>
        <v>0</v>
      </c>
      <c r="AB37" s="665">
        <f>AA37</f>
        <v>0</v>
      </c>
    </row>
    <row r="38" spans="1:28" s="720" customFormat="1" hidden="1" outlineLevel="1">
      <c r="A38" s="833">
        <v>4.72</v>
      </c>
      <c r="B38" s="721" t="s">
        <v>546</v>
      </c>
      <c r="C38" s="722">
        <v>0</v>
      </c>
      <c r="D38" s="722">
        <v>0</v>
      </c>
      <c r="E38" s="722"/>
      <c r="F38" s="722"/>
      <c r="G38" s="722"/>
      <c r="H38" s="722"/>
      <c r="I38" s="722"/>
      <c r="J38" s="722"/>
      <c r="K38" s="722"/>
      <c r="L38" s="722"/>
      <c r="M38" s="722"/>
      <c r="N38" s="722"/>
      <c r="O38" s="723">
        <f t="shared" si="27"/>
        <v>0</v>
      </c>
      <c r="P38" s="723">
        <f t="shared" si="27"/>
        <v>0</v>
      </c>
      <c r="Q38" s="723">
        <f t="shared" si="26"/>
        <v>0</v>
      </c>
      <c r="R38" s="723">
        <f t="shared" si="26"/>
        <v>0</v>
      </c>
      <c r="S38" s="723">
        <f t="shared" si="26"/>
        <v>0</v>
      </c>
      <c r="T38" s="723">
        <f t="shared" si="26"/>
        <v>0</v>
      </c>
      <c r="U38" s="723">
        <f t="shared" si="26"/>
        <v>0</v>
      </c>
      <c r="V38" s="723">
        <f t="shared" si="26"/>
        <v>0</v>
      </c>
      <c r="W38" s="723">
        <f t="shared" si="26"/>
        <v>0</v>
      </c>
      <c r="X38" s="723">
        <f t="shared" si="26"/>
        <v>0</v>
      </c>
      <c r="Y38" s="723">
        <f t="shared" si="26"/>
        <v>0</v>
      </c>
      <c r="Z38" s="723">
        <f t="shared" si="26"/>
        <v>0</v>
      </c>
      <c r="AA38" s="724">
        <f t="shared" si="24"/>
        <v>0</v>
      </c>
      <c r="AB38" s="724">
        <f>AA38</f>
        <v>0</v>
      </c>
    </row>
    <row r="39" spans="1:28" s="720" customFormat="1" hidden="1" outlineLevel="1">
      <c r="A39" s="833">
        <v>4.72</v>
      </c>
      <c r="B39" s="721" t="s">
        <v>546</v>
      </c>
      <c r="C39" s="722">
        <v>0</v>
      </c>
      <c r="D39" s="722">
        <v>0</v>
      </c>
      <c r="E39" s="722"/>
      <c r="F39" s="722"/>
      <c r="G39" s="722"/>
      <c r="H39" s="722"/>
      <c r="I39" s="722"/>
      <c r="J39" s="722"/>
      <c r="K39" s="722"/>
      <c r="L39" s="722"/>
      <c r="M39" s="722"/>
      <c r="N39" s="722"/>
      <c r="O39" s="723">
        <f t="shared" si="27"/>
        <v>0</v>
      </c>
      <c r="P39" s="723">
        <f t="shared" si="27"/>
        <v>0</v>
      </c>
      <c r="Q39" s="723">
        <f t="shared" si="26"/>
        <v>0</v>
      </c>
      <c r="R39" s="723">
        <f t="shared" si="26"/>
        <v>0</v>
      </c>
      <c r="S39" s="723">
        <f t="shared" si="26"/>
        <v>0</v>
      </c>
      <c r="T39" s="723">
        <f t="shared" si="26"/>
        <v>0</v>
      </c>
      <c r="U39" s="723">
        <f t="shared" si="26"/>
        <v>0</v>
      </c>
      <c r="V39" s="723">
        <f t="shared" si="26"/>
        <v>0</v>
      </c>
      <c r="W39" s="723">
        <f t="shared" si="26"/>
        <v>0</v>
      </c>
      <c r="X39" s="723">
        <f t="shared" si="26"/>
        <v>0</v>
      </c>
      <c r="Y39" s="723">
        <f t="shared" si="26"/>
        <v>0</v>
      </c>
      <c r="Z39" s="723">
        <f t="shared" si="26"/>
        <v>0</v>
      </c>
      <c r="AA39" s="724">
        <f t="shared" si="24"/>
        <v>0</v>
      </c>
      <c r="AB39" s="724">
        <f>AA39</f>
        <v>0</v>
      </c>
    </row>
    <row r="40" spans="1:28" s="634" customFormat="1" hidden="1" outlineLevel="1">
      <c r="A40" s="833">
        <v>1.4999999999999999E-2</v>
      </c>
      <c r="B40" s="659"/>
      <c r="C40" s="663"/>
      <c r="D40" s="663"/>
      <c r="E40" s="663"/>
      <c r="F40" s="663"/>
      <c r="G40" s="663"/>
      <c r="H40" s="663"/>
      <c r="I40" s="663"/>
      <c r="J40" s="663"/>
      <c r="K40" s="663"/>
      <c r="L40" s="663"/>
      <c r="M40" s="663"/>
      <c r="N40" s="663"/>
      <c r="O40" s="661">
        <f t="shared" ref="O40:O41" si="28">IF(C40=0,0,$O$15+A40)</f>
        <v>0</v>
      </c>
      <c r="P40" s="661">
        <f>IF(D40=0,0,$O$15+B40)</f>
        <v>0</v>
      </c>
      <c r="Q40" s="661">
        <f>IF(E40=0,0,$O$15+C40)</f>
        <v>0</v>
      </c>
      <c r="R40" s="661">
        <f>IF(F40=0,0,$O$15)</f>
        <v>0</v>
      </c>
      <c r="S40" s="661">
        <f t="shared" ref="S40:Z70" si="29">IF(G40=0,0,S$15+$A40)</f>
        <v>0</v>
      </c>
      <c r="T40" s="661">
        <f t="shared" si="29"/>
        <v>0</v>
      </c>
      <c r="U40" s="661">
        <f t="shared" si="29"/>
        <v>0</v>
      </c>
      <c r="V40" s="661">
        <f t="shared" si="29"/>
        <v>0</v>
      </c>
      <c r="W40" s="661">
        <f t="shared" si="29"/>
        <v>0</v>
      </c>
      <c r="X40" s="661">
        <f t="shared" si="29"/>
        <v>0</v>
      </c>
      <c r="Y40" s="661">
        <f t="shared" si="29"/>
        <v>0</v>
      </c>
      <c r="Z40" s="661">
        <f t="shared" si="29"/>
        <v>0</v>
      </c>
      <c r="AA40" s="665">
        <f t="shared" si="24"/>
        <v>0</v>
      </c>
      <c r="AB40" s="665">
        <f>AA40-G40-H40</f>
        <v>0</v>
      </c>
    </row>
    <row r="41" spans="1:28" s="634" customFormat="1" hidden="1" outlineLevel="1">
      <c r="B41" s="659"/>
      <c r="C41" s="663"/>
      <c r="D41" s="663"/>
      <c r="E41" s="663"/>
      <c r="F41" s="663"/>
      <c r="G41" s="663"/>
      <c r="H41" s="663"/>
      <c r="I41" s="663"/>
      <c r="J41" s="663"/>
      <c r="K41" s="663"/>
      <c r="L41" s="663"/>
      <c r="M41" s="663"/>
      <c r="N41" s="663"/>
      <c r="O41" s="661">
        <f t="shared" si="28"/>
        <v>0</v>
      </c>
      <c r="P41" s="661">
        <f>IF(D41=0,0,$O$15+B41)</f>
        <v>0</v>
      </c>
      <c r="Q41" s="661">
        <f>IF(E41=0,0,$O$15+C41)</f>
        <v>0</v>
      </c>
      <c r="R41" s="661">
        <f>IF(F41=0,0,$O$15+D41)</f>
        <v>0</v>
      </c>
      <c r="S41" s="661">
        <f t="shared" si="29"/>
        <v>0</v>
      </c>
      <c r="T41" s="664">
        <f t="shared" si="29"/>
        <v>0</v>
      </c>
      <c r="U41" s="664">
        <f t="shared" si="29"/>
        <v>0</v>
      </c>
      <c r="V41" s="664">
        <f t="shared" si="29"/>
        <v>0</v>
      </c>
      <c r="W41" s="664">
        <f t="shared" si="29"/>
        <v>0</v>
      </c>
      <c r="X41" s="664">
        <f t="shared" si="29"/>
        <v>0</v>
      </c>
      <c r="Y41" s="664">
        <f t="shared" si="29"/>
        <v>0</v>
      </c>
      <c r="Z41" s="664">
        <f t="shared" si="29"/>
        <v>0</v>
      </c>
      <c r="AA41" s="665">
        <f t="shared" si="24"/>
        <v>0</v>
      </c>
      <c r="AB41" s="665">
        <f>AA41</f>
        <v>0</v>
      </c>
    </row>
    <row r="42" spans="1:28" hidden="1" outlineLevel="1">
      <c r="A42" s="634"/>
      <c r="B42" s="659"/>
      <c r="C42" s="660"/>
      <c r="D42" s="660"/>
      <c r="E42" s="660"/>
      <c r="F42" s="660"/>
      <c r="G42" s="660"/>
      <c r="H42" s="660"/>
      <c r="I42" s="660"/>
      <c r="J42" s="660"/>
      <c r="K42" s="660"/>
      <c r="L42" s="660"/>
      <c r="M42" s="660"/>
      <c r="N42" s="660"/>
      <c r="O42" s="661">
        <f>IF(C42=0,0,$O$15+A42)</f>
        <v>0</v>
      </c>
      <c r="P42" s="661">
        <f t="shared" ref="P42:P79" si="30">IF(D42=0,0,$P$15+A42)</f>
        <v>0</v>
      </c>
      <c r="Q42" s="661">
        <f t="shared" ref="Q42:V79" si="31">IF(E42=0,0,Q$15+$A42)</f>
        <v>0</v>
      </c>
      <c r="R42" s="661">
        <f t="shared" si="31"/>
        <v>0</v>
      </c>
      <c r="S42" s="661">
        <f t="shared" si="29"/>
        <v>0</v>
      </c>
      <c r="T42" s="661">
        <f t="shared" si="29"/>
        <v>0</v>
      </c>
      <c r="U42" s="661">
        <f t="shared" si="29"/>
        <v>0</v>
      </c>
      <c r="V42" s="661">
        <f t="shared" si="29"/>
        <v>0</v>
      </c>
      <c r="W42" s="661">
        <f t="shared" si="29"/>
        <v>0</v>
      </c>
      <c r="X42" s="661">
        <f t="shared" si="29"/>
        <v>0</v>
      </c>
      <c r="Y42" s="661">
        <f t="shared" si="29"/>
        <v>0</v>
      </c>
      <c r="Z42" s="661">
        <f t="shared" si="29"/>
        <v>0</v>
      </c>
      <c r="AA42" s="651">
        <f t="shared" si="24"/>
        <v>0</v>
      </c>
    </row>
    <row r="43" spans="1:28" s="634" customFormat="1" hidden="1" outlineLevel="1">
      <c r="B43" s="659"/>
      <c r="C43" s="663"/>
      <c r="D43" s="663"/>
      <c r="E43" s="663"/>
      <c r="F43" s="663"/>
      <c r="G43" s="663"/>
      <c r="H43" s="663"/>
      <c r="I43" s="663"/>
      <c r="J43" s="663"/>
      <c r="K43" s="663"/>
      <c r="L43" s="663"/>
      <c r="M43" s="663"/>
      <c r="N43" s="663"/>
      <c r="O43" s="661">
        <f>IF(C43=0,0,$O$15+A43)</f>
        <v>0</v>
      </c>
      <c r="P43" s="664">
        <f t="shared" si="30"/>
        <v>0</v>
      </c>
      <c r="Q43" s="664">
        <f t="shared" si="31"/>
        <v>0</v>
      </c>
      <c r="R43" s="664">
        <f t="shared" si="31"/>
        <v>0</v>
      </c>
      <c r="S43" s="664">
        <f t="shared" si="29"/>
        <v>0</v>
      </c>
      <c r="T43" s="664">
        <f t="shared" si="29"/>
        <v>0</v>
      </c>
      <c r="U43" s="664">
        <f t="shared" si="29"/>
        <v>0</v>
      </c>
      <c r="V43" s="664">
        <f t="shared" si="29"/>
        <v>0</v>
      </c>
      <c r="W43" s="664">
        <f t="shared" si="29"/>
        <v>0</v>
      </c>
      <c r="X43" s="664">
        <f t="shared" si="29"/>
        <v>0</v>
      </c>
      <c r="Y43" s="664">
        <f t="shared" si="29"/>
        <v>0</v>
      </c>
      <c r="Z43" s="664">
        <f t="shared" si="29"/>
        <v>0</v>
      </c>
      <c r="AA43" s="665">
        <f t="shared" si="24"/>
        <v>0</v>
      </c>
      <c r="AB43" s="665">
        <f>AA43</f>
        <v>0</v>
      </c>
    </row>
    <row r="44" spans="1:28" s="634" customFormat="1" hidden="1" outlineLevel="1">
      <c r="B44" s="659"/>
      <c r="C44" s="663"/>
      <c r="D44" s="663"/>
      <c r="E44" s="663"/>
      <c r="F44" s="663"/>
      <c r="G44" s="663"/>
      <c r="H44" s="663"/>
      <c r="I44" s="663"/>
      <c r="J44" s="663"/>
      <c r="K44" s="663"/>
      <c r="L44" s="663"/>
      <c r="M44" s="663"/>
      <c r="N44" s="663"/>
      <c r="O44" s="661">
        <f>IF(C44=0,0,$O$15+A44)</f>
        <v>0</v>
      </c>
      <c r="P44" s="664">
        <f t="shared" si="30"/>
        <v>0</v>
      </c>
      <c r="Q44" s="664">
        <f t="shared" si="31"/>
        <v>0</v>
      </c>
      <c r="R44" s="664">
        <f t="shared" si="31"/>
        <v>0</v>
      </c>
      <c r="S44" s="664">
        <f t="shared" si="29"/>
        <v>0</v>
      </c>
      <c r="T44" s="664">
        <f t="shared" si="29"/>
        <v>0</v>
      </c>
      <c r="U44" s="664">
        <f t="shared" si="29"/>
        <v>0</v>
      </c>
      <c r="V44" s="664">
        <f t="shared" si="29"/>
        <v>0</v>
      </c>
      <c r="W44" s="664">
        <f t="shared" si="29"/>
        <v>0</v>
      </c>
      <c r="X44" s="664">
        <f t="shared" si="29"/>
        <v>0</v>
      </c>
      <c r="Y44" s="664">
        <f t="shared" si="29"/>
        <v>0</v>
      </c>
      <c r="Z44" s="664">
        <f t="shared" si="29"/>
        <v>0</v>
      </c>
      <c r="AA44" s="665">
        <f t="shared" si="24"/>
        <v>0</v>
      </c>
      <c r="AB44" s="665">
        <f>AA44</f>
        <v>0</v>
      </c>
    </row>
    <row r="45" spans="1:28" s="634" customFormat="1" hidden="1" outlineLevel="1">
      <c r="B45" s="659"/>
      <c r="C45" s="663"/>
      <c r="D45" s="663"/>
      <c r="E45" s="663"/>
      <c r="F45" s="663"/>
      <c r="G45" s="663"/>
      <c r="H45" s="663"/>
      <c r="I45" s="663"/>
      <c r="J45" s="663"/>
      <c r="K45" s="663"/>
      <c r="L45" s="663"/>
      <c r="M45" s="663"/>
      <c r="N45" s="663"/>
      <c r="O45" s="664">
        <f>IF(C45=0,0,$O$15+A45)</f>
        <v>0</v>
      </c>
      <c r="P45" s="664">
        <f t="shared" si="30"/>
        <v>0</v>
      </c>
      <c r="Q45" s="664">
        <f t="shared" si="31"/>
        <v>0</v>
      </c>
      <c r="R45" s="664">
        <f t="shared" si="31"/>
        <v>0</v>
      </c>
      <c r="S45" s="664">
        <f t="shared" si="29"/>
        <v>0</v>
      </c>
      <c r="T45" s="664">
        <f t="shared" si="29"/>
        <v>0</v>
      </c>
      <c r="U45" s="664">
        <f t="shared" si="29"/>
        <v>0</v>
      </c>
      <c r="V45" s="664">
        <f t="shared" si="29"/>
        <v>0</v>
      </c>
      <c r="W45" s="664">
        <f t="shared" si="29"/>
        <v>0</v>
      </c>
      <c r="X45" s="664">
        <f t="shared" si="29"/>
        <v>0</v>
      </c>
      <c r="Y45" s="664">
        <f t="shared" si="29"/>
        <v>0</v>
      </c>
      <c r="Z45" s="664">
        <f t="shared" si="29"/>
        <v>0</v>
      </c>
      <c r="AA45" s="665">
        <f t="shared" si="24"/>
        <v>0</v>
      </c>
      <c r="AB45" s="665">
        <f>AA45</f>
        <v>0</v>
      </c>
    </row>
    <row r="46" spans="1:28" s="634" customFormat="1" hidden="1" outlineLevel="1">
      <c r="B46" s="659"/>
      <c r="C46" s="663"/>
      <c r="D46" s="663"/>
      <c r="E46" s="663"/>
      <c r="F46" s="663"/>
      <c r="G46" s="663"/>
      <c r="H46" s="663"/>
      <c r="I46" s="663"/>
      <c r="J46" s="663"/>
      <c r="K46" s="663"/>
      <c r="L46" s="663"/>
      <c r="M46" s="663"/>
      <c r="N46" s="663"/>
      <c r="O46" s="664">
        <f>IF(C46=0,0,$O$15+A46)</f>
        <v>0</v>
      </c>
      <c r="P46" s="661">
        <f t="shared" si="30"/>
        <v>0</v>
      </c>
      <c r="Q46" s="661">
        <f t="shared" si="31"/>
        <v>0</v>
      </c>
      <c r="R46" s="661">
        <f t="shared" si="31"/>
        <v>0</v>
      </c>
      <c r="S46" s="661">
        <f t="shared" si="29"/>
        <v>0</v>
      </c>
      <c r="T46" s="661">
        <f t="shared" si="29"/>
        <v>0</v>
      </c>
      <c r="U46" s="661">
        <f t="shared" si="29"/>
        <v>0</v>
      </c>
      <c r="V46" s="661">
        <f t="shared" si="29"/>
        <v>0</v>
      </c>
      <c r="W46" s="661">
        <f t="shared" si="29"/>
        <v>0</v>
      </c>
      <c r="X46" s="661">
        <f t="shared" si="29"/>
        <v>0</v>
      </c>
      <c r="Y46" s="661">
        <f t="shared" si="29"/>
        <v>0</v>
      </c>
      <c r="Z46" s="661">
        <f t="shared" si="29"/>
        <v>0</v>
      </c>
      <c r="AA46" s="665">
        <f t="shared" si="24"/>
        <v>0</v>
      </c>
    </row>
    <row r="47" spans="1:28" s="634" customFormat="1" hidden="1" outlineLevel="1">
      <c r="B47" s="659"/>
      <c r="C47" s="663"/>
      <c r="D47" s="663"/>
      <c r="E47" s="663"/>
      <c r="F47" s="663"/>
      <c r="G47" s="663"/>
      <c r="H47" s="663"/>
      <c r="I47" s="663"/>
      <c r="J47" s="663"/>
      <c r="K47" s="663"/>
      <c r="L47" s="663"/>
      <c r="M47" s="663"/>
      <c r="N47" s="663"/>
      <c r="O47" s="664">
        <f t="shared" ref="O47:O51" si="32">IF(C47=0,0,$O$15+A47)</f>
        <v>0</v>
      </c>
      <c r="P47" s="661">
        <f t="shared" ref="P47:P51" si="33">IF(D47=0,0,$P$15+A47)</f>
        <v>0</v>
      </c>
      <c r="Q47" s="661">
        <f t="shared" ref="Q47:Q51" si="34">IF(E47=0,0,Q$15+$A47)</f>
        <v>0</v>
      </c>
      <c r="R47" s="661">
        <f t="shared" ref="R47:S51" si="35">IF(F47=0,0,R$15+$A47)</f>
        <v>0</v>
      </c>
      <c r="S47" s="661">
        <f t="shared" si="35"/>
        <v>0</v>
      </c>
      <c r="T47" s="664">
        <f t="shared" si="29"/>
        <v>0</v>
      </c>
      <c r="U47" s="664">
        <f t="shared" si="29"/>
        <v>0</v>
      </c>
      <c r="V47" s="664">
        <f t="shared" si="29"/>
        <v>0</v>
      </c>
      <c r="W47" s="664">
        <f t="shared" si="29"/>
        <v>0</v>
      </c>
      <c r="X47" s="664">
        <f t="shared" si="29"/>
        <v>0</v>
      </c>
      <c r="Y47" s="664">
        <f t="shared" si="29"/>
        <v>0</v>
      </c>
      <c r="Z47" s="664">
        <f t="shared" si="29"/>
        <v>0</v>
      </c>
      <c r="AA47" s="665">
        <f t="shared" si="24"/>
        <v>0</v>
      </c>
      <c r="AB47" s="665">
        <f>AA47</f>
        <v>0</v>
      </c>
    </row>
    <row r="48" spans="1:28" s="634" customFormat="1" hidden="1" outlineLevel="1">
      <c r="B48" s="659"/>
      <c r="C48" s="663"/>
      <c r="D48" s="663"/>
      <c r="E48" s="663"/>
      <c r="F48" s="663"/>
      <c r="G48" s="663"/>
      <c r="H48" s="663"/>
      <c r="I48" s="663"/>
      <c r="J48" s="663"/>
      <c r="K48" s="663"/>
      <c r="L48" s="663"/>
      <c r="M48" s="663"/>
      <c r="N48" s="663"/>
      <c r="O48" s="664">
        <f t="shared" si="32"/>
        <v>0</v>
      </c>
      <c r="P48" s="661">
        <f t="shared" si="33"/>
        <v>0</v>
      </c>
      <c r="Q48" s="661">
        <f t="shared" si="34"/>
        <v>0</v>
      </c>
      <c r="R48" s="661">
        <f t="shared" si="35"/>
        <v>0</v>
      </c>
      <c r="S48" s="661">
        <f t="shared" si="35"/>
        <v>0</v>
      </c>
      <c r="T48" s="664">
        <f t="shared" si="29"/>
        <v>0</v>
      </c>
      <c r="U48" s="664">
        <f t="shared" si="29"/>
        <v>0</v>
      </c>
      <c r="V48" s="664">
        <f t="shared" si="29"/>
        <v>0</v>
      </c>
      <c r="W48" s="664">
        <f t="shared" si="29"/>
        <v>0</v>
      </c>
      <c r="X48" s="664">
        <f t="shared" si="29"/>
        <v>0</v>
      </c>
      <c r="Y48" s="664">
        <f t="shared" si="29"/>
        <v>0</v>
      </c>
      <c r="Z48" s="664">
        <f t="shared" si="29"/>
        <v>0</v>
      </c>
      <c r="AA48" s="665">
        <f t="shared" si="24"/>
        <v>0</v>
      </c>
      <c r="AB48" s="665">
        <f>AA48</f>
        <v>0</v>
      </c>
    </row>
    <row r="49" spans="2:28" s="634" customFormat="1" hidden="1" outlineLevel="1">
      <c r="B49" s="659"/>
      <c r="C49" s="663"/>
      <c r="D49" s="663"/>
      <c r="E49" s="663"/>
      <c r="F49" s="663"/>
      <c r="G49" s="663"/>
      <c r="H49" s="663"/>
      <c r="I49" s="663"/>
      <c r="J49" s="663"/>
      <c r="K49" s="663"/>
      <c r="L49" s="663"/>
      <c r="M49" s="663"/>
      <c r="N49" s="663"/>
      <c r="O49" s="664">
        <f t="shared" si="32"/>
        <v>0</v>
      </c>
      <c r="P49" s="661">
        <f t="shared" si="33"/>
        <v>0</v>
      </c>
      <c r="Q49" s="661">
        <f t="shared" si="34"/>
        <v>0</v>
      </c>
      <c r="R49" s="661">
        <f t="shared" si="35"/>
        <v>0</v>
      </c>
      <c r="S49" s="661">
        <f t="shared" si="35"/>
        <v>0</v>
      </c>
      <c r="T49" s="664">
        <f t="shared" si="29"/>
        <v>0</v>
      </c>
      <c r="U49" s="664">
        <f t="shared" si="29"/>
        <v>0</v>
      </c>
      <c r="V49" s="664">
        <f t="shared" si="29"/>
        <v>0</v>
      </c>
      <c r="W49" s="664">
        <f t="shared" si="29"/>
        <v>0</v>
      </c>
      <c r="X49" s="664">
        <f t="shared" si="29"/>
        <v>0</v>
      </c>
      <c r="Y49" s="664">
        <f t="shared" si="29"/>
        <v>0</v>
      </c>
      <c r="Z49" s="664">
        <f t="shared" si="29"/>
        <v>0</v>
      </c>
      <c r="AA49" s="665">
        <f t="shared" si="24"/>
        <v>0</v>
      </c>
      <c r="AB49" s="665">
        <f>AA49</f>
        <v>0</v>
      </c>
    </row>
    <row r="50" spans="2:28" s="634" customFormat="1" hidden="1" outlineLevel="1">
      <c r="B50" s="659"/>
      <c r="C50" s="663"/>
      <c r="D50" s="663"/>
      <c r="E50" s="663"/>
      <c r="F50" s="663"/>
      <c r="G50" s="663"/>
      <c r="H50" s="663"/>
      <c r="I50" s="663"/>
      <c r="J50" s="663"/>
      <c r="K50" s="663"/>
      <c r="L50" s="663"/>
      <c r="M50" s="663"/>
      <c r="N50" s="663"/>
      <c r="O50" s="664">
        <f t="shared" si="32"/>
        <v>0</v>
      </c>
      <c r="P50" s="661">
        <f t="shared" si="33"/>
        <v>0</v>
      </c>
      <c r="Q50" s="661">
        <f t="shared" si="34"/>
        <v>0</v>
      </c>
      <c r="R50" s="661">
        <f t="shared" si="35"/>
        <v>0</v>
      </c>
      <c r="S50" s="661">
        <f t="shared" si="35"/>
        <v>0</v>
      </c>
      <c r="T50" s="664">
        <f t="shared" si="29"/>
        <v>0</v>
      </c>
      <c r="U50" s="664">
        <f t="shared" si="29"/>
        <v>0</v>
      </c>
      <c r="V50" s="664">
        <f t="shared" si="29"/>
        <v>0</v>
      </c>
      <c r="W50" s="664">
        <f t="shared" si="29"/>
        <v>0</v>
      </c>
      <c r="X50" s="664">
        <f t="shared" si="29"/>
        <v>0</v>
      </c>
      <c r="Y50" s="664">
        <f t="shared" si="29"/>
        <v>0</v>
      </c>
      <c r="Z50" s="664">
        <f t="shared" si="29"/>
        <v>0</v>
      </c>
      <c r="AA50" s="665">
        <f t="shared" si="24"/>
        <v>0</v>
      </c>
      <c r="AB50" s="665">
        <f>AA50</f>
        <v>0</v>
      </c>
    </row>
    <row r="51" spans="2:28" s="634" customFormat="1" hidden="1" outlineLevel="1">
      <c r="B51" s="659"/>
      <c r="C51" s="663"/>
      <c r="D51" s="663"/>
      <c r="E51" s="663"/>
      <c r="F51" s="663"/>
      <c r="G51" s="663"/>
      <c r="H51" s="663"/>
      <c r="I51" s="663"/>
      <c r="J51" s="663"/>
      <c r="K51" s="663"/>
      <c r="L51" s="663"/>
      <c r="M51" s="663"/>
      <c r="N51" s="663"/>
      <c r="O51" s="664">
        <f t="shared" si="32"/>
        <v>0</v>
      </c>
      <c r="P51" s="661">
        <f t="shared" si="33"/>
        <v>0</v>
      </c>
      <c r="Q51" s="661">
        <f t="shared" si="34"/>
        <v>0</v>
      </c>
      <c r="R51" s="661">
        <f t="shared" si="35"/>
        <v>0</v>
      </c>
      <c r="S51" s="661">
        <f t="shared" si="35"/>
        <v>0</v>
      </c>
      <c r="T51" s="664">
        <f t="shared" si="29"/>
        <v>0</v>
      </c>
      <c r="U51" s="664">
        <f t="shared" si="29"/>
        <v>0</v>
      </c>
      <c r="V51" s="664">
        <f t="shared" si="29"/>
        <v>0</v>
      </c>
      <c r="W51" s="664">
        <f t="shared" si="29"/>
        <v>0</v>
      </c>
      <c r="X51" s="664">
        <f t="shared" si="29"/>
        <v>0</v>
      </c>
      <c r="Y51" s="664">
        <f t="shared" si="29"/>
        <v>0</v>
      </c>
      <c r="Z51" s="664">
        <f t="shared" si="29"/>
        <v>0</v>
      </c>
      <c r="AA51" s="665">
        <f t="shared" si="24"/>
        <v>0</v>
      </c>
      <c r="AB51" s="665">
        <f>AA51</f>
        <v>0</v>
      </c>
    </row>
    <row r="52" spans="2:28" s="634" customFormat="1" hidden="1" outlineLevel="1">
      <c r="B52" s="659"/>
      <c r="C52" s="663"/>
      <c r="D52" s="663"/>
      <c r="E52" s="663"/>
      <c r="F52" s="663"/>
      <c r="G52" s="663"/>
      <c r="H52" s="663"/>
      <c r="I52" s="663"/>
      <c r="J52" s="663"/>
      <c r="K52" s="663"/>
      <c r="L52" s="663"/>
      <c r="M52" s="663"/>
      <c r="N52" s="663"/>
      <c r="O52" s="664">
        <f>IF(C52=0,0,$O$15+A52)</f>
        <v>0</v>
      </c>
      <c r="P52" s="664">
        <f t="shared" si="30"/>
        <v>0</v>
      </c>
      <c r="Q52" s="664">
        <f t="shared" si="31"/>
        <v>0</v>
      </c>
      <c r="R52" s="664">
        <f t="shared" si="31"/>
        <v>0</v>
      </c>
      <c r="S52" s="664">
        <f t="shared" si="29"/>
        <v>0</v>
      </c>
      <c r="T52" s="664">
        <f t="shared" si="29"/>
        <v>0</v>
      </c>
      <c r="U52" s="664">
        <f t="shared" si="29"/>
        <v>0</v>
      </c>
      <c r="V52" s="664">
        <f t="shared" si="29"/>
        <v>0</v>
      </c>
      <c r="W52" s="664">
        <f t="shared" si="29"/>
        <v>0</v>
      </c>
      <c r="X52" s="664">
        <f t="shared" si="29"/>
        <v>0</v>
      </c>
      <c r="Y52" s="664">
        <f t="shared" si="29"/>
        <v>0</v>
      </c>
      <c r="Z52" s="664">
        <f t="shared" si="29"/>
        <v>0</v>
      </c>
      <c r="AA52" s="665">
        <f t="shared" si="24"/>
        <v>0</v>
      </c>
    </row>
    <row r="53" spans="2:28" s="634" customFormat="1" ht="12" hidden="1" customHeight="1" outlineLevel="1">
      <c r="B53" s="659"/>
      <c r="C53" s="663"/>
      <c r="D53" s="663"/>
      <c r="E53" s="663"/>
      <c r="F53" s="663"/>
      <c r="G53" s="663"/>
      <c r="H53" s="663"/>
      <c r="I53" s="663"/>
      <c r="J53" s="663"/>
      <c r="K53" s="663"/>
      <c r="L53" s="663"/>
      <c r="M53" s="663"/>
      <c r="N53" s="663"/>
      <c r="O53" s="664">
        <f>IF(C53=0,0,$O$15+A53)</f>
        <v>0</v>
      </c>
      <c r="P53" s="664">
        <f t="shared" ref="P53" si="36">IF(D53=0,0,$P$15+A53)</f>
        <v>0</v>
      </c>
      <c r="Q53" s="664">
        <f t="shared" ref="Q53" si="37">IF(E53=0,0,Q$15+$A53)</f>
        <v>0</v>
      </c>
      <c r="R53" s="664">
        <f t="shared" ref="R53" si="38">IF(F53=0,0,R$15+$A53)</f>
        <v>0</v>
      </c>
      <c r="S53" s="664">
        <f t="shared" si="29"/>
        <v>0</v>
      </c>
      <c r="T53" s="664">
        <f t="shared" si="29"/>
        <v>0</v>
      </c>
      <c r="U53" s="664">
        <f t="shared" si="29"/>
        <v>0</v>
      </c>
      <c r="V53" s="664">
        <f t="shared" si="29"/>
        <v>0</v>
      </c>
      <c r="W53" s="664">
        <f t="shared" si="29"/>
        <v>0</v>
      </c>
      <c r="X53" s="664">
        <f t="shared" si="29"/>
        <v>0</v>
      </c>
      <c r="Y53" s="664">
        <f t="shared" si="29"/>
        <v>0</v>
      </c>
      <c r="Z53" s="664">
        <f t="shared" si="29"/>
        <v>0</v>
      </c>
      <c r="AA53" s="665">
        <f t="shared" si="24"/>
        <v>0</v>
      </c>
      <c r="AB53" s="665">
        <f>AA53</f>
        <v>0</v>
      </c>
    </row>
    <row r="54" spans="2:28" s="634" customFormat="1" hidden="1" outlineLevel="1">
      <c r="B54" s="659"/>
      <c r="C54" s="663"/>
      <c r="D54" s="663"/>
      <c r="E54" s="663"/>
      <c r="F54" s="663"/>
      <c r="G54" s="663"/>
      <c r="H54" s="663"/>
      <c r="I54" s="663"/>
      <c r="J54" s="663"/>
      <c r="K54" s="663"/>
      <c r="L54" s="663"/>
      <c r="M54" s="663"/>
      <c r="N54" s="663"/>
      <c r="O54" s="661">
        <f>IF(C54=0,0,$O$15+A54)</f>
        <v>0</v>
      </c>
      <c r="P54" s="661">
        <f t="shared" si="30"/>
        <v>0</v>
      </c>
      <c r="Q54" s="661">
        <f t="shared" si="31"/>
        <v>0</v>
      </c>
      <c r="R54" s="661">
        <f t="shared" si="31"/>
        <v>0</v>
      </c>
      <c r="S54" s="661">
        <f t="shared" si="29"/>
        <v>0</v>
      </c>
      <c r="T54" s="661">
        <f t="shared" si="29"/>
        <v>0</v>
      </c>
      <c r="U54" s="661">
        <f t="shared" si="29"/>
        <v>0</v>
      </c>
      <c r="V54" s="661">
        <f t="shared" si="29"/>
        <v>0</v>
      </c>
      <c r="W54" s="661">
        <f t="shared" si="29"/>
        <v>0</v>
      </c>
      <c r="X54" s="661">
        <f t="shared" si="29"/>
        <v>0</v>
      </c>
      <c r="Y54" s="661">
        <f t="shared" si="29"/>
        <v>0</v>
      </c>
      <c r="Z54" s="661">
        <f t="shared" si="29"/>
        <v>0</v>
      </c>
      <c r="AA54" s="665">
        <f>SUM(C54:N54)</f>
        <v>0</v>
      </c>
    </row>
    <row r="55" spans="2:28" s="634" customFormat="1" hidden="1" outlineLevel="1">
      <c r="B55" s="659"/>
      <c r="C55" s="663"/>
      <c r="D55" s="663"/>
      <c r="E55" s="663"/>
      <c r="F55" s="663"/>
      <c r="G55" s="663"/>
      <c r="H55" s="663"/>
      <c r="I55" s="663"/>
      <c r="J55" s="663"/>
      <c r="K55" s="663"/>
      <c r="L55" s="663"/>
      <c r="M55" s="663"/>
      <c r="N55" s="663"/>
      <c r="O55" s="661">
        <f>IF(C55=0,0,$O$15+A55)</f>
        <v>0</v>
      </c>
      <c r="P55" s="661">
        <f t="shared" si="30"/>
        <v>0</v>
      </c>
      <c r="Q55" s="661">
        <f t="shared" si="31"/>
        <v>0</v>
      </c>
      <c r="R55" s="661">
        <f t="shared" si="31"/>
        <v>0</v>
      </c>
      <c r="S55" s="661">
        <f t="shared" si="29"/>
        <v>0</v>
      </c>
      <c r="T55" s="661">
        <f t="shared" si="29"/>
        <v>0</v>
      </c>
      <c r="U55" s="661">
        <f t="shared" si="29"/>
        <v>0</v>
      </c>
      <c r="V55" s="661">
        <f t="shared" si="29"/>
        <v>0</v>
      </c>
      <c r="W55" s="661">
        <f t="shared" si="29"/>
        <v>0</v>
      </c>
      <c r="X55" s="661">
        <f t="shared" si="29"/>
        <v>0</v>
      </c>
      <c r="Y55" s="661">
        <f t="shared" si="29"/>
        <v>0</v>
      </c>
      <c r="Z55" s="661">
        <f t="shared" si="29"/>
        <v>0</v>
      </c>
      <c r="AA55" s="665">
        <f>SUM(C55:N55)</f>
        <v>0</v>
      </c>
    </row>
    <row r="56" spans="2:28" s="634" customFormat="1" hidden="1" outlineLevel="1">
      <c r="B56" s="659"/>
      <c r="C56" s="663"/>
      <c r="D56" s="663"/>
      <c r="E56" s="663"/>
      <c r="F56" s="663"/>
      <c r="G56" s="663"/>
      <c r="H56" s="663"/>
      <c r="I56" s="663"/>
      <c r="J56" s="663"/>
      <c r="K56" s="663"/>
      <c r="L56" s="663"/>
      <c r="M56" s="663"/>
      <c r="N56" s="663"/>
      <c r="O56" s="664">
        <f>IF(C56=0,0,$O$15+A56)</f>
        <v>0</v>
      </c>
      <c r="P56" s="661">
        <f t="shared" si="30"/>
        <v>0</v>
      </c>
      <c r="Q56" s="661">
        <f t="shared" si="31"/>
        <v>0</v>
      </c>
      <c r="R56" s="661">
        <f t="shared" si="31"/>
        <v>0</v>
      </c>
      <c r="S56" s="661">
        <f t="shared" si="29"/>
        <v>0</v>
      </c>
      <c r="T56" s="661">
        <f t="shared" si="29"/>
        <v>0</v>
      </c>
      <c r="U56" s="661">
        <f t="shared" si="29"/>
        <v>0</v>
      </c>
      <c r="V56" s="661">
        <f t="shared" si="29"/>
        <v>0</v>
      </c>
      <c r="W56" s="661">
        <f t="shared" si="29"/>
        <v>0</v>
      </c>
      <c r="X56" s="661">
        <f t="shared" si="29"/>
        <v>0</v>
      </c>
      <c r="Y56" s="661">
        <f t="shared" si="29"/>
        <v>0</v>
      </c>
      <c r="Z56" s="661">
        <f t="shared" si="29"/>
        <v>0</v>
      </c>
      <c r="AA56" s="665">
        <f t="shared" ref="AA56:AA79" si="39">SUM(C56:N56)</f>
        <v>0</v>
      </c>
    </row>
    <row r="57" spans="2:28" s="634" customFormat="1" hidden="1" outlineLevel="1">
      <c r="B57" s="659"/>
      <c r="C57" s="663"/>
      <c r="D57" s="663"/>
      <c r="E57" s="663"/>
      <c r="F57" s="663"/>
      <c r="G57" s="663"/>
      <c r="H57" s="663"/>
      <c r="I57" s="663"/>
      <c r="J57" s="663"/>
      <c r="K57" s="663"/>
      <c r="L57" s="663"/>
      <c r="M57" s="663"/>
      <c r="N57" s="663"/>
      <c r="O57" s="664">
        <f t="shared" ref="O57:O79" si="40">IF(C57=0,0,$O$15+A57)</f>
        <v>0</v>
      </c>
      <c r="P57" s="661">
        <f t="shared" si="30"/>
        <v>0</v>
      </c>
      <c r="Q57" s="661">
        <f t="shared" si="31"/>
        <v>0</v>
      </c>
      <c r="R57" s="661">
        <f t="shared" si="31"/>
        <v>0</v>
      </c>
      <c r="S57" s="661">
        <f t="shared" si="29"/>
        <v>0</v>
      </c>
      <c r="T57" s="661">
        <f t="shared" si="29"/>
        <v>0</v>
      </c>
      <c r="U57" s="661">
        <f t="shared" si="29"/>
        <v>0</v>
      </c>
      <c r="V57" s="661">
        <f t="shared" si="29"/>
        <v>0</v>
      </c>
      <c r="W57" s="661">
        <f t="shared" si="29"/>
        <v>0</v>
      </c>
      <c r="X57" s="661">
        <f t="shared" si="29"/>
        <v>0</v>
      </c>
      <c r="Y57" s="661">
        <f t="shared" si="29"/>
        <v>0</v>
      </c>
      <c r="Z57" s="661">
        <f t="shared" si="29"/>
        <v>0</v>
      </c>
      <c r="AA57" s="665">
        <f t="shared" si="39"/>
        <v>0</v>
      </c>
    </row>
    <row r="58" spans="2:28" s="634" customFormat="1" hidden="1" outlineLevel="1">
      <c r="B58" s="659"/>
      <c r="C58" s="663"/>
      <c r="D58" s="663"/>
      <c r="E58" s="663"/>
      <c r="F58" s="663"/>
      <c r="G58" s="663"/>
      <c r="H58" s="663"/>
      <c r="I58" s="663"/>
      <c r="J58" s="663"/>
      <c r="K58" s="663"/>
      <c r="L58" s="663"/>
      <c r="M58" s="663"/>
      <c r="N58" s="663"/>
      <c r="O58" s="664">
        <f t="shared" si="40"/>
        <v>0</v>
      </c>
      <c r="P58" s="661">
        <f t="shared" si="30"/>
        <v>0</v>
      </c>
      <c r="Q58" s="661">
        <f t="shared" si="31"/>
        <v>0</v>
      </c>
      <c r="R58" s="661">
        <f t="shared" si="31"/>
        <v>0</v>
      </c>
      <c r="S58" s="661">
        <f t="shared" si="29"/>
        <v>0</v>
      </c>
      <c r="T58" s="661">
        <f t="shared" si="29"/>
        <v>0</v>
      </c>
      <c r="U58" s="661">
        <f t="shared" si="29"/>
        <v>0</v>
      </c>
      <c r="V58" s="661">
        <f t="shared" si="29"/>
        <v>0</v>
      </c>
      <c r="W58" s="661">
        <f t="shared" si="29"/>
        <v>0</v>
      </c>
      <c r="X58" s="661">
        <f t="shared" si="29"/>
        <v>0</v>
      </c>
      <c r="Y58" s="661">
        <f t="shared" si="29"/>
        <v>0</v>
      </c>
      <c r="Z58" s="661">
        <f t="shared" si="29"/>
        <v>0</v>
      </c>
      <c r="AA58" s="665">
        <f t="shared" si="39"/>
        <v>0</v>
      </c>
    </row>
    <row r="59" spans="2:28" s="727" customFormat="1" hidden="1" outlineLevel="1">
      <c r="B59" s="659"/>
      <c r="C59" s="725"/>
      <c r="D59" s="725"/>
      <c r="E59" s="725"/>
      <c r="F59" s="725"/>
      <c r="G59" s="725"/>
      <c r="H59" s="725"/>
      <c r="I59" s="725"/>
      <c r="J59" s="725"/>
      <c r="K59" s="725"/>
      <c r="L59" s="725"/>
      <c r="M59" s="725"/>
      <c r="N59" s="725"/>
      <c r="O59" s="723">
        <f>IF(C59=0,0,A59)</f>
        <v>0</v>
      </c>
      <c r="P59" s="723">
        <f t="shared" ref="P59:Z59" si="41">IF(D59=0,0,$A$59)</f>
        <v>0</v>
      </c>
      <c r="Q59" s="723">
        <f t="shared" si="41"/>
        <v>0</v>
      </c>
      <c r="R59" s="723">
        <f t="shared" si="41"/>
        <v>0</v>
      </c>
      <c r="S59" s="723">
        <f t="shared" si="41"/>
        <v>0</v>
      </c>
      <c r="T59" s="723">
        <f t="shared" si="41"/>
        <v>0</v>
      </c>
      <c r="U59" s="723">
        <f t="shared" si="41"/>
        <v>0</v>
      </c>
      <c r="V59" s="723">
        <f t="shared" si="41"/>
        <v>0</v>
      </c>
      <c r="W59" s="723">
        <f t="shared" si="41"/>
        <v>0</v>
      </c>
      <c r="X59" s="723">
        <f t="shared" si="41"/>
        <v>0</v>
      </c>
      <c r="Y59" s="723">
        <f t="shared" si="41"/>
        <v>0</v>
      </c>
      <c r="Z59" s="723">
        <f t="shared" si="41"/>
        <v>0</v>
      </c>
      <c r="AA59" s="726">
        <f t="shared" si="39"/>
        <v>0</v>
      </c>
      <c r="AB59" s="726">
        <f>AA59</f>
        <v>0</v>
      </c>
    </row>
    <row r="60" spans="2:28" s="727" customFormat="1" hidden="1" outlineLevel="1">
      <c r="B60" s="659"/>
      <c r="C60" s="725"/>
      <c r="D60" s="725"/>
      <c r="E60" s="725"/>
      <c r="F60" s="725"/>
      <c r="G60" s="725"/>
      <c r="H60" s="725"/>
      <c r="I60" s="725"/>
      <c r="J60" s="725"/>
      <c r="K60" s="725"/>
      <c r="L60" s="725"/>
      <c r="M60" s="725"/>
      <c r="N60" s="725"/>
      <c r="O60" s="723">
        <f>IF(C60=0,0,$A$60)</f>
        <v>0</v>
      </c>
      <c r="P60" s="723">
        <f t="shared" ref="P60:Z60" si="42">IF(D60=0,0,$A$60)</f>
        <v>0</v>
      </c>
      <c r="Q60" s="723">
        <f t="shared" si="42"/>
        <v>0</v>
      </c>
      <c r="R60" s="723">
        <f t="shared" si="42"/>
        <v>0</v>
      </c>
      <c r="S60" s="723">
        <f t="shared" si="42"/>
        <v>0</v>
      </c>
      <c r="T60" s="723">
        <f t="shared" si="42"/>
        <v>0</v>
      </c>
      <c r="U60" s="723">
        <f t="shared" si="42"/>
        <v>0</v>
      </c>
      <c r="V60" s="723">
        <f t="shared" si="42"/>
        <v>0</v>
      </c>
      <c r="W60" s="723">
        <f t="shared" si="42"/>
        <v>0</v>
      </c>
      <c r="X60" s="723">
        <f t="shared" si="42"/>
        <v>0</v>
      </c>
      <c r="Y60" s="723">
        <f t="shared" si="42"/>
        <v>0</v>
      </c>
      <c r="Z60" s="723">
        <f t="shared" si="42"/>
        <v>0</v>
      </c>
      <c r="AA60" s="726">
        <f t="shared" si="39"/>
        <v>0</v>
      </c>
      <c r="AB60" s="726">
        <f>AA60</f>
        <v>0</v>
      </c>
    </row>
    <row r="61" spans="2:28" s="727" customFormat="1" hidden="1" outlineLevel="1">
      <c r="B61" s="659"/>
      <c r="C61" s="725"/>
      <c r="D61" s="725"/>
      <c r="E61" s="725"/>
      <c r="F61" s="725"/>
      <c r="G61" s="725"/>
      <c r="H61" s="725"/>
      <c r="I61" s="725"/>
      <c r="J61" s="725"/>
      <c r="K61" s="725"/>
      <c r="L61" s="725"/>
      <c r="M61" s="725"/>
      <c r="N61" s="725"/>
      <c r="O61" s="723">
        <f>IF(C61=0,0,$A$61)</f>
        <v>0</v>
      </c>
      <c r="P61" s="723">
        <f t="shared" ref="P61:Z61" si="43">IF(D61=0,0,$A$61)</f>
        <v>0</v>
      </c>
      <c r="Q61" s="723">
        <f t="shared" si="43"/>
        <v>0</v>
      </c>
      <c r="R61" s="723">
        <f t="shared" si="43"/>
        <v>0</v>
      </c>
      <c r="S61" s="723">
        <f t="shared" si="43"/>
        <v>0</v>
      </c>
      <c r="T61" s="723">
        <f t="shared" si="43"/>
        <v>0</v>
      </c>
      <c r="U61" s="723">
        <f t="shared" si="43"/>
        <v>0</v>
      </c>
      <c r="V61" s="723">
        <f t="shared" si="43"/>
        <v>0</v>
      </c>
      <c r="W61" s="723">
        <f t="shared" si="43"/>
        <v>0</v>
      </c>
      <c r="X61" s="723">
        <f t="shared" si="43"/>
        <v>0</v>
      </c>
      <c r="Y61" s="723">
        <f t="shared" si="43"/>
        <v>0</v>
      </c>
      <c r="Z61" s="723">
        <f t="shared" si="43"/>
        <v>0</v>
      </c>
      <c r="AA61" s="726">
        <f t="shared" si="39"/>
        <v>0</v>
      </c>
      <c r="AB61" s="726">
        <f>AA61</f>
        <v>0</v>
      </c>
    </row>
    <row r="62" spans="2:28" s="727" customFormat="1" hidden="1" outlineLevel="1">
      <c r="B62" s="659"/>
      <c r="C62" s="725"/>
      <c r="D62" s="725"/>
      <c r="E62" s="725"/>
      <c r="F62" s="725"/>
      <c r="G62" s="725"/>
      <c r="H62" s="725"/>
      <c r="I62" s="725"/>
      <c r="J62" s="725"/>
      <c r="K62" s="725"/>
      <c r="L62" s="725"/>
      <c r="M62" s="725"/>
      <c r="N62" s="725"/>
      <c r="O62" s="723">
        <f>IF(C62=0,0,$A$62)</f>
        <v>0</v>
      </c>
      <c r="P62" s="723">
        <f t="shared" ref="P62:Z62" si="44">IF(D62=0,0,$A$62)</f>
        <v>0</v>
      </c>
      <c r="Q62" s="723">
        <f t="shared" si="44"/>
        <v>0</v>
      </c>
      <c r="R62" s="723">
        <f t="shared" si="44"/>
        <v>0</v>
      </c>
      <c r="S62" s="723">
        <f t="shared" si="44"/>
        <v>0</v>
      </c>
      <c r="T62" s="723">
        <f t="shared" si="44"/>
        <v>0</v>
      </c>
      <c r="U62" s="723">
        <f t="shared" si="44"/>
        <v>0</v>
      </c>
      <c r="V62" s="723">
        <f t="shared" si="44"/>
        <v>0</v>
      </c>
      <c r="W62" s="723">
        <f t="shared" si="44"/>
        <v>0</v>
      </c>
      <c r="X62" s="723">
        <f t="shared" si="44"/>
        <v>0</v>
      </c>
      <c r="Y62" s="723">
        <f t="shared" si="44"/>
        <v>0</v>
      </c>
      <c r="Z62" s="723">
        <f t="shared" si="44"/>
        <v>0</v>
      </c>
      <c r="AA62" s="726"/>
      <c r="AB62" s="726"/>
    </row>
    <row r="63" spans="2:28" s="727" customFormat="1" hidden="1" outlineLevel="1">
      <c r="B63" s="659"/>
      <c r="C63" s="725"/>
      <c r="D63" s="725"/>
      <c r="E63" s="725"/>
      <c r="F63" s="725"/>
      <c r="G63" s="725"/>
      <c r="H63" s="725"/>
      <c r="I63" s="725"/>
      <c r="J63" s="725"/>
      <c r="K63" s="725"/>
      <c r="L63" s="725"/>
      <c r="M63" s="725"/>
      <c r="N63" s="725"/>
      <c r="O63" s="723">
        <f>IF(C63=0,0,$A$63)</f>
        <v>0</v>
      </c>
      <c r="P63" s="723">
        <f t="shared" ref="P63:Z63" si="45">IF(D63=0,0,$A$63)</f>
        <v>0</v>
      </c>
      <c r="Q63" s="723">
        <f t="shared" si="45"/>
        <v>0</v>
      </c>
      <c r="R63" s="723">
        <f t="shared" si="45"/>
        <v>0</v>
      </c>
      <c r="S63" s="723">
        <f t="shared" si="45"/>
        <v>0</v>
      </c>
      <c r="T63" s="723">
        <f t="shared" si="45"/>
        <v>0</v>
      </c>
      <c r="U63" s="723">
        <f t="shared" si="45"/>
        <v>0</v>
      </c>
      <c r="V63" s="723">
        <f t="shared" si="45"/>
        <v>0</v>
      </c>
      <c r="W63" s="723">
        <f t="shared" si="45"/>
        <v>0</v>
      </c>
      <c r="X63" s="723">
        <f t="shared" si="45"/>
        <v>0</v>
      </c>
      <c r="Y63" s="723">
        <f t="shared" si="45"/>
        <v>0</v>
      </c>
      <c r="Z63" s="723">
        <f t="shared" si="45"/>
        <v>0</v>
      </c>
      <c r="AA63" s="726">
        <f>SUM(C63:N63)</f>
        <v>0</v>
      </c>
      <c r="AB63" s="726">
        <f>AA63</f>
        <v>0</v>
      </c>
    </row>
    <row r="64" spans="2:28" s="634" customFormat="1" hidden="1" outlineLevel="2">
      <c r="B64" s="659"/>
      <c r="C64" s="663"/>
      <c r="D64" s="663"/>
      <c r="E64" s="663"/>
      <c r="F64" s="663"/>
      <c r="G64" s="663"/>
      <c r="H64" s="663"/>
      <c r="I64" s="663"/>
      <c r="J64" s="663"/>
      <c r="K64" s="663"/>
      <c r="L64" s="663"/>
      <c r="M64" s="663"/>
      <c r="N64" s="663"/>
      <c r="O64" s="664">
        <f t="shared" si="40"/>
        <v>0</v>
      </c>
      <c r="P64" s="661">
        <f t="shared" si="30"/>
        <v>0</v>
      </c>
      <c r="Q64" s="661">
        <f t="shared" si="31"/>
        <v>0</v>
      </c>
      <c r="R64" s="661">
        <f t="shared" si="31"/>
        <v>0</v>
      </c>
      <c r="S64" s="661">
        <f t="shared" si="29"/>
        <v>0</v>
      </c>
      <c r="T64" s="661">
        <f t="shared" si="29"/>
        <v>0</v>
      </c>
      <c r="U64" s="661">
        <f t="shared" si="29"/>
        <v>0</v>
      </c>
      <c r="V64" s="661">
        <f t="shared" si="29"/>
        <v>0</v>
      </c>
      <c r="W64" s="661">
        <f t="shared" si="29"/>
        <v>0</v>
      </c>
      <c r="X64" s="661">
        <f t="shared" si="29"/>
        <v>0</v>
      </c>
      <c r="Y64" s="661">
        <f t="shared" si="29"/>
        <v>0</v>
      </c>
      <c r="Z64" s="661">
        <f t="shared" si="29"/>
        <v>0</v>
      </c>
      <c r="AA64" s="665">
        <f t="shared" si="39"/>
        <v>0</v>
      </c>
    </row>
    <row r="65" spans="2:27" s="634" customFormat="1" hidden="1" outlineLevel="2">
      <c r="B65" s="659"/>
      <c r="C65" s="663"/>
      <c r="D65" s="663"/>
      <c r="E65" s="663"/>
      <c r="F65" s="663"/>
      <c r="G65" s="663"/>
      <c r="H65" s="663"/>
      <c r="I65" s="663"/>
      <c r="J65" s="663"/>
      <c r="K65" s="663"/>
      <c r="L65" s="663"/>
      <c r="M65" s="663"/>
      <c r="N65" s="663"/>
      <c r="O65" s="664">
        <f t="shared" si="40"/>
        <v>0</v>
      </c>
      <c r="P65" s="661">
        <f t="shared" si="30"/>
        <v>0</v>
      </c>
      <c r="Q65" s="661">
        <f t="shared" si="31"/>
        <v>0</v>
      </c>
      <c r="R65" s="661">
        <f t="shared" si="31"/>
        <v>0</v>
      </c>
      <c r="S65" s="661">
        <f t="shared" si="29"/>
        <v>0</v>
      </c>
      <c r="T65" s="661">
        <f t="shared" si="29"/>
        <v>0</v>
      </c>
      <c r="U65" s="661">
        <f t="shared" si="29"/>
        <v>0</v>
      </c>
      <c r="V65" s="661">
        <f t="shared" si="29"/>
        <v>0</v>
      </c>
      <c r="W65" s="661">
        <f t="shared" si="29"/>
        <v>0</v>
      </c>
      <c r="X65" s="661">
        <f t="shared" si="29"/>
        <v>0</v>
      </c>
      <c r="Y65" s="661">
        <f t="shared" si="29"/>
        <v>0</v>
      </c>
      <c r="Z65" s="661">
        <f t="shared" si="29"/>
        <v>0</v>
      </c>
      <c r="AA65" s="665">
        <f t="shared" si="39"/>
        <v>0</v>
      </c>
    </row>
    <row r="66" spans="2:27" s="634" customFormat="1" hidden="1" outlineLevel="2">
      <c r="B66" s="659"/>
      <c r="C66" s="663"/>
      <c r="D66" s="663"/>
      <c r="E66" s="663"/>
      <c r="F66" s="663"/>
      <c r="G66" s="663"/>
      <c r="H66" s="663"/>
      <c r="I66" s="663"/>
      <c r="J66" s="663"/>
      <c r="K66" s="663"/>
      <c r="L66" s="663"/>
      <c r="M66" s="663"/>
      <c r="N66" s="663"/>
      <c r="O66" s="664">
        <f t="shared" si="40"/>
        <v>0</v>
      </c>
      <c r="P66" s="661">
        <f t="shared" si="30"/>
        <v>0</v>
      </c>
      <c r="Q66" s="661">
        <f t="shared" si="31"/>
        <v>0</v>
      </c>
      <c r="R66" s="661">
        <f t="shared" si="31"/>
        <v>0</v>
      </c>
      <c r="S66" s="661">
        <f t="shared" si="29"/>
        <v>0</v>
      </c>
      <c r="T66" s="661">
        <f t="shared" si="29"/>
        <v>0</v>
      </c>
      <c r="U66" s="661">
        <f t="shared" si="29"/>
        <v>0</v>
      </c>
      <c r="V66" s="661">
        <f t="shared" si="29"/>
        <v>0</v>
      </c>
      <c r="W66" s="661">
        <f t="shared" si="29"/>
        <v>0</v>
      </c>
      <c r="X66" s="661">
        <f t="shared" si="29"/>
        <v>0</v>
      </c>
      <c r="Y66" s="661">
        <f t="shared" si="29"/>
        <v>0</v>
      </c>
      <c r="Z66" s="661">
        <f t="shared" si="29"/>
        <v>0</v>
      </c>
      <c r="AA66" s="665">
        <f t="shared" si="39"/>
        <v>0</v>
      </c>
    </row>
    <row r="67" spans="2:27" s="634" customFormat="1" hidden="1" outlineLevel="2">
      <c r="B67" s="659"/>
      <c r="C67" s="663"/>
      <c r="D67" s="663"/>
      <c r="E67" s="663"/>
      <c r="F67" s="663"/>
      <c r="G67" s="663"/>
      <c r="H67" s="663"/>
      <c r="I67" s="663"/>
      <c r="J67" s="663"/>
      <c r="K67" s="663"/>
      <c r="L67" s="663"/>
      <c r="M67" s="663"/>
      <c r="N67" s="663"/>
      <c r="O67" s="664">
        <f t="shared" si="40"/>
        <v>0</v>
      </c>
      <c r="P67" s="661">
        <f t="shared" si="30"/>
        <v>0</v>
      </c>
      <c r="Q67" s="661">
        <f t="shared" si="31"/>
        <v>0</v>
      </c>
      <c r="R67" s="661">
        <f t="shared" si="31"/>
        <v>0</v>
      </c>
      <c r="S67" s="661">
        <f t="shared" si="29"/>
        <v>0</v>
      </c>
      <c r="T67" s="661">
        <f t="shared" si="29"/>
        <v>0</v>
      </c>
      <c r="U67" s="661">
        <f t="shared" si="29"/>
        <v>0</v>
      </c>
      <c r="V67" s="661">
        <f t="shared" si="29"/>
        <v>0</v>
      </c>
      <c r="W67" s="661">
        <f t="shared" si="29"/>
        <v>0</v>
      </c>
      <c r="X67" s="661">
        <f t="shared" si="29"/>
        <v>0</v>
      </c>
      <c r="Y67" s="661">
        <f t="shared" si="29"/>
        <v>0</v>
      </c>
      <c r="Z67" s="661">
        <f t="shared" si="29"/>
        <v>0</v>
      </c>
      <c r="AA67" s="665">
        <f t="shared" si="39"/>
        <v>0</v>
      </c>
    </row>
    <row r="68" spans="2:27" s="634" customFormat="1" hidden="1" outlineLevel="2">
      <c r="B68" s="659"/>
      <c r="C68" s="663"/>
      <c r="D68" s="663"/>
      <c r="E68" s="663"/>
      <c r="F68" s="663"/>
      <c r="G68" s="663"/>
      <c r="H68" s="663"/>
      <c r="I68" s="663"/>
      <c r="J68" s="663"/>
      <c r="K68" s="663"/>
      <c r="L68" s="663"/>
      <c r="M68" s="663"/>
      <c r="N68" s="663"/>
      <c r="O68" s="664">
        <f t="shared" si="40"/>
        <v>0</v>
      </c>
      <c r="P68" s="661">
        <f t="shared" si="30"/>
        <v>0</v>
      </c>
      <c r="Q68" s="661">
        <f t="shared" si="31"/>
        <v>0</v>
      </c>
      <c r="R68" s="661">
        <f t="shared" si="31"/>
        <v>0</v>
      </c>
      <c r="S68" s="661">
        <f t="shared" si="29"/>
        <v>0</v>
      </c>
      <c r="T68" s="661">
        <f t="shared" si="29"/>
        <v>0</v>
      </c>
      <c r="U68" s="661">
        <f t="shared" si="29"/>
        <v>0</v>
      </c>
      <c r="V68" s="661">
        <f t="shared" si="29"/>
        <v>0</v>
      </c>
      <c r="W68" s="661">
        <f t="shared" si="29"/>
        <v>0</v>
      </c>
      <c r="X68" s="661">
        <f t="shared" si="29"/>
        <v>0</v>
      </c>
      <c r="Y68" s="661">
        <f t="shared" si="29"/>
        <v>0</v>
      </c>
      <c r="Z68" s="661">
        <f t="shared" si="29"/>
        <v>0</v>
      </c>
      <c r="AA68" s="665">
        <f t="shared" si="39"/>
        <v>0</v>
      </c>
    </row>
    <row r="69" spans="2:27" s="634" customFormat="1" hidden="1" outlineLevel="2">
      <c r="B69" s="659"/>
      <c r="C69" s="663"/>
      <c r="D69" s="663"/>
      <c r="E69" s="663"/>
      <c r="F69" s="663"/>
      <c r="G69" s="663"/>
      <c r="H69" s="663"/>
      <c r="I69" s="663"/>
      <c r="J69" s="663"/>
      <c r="K69" s="663"/>
      <c r="L69" s="663"/>
      <c r="M69" s="663"/>
      <c r="N69" s="663"/>
      <c r="O69" s="664">
        <f t="shared" si="40"/>
        <v>0</v>
      </c>
      <c r="P69" s="661">
        <f t="shared" si="30"/>
        <v>0</v>
      </c>
      <c r="Q69" s="661">
        <f t="shared" si="31"/>
        <v>0</v>
      </c>
      <c r="R69" s="661">
        <f t="shared" si="31"/>
        <v>0</v>
      </c>
      <c r="S69" s="661">
        <f t="shared" si="29"/>
        <v>0</v>
      </c>
      <c r="T69" s="661">
        <f t="shared" si="29"/>
        <v>0</v>
      </c>
      <c r="U69" s="661">
        <f t="shared" si="29"/>
        <v>0</v>
      </c>
      <c r="V69" s="661">
        <f t="shared" si="29"/>
        <v>0</v>
      </c>
      <c r="W69" s="661">
        <f t="shared" si="29"/>
        <v>0</v>
      </c>
      <c r="X69" s="661">
        <f t="shared" si="29"/>
        <v>0</v>
      </c>
      <c r="Y69" s="661">
        <f t="shared" si="29"/>
        <v>0</v>
      </c>
      <c r="Z69" s="661">
        <f t="shared" si="29"/>
        <v>0</v>
      </c>
      <c r="AA69" s="665">
        <f t="shared" si="39"/>
        <v>0</v>
      </c>
    </row>
    <row r="70" spans="2:27" s="634" customFormat="1" hidden="1" outlineLevel="2">
      <c r="B70" s="659"/>
      <c r="C70" s="663"/>
      <c r="D70" s="663"/>
      <c r="E70" s="663"/>
      <c r="F70" s="663"/>
      <c r="G70" s="663"/>
      <c r="H70" s="663"/>
      <c r="I70" s="663"/>
      <c r="J70" s="663"/>
      <c r="K70" s="663"/>
      <c r="L70" s="663"/>
      <c r="M70" s="663"/>
      <c r="N70" s="663"/>
      <c r="O70" s="664">
        <f t="shared" si="40"/>
        <v>0</v>
      </c>
      <c r="P70" s="661">
        <f t="shared" si="30"/>
        <v>0</v>
      </c>
      <c r="Q70" s="661">
        <f t="shared" si="31"/>
        <v>0</v>
      </c>
      <c r="R70" s="661">
        <f t="shared" si="31"/>
        <v>0</v>
      </c>
      <c r="S70" s="661">
        <f t="shared" si="29"/>
        <v>0</v>
      </c>
      <c r="T70" s="661">
        <f t="shared" si="29"/>
        <v>0</v>
      </c>
      <c r="U70" s="661">
        <f t="shared" si="29"/>
        <v>0</v>
      </c>
      <c r="V70" s="661">
        <f t="shared" si="29"/>
        <v>0</v>
      </c>
      <c r="W70" s="661">
        <f t="shared" ref="W70:Z79" si="46">IF(K70=0,0,W$15+$A70)</f>
        <v>0</v>
      </c>
      <c r="X70" s="661">
        <f t="shared" si="46"/>
        <v>0</v>
      </c>
      <c r="Y70" s="661">
        <f t="shared" si="46"/>
        <v>0</v>
      </c>
      <c r="Z70" s="661">
        <f t="shared" si="46"/>
        <v>0</v>
      </c>
      <c r="AA70" s="665">
        <f t="shared" si="39"/>
        <v>0</v>
      </c>
    </row>
    <row r="71" spans="2:27" s="634" customFormat="1" hidden="1" outlineLevel="2">
      <c r="B71" s="659"/>
      <c r="C71" s="663"/>
      <c r="D71" s="663"/>
      <c r="E71" s="663"/>
      <c r="F71" s="663"/>
      <c r="G71" s="663"/>
      <c r="H71" s="663"/>
      <c r="I71" s="663"/>
      <c r="J71" s="663"/>
      <c r="K71" s="663"/>
      <c r="L71" s="663"/>
      <c r="M71" s="663"/>
      <c r="N71" s="663"/>
      <c r="O71" s="664">
        <f t="shared" si="40"/>
        <v>0</v>
      </c>
      <c r="P71" s="661">
        <f t="shared" si="30"/>
        <v>0</v>
      </c>
      <c r="Q71" s="661">
        <f t="shared" si="31"/>
        <v>0</v>
      </c>
      <c r="R71" s="661">
        <f t="shared" si="31"/>
        <v>0</v>
      </c>
      <c r="S71" s="661">
        <f t="shared" si="31"/>
        <v>0</v>
      </c>
      <c r="T71" s="661">
        <f t="shared" si="31"/>
        <v>0</v>
      </c>
      <c r="U71" s="661">
        <f t="shared" si="31"/>
        <v>0</v>
      </c>
      <c r="V71" s="661">
        <f t="shared" si="31"/>
        <v>0</v>
      </c>
      <c r="W71" s="661">
        <f t="shared" si="46"/>
        <v>0</v>
      </c>
      <c r="X71" s="661">
        <f t="shared" si="46"/>
        <v>0</v>
      </c>
      <c r="Y71" s="661">
        <f t="shared" si="46"/>
        <v>0</v>
      </c>
      <c r="Z71" s="661">
        <f t="shared" si="46"/>
        <v>0</v>
      </c>
      <c r="AA71" s="665">
        <f t="shared" si="39"/>
        <v>0</v>
      </c>
    </row>
    <row r="72" spans="2:27" s="634" customFormat="1" hidden="1" outlineLevel="2">
      <c r="B72" s="659"/>
      <c r="C72" s="663"/>
      <c r="D72" s="663"/>
      <c r="E72" s="663"/>
      <c r="F72" s="663"/>
      <c r="G72" s="663"/>
      <c r="H72" s="663"/>
      <c r="I72" s="663"/>
      <c r="J72" s="663"/>
      <c r="K72" s="663"/>
      <c r="L72" s="663"/>
      <c r="M72" s="663"/>
      <c r="N72" s="663"/>
      <c r="O72" s="664">
        <f t="shared" si="40"/>
        <v>0</v>
      </c>
      <c r="P72" s="661">
        <f t="shared" si="30"/>
        <v>0</v>
      </c>
      <c r="Q72" s="661">
        <f t="shared" si="31"/>
        <v>0</v>
      </c>
      <c r="R72" s="661">
        <f t="shared" si="31"/>
        <v>0</v>
      </c>
      <c r="S72" s="661">
        <f t="shared" si="31"/>
        <v>0</v>
      </c>
      <c r="T72" s="661">
        <f t="shared" si="31"/>
        <v>0</v>
      </c>
      <c r="U72" s="661">
        <f t="shared" si="31"/>
        <v>0</v>
      </c>
      <c r="V72" s="661">
        <f t="shared" si="31"/>
        <v>0</v>
      </c>
      <c r="W72" s="661">
        <f t="shared" si="46"/>
        <v>0</v>
      </c>
      <c r="X72" s="661">
        <f t="shared" si="46"/>
        <v>0</v>
      </c>
      <c r="Y72" s="661">
        <f t="shared" si="46"/>
        <v>0</v>
      </c>
      <c r="Z72" s="661">
        <f t="shared" si="46"/>
        <v>0</v>
      </c>
      <c r="AA72" s="665">
        <f t="shared" si="39"/>
        <v>0</v>
      </c>
    </row>
    <row r="73" spans="2:27" s="634" customFormat="1" hidden="1" outlineLevel="2">
      <c r="B73" s="659"/>
      <c r="C73" s="663"/>
      <c r="D73" s="663"/>
      <c r="E73" s="663"/>
      <c r="F73" s="663"/>
      <c r="G73" s="663"/>
      <c r="H73" s="663"/>
      <c r="I73" s="663"/>
      <c r="J73" s="663"/>
      <c r="K73" s="663"/>
      <c r="L73" s="663"/>
      <c r="M73" s="663"/>
      <c r="N73" s="663"/>
      <c r="O73" s="664">
        <f t="shared" si="40"/>
        <v>0</v>
      </c>
      <c r="P73" s="661">
        <f t="shared" si="30"/>
        <v>0</v>
      </c>
      <c r="Q73" s="661">
        <f t="shared" si="31"/>
        <v>0</v>
      </c>
      <c r="R73" s="661">
        <f t="shared" si="31"/>
        <v>0</v>
      </c>
      <c r="S73" s="661">
        <f t="shared" si="31"/>
        <v>0</v>
      </c>
      <c r="T73" s="661">
        <f t="shared" si="31"/>
        <v>0</v>
      </c>
      <c r="U73" s="661">
        <f t="shared" si="31"/>
        <v>0</v>
      </c>
      <c r="V73" s="661">
        <f t="shared" si="31"/>
        <v>0</v>
      </c>
      <c r="W73" s="661">
        <f t="shared" si="46"/>
        <v>0</v>
      </c>
      <c r="X73" s="661">
        <f t="shared" si="46"/>
        <v>0</v>
      </c>
      <c r="Y73" s="661">
        <f t="shared" si="46"/>
        <v>0</v>
      </c>
      <c r="Z73" s="661">
        <f t="shared" si="46"/>
        <v>0</v>
      </c>
      <c r="AA73" s="665">
        <f t="shared" si="39"/>
        <v>0</v>
      </c>
    </row>
    <row r="74" spans="2:27" s="634" customFormat="1" hidden="1" outlineLevel="2">
      <c r="B74" s="659"/>
      <c r="C74" s="663"/>
      <c r="D74" s="663"/>
      <c r="E74" s="663"/>
      <c r="F74" s="663"/>
      <c r="G74" s="663"/>
      <c r="H74" s="663"/>
      <c r="I74" s="663"/>
      <c r="J74" s="663"/>
      <c r="K74" s="663"/>
      <c r="L74" s="663"/>
      <c r="M74" s="663"/>
      <c r="N74" s="663"/>
      <c r="O74" s="664">
        <f t="shared" si="40"/>
        <v>0</v>
      </c>
      <c r="P74" s="661">
        <f t="shared" si="30"/>
        <v>0</v>
      </c>
      <c r="Q74" s="661">
        <f t="shared" si="31"/>
        <v>0</v>
      </c>
      <c r="R74" s="661">
        <f t="shared" si="31"/>
        <v>0</v>
      </c>
      <c r="S74" s="661">
        <f t="shared" si="31"/>
        <v>0</v>
      </c>
      <c r="T74" s="661">
        <f t="shared" si="31"/>
        <v>0</v>
      </c>
      <c r="U74" s="661">
        <f t="shared" si="31"/>
        <v>0</v>
      </c>
      <c r="V74" s="661">
        <f t="shared" si="31"/>
        <v>0</v>
      </c>
      <c r="W74" s="661">
        <f t="shared" si="46"/>
        <v>0</v>
      </c>
      <c r="X74" s="661">
        <f t="shared" si="46"/>
        <v>0</v>
      </c>
      <c r="Y74" s="661">
        <f t="shared" si="46"/>
        <v>0</v>
      </c>
      <c r="Z74" s="661">
        <f t="shared" si="46"/>
        <v>0</v>
      </c>
      <c r="AA74" s="665">
        <f t="shared" si="39"/>
        <v>0</v>
      </c>
    </row>
    <row r="75" spans="2:27" s="634" customFormat="1" hidden="1" outlineLevel="2">
      <c r="B75" s="659"/>
      <c r="C75" s="663"/>
      <c r="D75" s="663"/>
      <c r="E75" s="663"/>
      <c r="F75" s="663"/>
      <c r="G75" s="663"/>
      <c r="H75" s="663"/>
      <c r="I75" s="663"/>
      <c r="J75" s="663"/>
      <c r="K75" s="663"/>
      <c r="L75" s="663"/>
      <c r="M75" s="663"/>
      <c r="N75" s="663"/>
      <c r="O75" s="664">
        <f t="shared" si="40"/>
        <v>0</v>
      </c>
      <c r="P75" s="661">
        <f t="shared" si="30"/>
        <v>0</v>
      </c>
      <c r="Q75" s="661">
        <f t="shared" si="31"/>
        <v>0</v>
      </c>
      <c r="R75" s="661">
        <f t="shared" si="31"/>
        <v>0</v>
      </c>
      <c r="S75" s="661">
        <f t="shared" si="31"/>
        <v>0</v>
      </c>
      <c r="T75" s="661">
        <f t="shared" si="31"/>
        <v>0</v>
      </c>
      <c r="U75" s="661">
        <f t="shared" si="31"/>
        <v>0</v>
      </c>
      <c r="V75" s="661">
        <f t="shared" si="31"/>
        <v>0</v>
      </c>
      <c r="W75" s="661">
        <f t="shared" si="46"/>
        <v>0</v>
      </c>
      <c r="X75" s="661">
        <f t="shared" si="46"/>
        <v>0</v>
      </c>
      <c r="Y75" s="661">
        <f t="shared" si="46"/>
        <v>0</v>
      </c>
      <c r="Z75" s="661">
        <f t="shared" si="46"/>
        <v>0</v>
      </c>
      <c r="AA75" s="665">
        <f t="shared" si="39"/>
        <v>0</v>
      </c>
    </row>
    <row r="76" spans="2:27" s="634" customFormat="1" hidden="1" outlineLevel="2">
      <c r="B76" s="659"/>
      <c r="C76" s="663"/>
      <c r="D76" s="663"/>
      <c r="E76" s="663"/>
      <c r="F76" s="663"/>
      <c r="G76" s="663"/>
      <c r="H76" s="663"/>
      <c r="I76" s="663"/>
      <c r="J76" s="663"/>
      <c r="K76" s="663"/>
      <c r="L76" s="663"/>
      <c r="M76" s="663"/>
      <c r="N76" s="663"/>
      <c r="O76" s="664">
        <f t="shared" si="40"/>
        <v>0</v>
      </c>
      <c r="P76" s="661">
        <f t="shared" si="30"/>
        <v>0</v>
      </c>
      <c r="Q76" s="661">
        <f t="shared" si="31"/>
        <v>0</v>
      </c>
      <c r="R76" s="661">
        <f t="shared" si="31"/>
        <v>0</v>
      </c>
      <c r="S76" s="661">
        <f t="shared" si="31"/>
        <v>0</v>
      </c>
      <c r="T76" s="661">
        <f t="shared" si="31"/>
        <v>0</v>
      </c>
      <c r="U76" s="661">
        <f t="shared" si="31"/>
        <v>0</v>
      </c>
      <c r="V76" s="661">
        <f t="shared" si="31"/>
        <v>0</v>
      </c>
      <c r="W76" s="661">
        <f t="shared" si="46"/>
        <v>0</v>
      </c>
      <c r="X76" s="661">
        <f t="shared" si="46"/>
        <v>0</v>
      </c>
      <c r="Y76" s="661">
        <f t="shared" si="46"/>
        <v>0</v>
      </c>
      <c r="Z76" s="661">
        <f t="shared" si="46"/>
        <v>0</v>
      </c>
      <c r="AA76" s="665">
        <f t="shared" si="39"/>
        <v>0</v>
      </c>
    </row>
    <row r="77" spans="2:27" hidden="1" outlineLevel="2">
      <c r="B77" s="659"/>
      <c r="C77" s="660"/>
      <c r="D77" s="660"/>
      <c r="E77" s="660"/>
      <c r="F77" s="660"/>
      <c r="G77" s="660"/>
      <c r="H77" s="660"/>
      <c r="I77" s="660"/>
      <c r="J77" s="660"/>
      <c r="K77" s="660"/>
      <c r="L77" s="660"/>
      <c r="M77" s="660"/>
      <c r="N77" s="660"/>
      <c r="O77" s="664">
        <f t="shared" si="40"/>
        <v>0</v>
      </c>
      <c r="P77" s="661">
        <f t="shared" si="30"/>
        <v>0</v>
      </c>
      <c r="Q77" s="661">
        <f t="shared" si="31"/>
        <v>0</v>
      </c>
      <c r="R77" s="661">
        <f t="shared" si="31"/>
        <v>0</v>
      </c>
      <c r="S77" s="661">
        <f t="shared" si="31"/>
        <v>0</v>
      </c>
      <c r="T77" s="661">
        <f t="shared" si="31"/>
        <v>0</v>
      </c>
      <c r="U77" s="661">
        <f t="shared" si="31"/>
        <v>0</v>
      </c>
      <c r="V77" s="661">
        <f t="shared" si="31"/>
        <v>0</v>
      </c>
      <c r="W77" s="661">
        <f t="shared" si="46"/>
        <v>0</v>
      </c>
      <c r="X77" s="661">
        <f t="shared" si="46"/>
        <v>0</v>
      </c>
      <c r="Y77" s="661">
        <f t="shared" si="46"/>
        <v>0</v>
      </c>
      <c r="Z77" s="661">
        <f t="shared" si="46"/>
        <v>0</v>
      </c>
      <c r="AA77" s="665">
        <f t="shared" si="39"/>
        <v>0</v>
      </c>
    </row>
    <row r="78" spans="2:27" hidden="1" outlineLevel="2">
      <c r="B78" s="659"/>
      <c r="C78" s="660"/>
      <c r="D78" s="660"/>
      <c r="E78" s="660"/>
      <c r="F78" s="660"/>
      <c r="G78" s="660"/>
      <c r="H78" s="660"/>
      <c r="I78" s="660"/>
      <c r="J78" s="660"/>
      <c r="K78" s="660"/>
      <c r="L78" s="660"/>
      <c r="M78" s="660"/>
      <c r="N78" s="660"/>
      <c r="O78" s="664">
        <f t="shared" si="40"/>
        <v>0</v>
      </c>
      <c r="P78" s="661">
        <f t="shared" si="30"/>
        <v>0</v>
      </c>
      <c r="Q78" s="661">
        <f t="shared" si="31"/>
        <v>0</v>
      </c>
      <c r="R78" s="661">
        <f t="shared" si="31"/>
        <v>0</v>
      </c>
      <c r="S78" s="661">
        <f t="shared" si="31"/>
        <v>0</v>
      </c>
      <c r="T78" s="661">
        <f t="shared" si="31"/>
        <v>0</v>
      </c>
      <c r="U78" s="661">
        <f t="shared" si="31"/>
        <v>0</v>
      </c>
      <c r="V78" s="661">
        <f t="shared" si="31"/>
        <v>0</v>
      </c>
      <c r="W78" s="661">
        <f t="shared" si="46"/>
        <v>0</v>
      </c>
      <c r="X78" s="661">
        <f t="shared" si="46"/>
        <v>0</v>
      </c>
      <c r="Y78" s="661">
        <f t="shared" si="46"/>
        <v>0</v>
      </c>
      <c r="Z78" s="661">
        <f t="shared" si="46"/>
        <v>0</v>
      </c>
      <c r="AA78" s="665">
        <f t="shared" si="39"/>
        <v>0</v>
      </c>
    </row>
    <row r="79" spans="2:27" hidden="1" outlineLevel="2">
      <c r="B79" s="659"/>
      <c r="C79" s="660"/>
      <c r="D79" s="660"/>
      <c r="E79" s="660"/>
      <c r="F79" s="660"/>
      <c r="G79" s="660"/>
      <c r="H79" s="660"/>
      <c r="I79" s="660"/>
      <c r="J79" s="660"/>
      <c r="K79" s="660"/>
      <c r="L79" s="660"/>
      <c r="M79" s="660"/>
      <c r="N79" s="660"/>
      <c r="O79" s="664">
        <f t="shared" si="40"/>
        <v>0</v>
      </c>
      <c r="P79" s="661">
        <f t="shared" si="30"/>
        <v>0</v>
      </c>
      <c r="Q79" s="661">
        <f t="shared" si="31"/>
        <v>0</v>
      </c>
      <c r="R79" s="661">
        <f t="shared" si="31"/>
        <v>0</v>
      </c>
      <c r="S79" s="661">
        <f t="shared" si="31"/>
        <v>0</v>
      </c>
      <c r="T79" s="661">
        <f t="shared" si="31"/>
        <v>0</v>
      </c>
      <c r="U79" s="661">
        <f t="shared" si="31"/>
        <v>0</v>
      </c>
      <c r="V79" s="661">
        <f t="shared" si="31"/>
        <v>0</v>
      </c>
      <c r="W79" s="661">
        <f t="shared" si="46"/>
        <v>0</v>
      </c>
      <c r="X79" s="661">
        <f t="shared" si="46"/>
        <v>0</v>
      </c>
      <c r="Y79" s="661">
        <f t="shared" si="46"/>
        <v>0</v>
      </c>
      <c r="Z79" s="661">
        <f t="shared" si="46"/>
        <v>0</v>
      </c>
      <c r="AA79" s="665">
        <f t="shared" si="39"/>
        <v>0</v>
      </c>
    </row>
    <row r="80" spans="2:27" hidden="1" outlineLevel="2">
      <c r="B80" s="659"/>
      <c r="C80" s="671"/>
      <c r="D80" s="671"/>
      <c r="E80" s="671"/>
      <c r="F80" s="671"/>
      <c r="G80" s="671"/>
      <c r="H80" s="671"/>
      <c r="I80" s="671"/>
      <c r="J80" s="671"/>
      <c r="K80" s="671"/>
      <c r="L80" s="671"/>
      <c r="M80" s="671"/>
      <c r="N80" s="671"/>
      <c r="O80" s="664">
        <f>IF(C80=0,0,$O$15+A80)</f>
        <v>0</v>
      </c>
      <c r="P80" s="661">
        <f>IF(D80=0,0,$P$15+A80)</f>
        <v>0</v>
      </c>
      <c r="Q80" s="661">
        <f t="shared" ref="Q80:Z80" si="47">IF(E80=0,0,Q$15+$A80)</f>
        <v>0</v>
      </c>
      <c r="R80" s="661">
        <f t="shared" si="47"/>
        <v>0</v>
      </c>
      <c r="S80" s="661">
        <f t="shared" si="47"/>
        <v>0</v>
      </c>
      <c r="T80" s="661">
        <f t="shared" si="47"/>
        <v>0</v>
      </c>
      <c r="U80" s="661">
        <f t="shared" si="47"/>
        <v>0</v>
      </c>
      <c r="V80" s="661">
        <f t="shared" si="47"/>
        <v>0</v>
      </c>
      <c r="W80" s="661">
        <f t="shared" si="47"/>
        <v>0</v>
      </c>
      <c r="X80" s="661">
        <f t="shared" si="47"/>
        <v>0</v>
      </c>
      <c r="Y80" s="661">
        <f t="shared" si="47"/>
        <v>0</v>
      </c>
      <c r="Z80" s="661">
        <f t="shared" si="47"/>
        <v>0</v>
      </c>
      <c r="AA80" s="665">
        <f>SUM(C80:N80)</f>
        <v>0</v>
      </c>
    </row>
    <row r="81" spans="2:27" hidden="1" outlineLevel="1">
      <c r="B81" s="672" t="s">
        <v>552</v>
      </c>
      <c r="C81" s="660"/>
      <c r="D81" s="660"/>
      <c r="E81" s="660"/>
      <c r="F81" s="660"/>
      <c r="G81" s="660"/>
      <c r="H81" s="660"/>
      <c r="I81" s="660"/>
      <c r="J81" s="660"/>
      <c r="K81" s="660"/>
      <c r="L81" s="660"/>
      <c r="M81" s="660"/>
      <c r="N81" s="660"/>
      <c r="O81" s="673">
        <f t="shared" ref="O81:Z102" si="48">IF(C81=0,C183,C183/C81)</f>
        <v>0</v>
      </c>
      <c r="P81" s="673">
        <f t="shared" si="48"/>
        <v>0</v>
      </c>
      <c r="Q81" s="673">
        <f t="shared" si="48"/>
        <v>0</v>
      </c>
      <c r="R81" s="673">
        <f t="shared" si="48"/>
        <v>0</v>
      </c>
      <c r="S81" s="673">
        <f t="shared" si="48"/>
        <v>0</v>
      </c>
      <c r="T81" s="673">
        <f t="shared" si="48"/>
        <v>0</v>
      </c>
      <c r="U81" s="673">
        <f t="shared" si="48"/>
        <v>0</v>
      </c>
      <c r="V81" s="673">
        <f t="shared" si="48"/>
        <v>0</v>
      </c>
      <c r="W81" s="673">
        <f t="shared" si="48"/>
        <v>0</v>
      </c>
      <c r="X81" s="673">
        <f t="shared" si="48"/>
        <v>0</v>
      </c>
      <c r="Y81" s="673">
        <f t="shared" si="48"/>
        <v>0</v>
      </c>
      <c r="Z81" s="673">
        <f t="shared" si="48"/>
        <v>0</v>
      </c>
      <c r="AA81" s="651">
        <f t="shared" ref="AA81:AA105" si="49">SUM(C81:N81)</f>
        <v>0</v>
      </c>
    </row>
    <row r="82" spans="2:27" hidden="1" outlineLevel="1">
      <c r="B82" s="672"/>
      <c r="C82" s="660"/>
      <c r="D82" s="660"/>
      <c r="E82" s="660"/>
      <c r="F82" s="660"/>
      <c r="G82" s="660"/>
      <c r="H82" s="660"/>
      <c r="I82" s="660"/>
      <c r="J82" s="660"/>
      <c r="K82" s="660"/>
      <c r="L82" s="660"/>
      <c r="M82" s="660"/>
      <c r="N82" s="660"/>
      <c r="O82" s="673">
        <f t="shared" si="48"/>
        <v>0</v>
      </c>
      <c r="P82" s="673">
        <f t="shared" si="48"/>
        <v>0</v>
      </c>
      <c r="Q82" s="673">
        <f t="shared" si="48"/>
        <v>0</v>
      </c>
      <c r="R82" s="673">
        <f t="shared" si="48"/>
        <v>0</v>
      </c>
      <c r="S82" s="673">
        <f t="shared" si="48"/>
        <v>0</v>
      </c>
      <c r="T82" s="673">
        <f t="shared" si="48"/>
        <v>0</v>
      </c>
      <c r="U82" s="673">
        <f t="shared" si="48"/>
        <v>0</v>
      </c>
      <c r="V82" s="673">
        <f t="shared" si="48"/>
        <v>0</v>
      </c>
      <c r="W82" s="673">
        <f t="shared" si="48"/>
        <v>0</v>
      </c>
      <c r="X82" s="673">
        <f t="shared" si="48"/>
        <v>0</v>
      </c>
      <c r="Y82" s="673">
        <f t="shared" si="48"/>
        <v>0</v>
      </c>
      <c r="Z82" s="673">
        <f t="shared" si="48"/>
        <v>0</v>
      </c>
      <c r="AA82" s="651">
        <f t="shared" si="49"/>
        <v>0</v>
      </c>
    </row>
    <row r="83" spans="2:27" hidden="1" outlineLevel="1">
      <c r="B83" s="672"/>
      <c r="C83" s="660"/>
      <c r="D83" s="660"/>
      <c r="E83" s="660"/>
      <c r="F83" s="660"/>
      <c r="G83" s="660"/>
      <c r="H83" s="660"/>
      <c r="I83" s="660"/>
      <c r="J83" s="660"/>
      <c r="K83" s="660"/>
      <c r="L83" s="660"/>
      <c r="M83" s="660"/>
      <c r="N83" s="660"/>
      <c r="O83" s="673">
        <f t="shared" si="48"/>
        <v>0</v>
      </c>
      <c r="P83" s="673">
        <f t="shared" si="48"/>
        <v>0</v>
      </c>
      <c r="Q83" s="673">
        <f t="shared" si="48"/>
        <v>0</v>
      </c>
      <c r="R83" s="673">
        <f t="shared" si="48"/>
        <v>0</v>
      </c>
      <c r="S83" s="673">
        <f t="shared" si="48"/>
        <v>0</v>
      </c>
      <c r="T83" s="673">
        <f t="shared" si="48"/>
        <v>0</v>
      </c>
      <c r="U83" s="673">
        <f t="shared" si="48"/>
        <v>0</v>
      </c>
      <c r="V83" s="673">
        <f t="shared" si="48"/>
        <v>0</v>
      </c>
      <c r="W83" s="673">
        <f t="shared" si="48"/>
        <v>0</v>
      </c>
      <c r="X83" s="673">
        <f t="shared" si="48"/>
        <v>0</v>
      </c>
      <c r="Y83" s="673">
        <f t="shared" si="48"/>
        <v>0</v>
      </c>
      <c r="Z83" s="673">
        <f t="shared" si="48"/>
        <v>0</v>
      </c>
      <c r="AA83" s="651">
        <f t="shared" si="49"/>
        <v>0</v>
      </c>
    </row>
    <row r="84" spans="2:27" hidden="1" outlineLevel="1">
      <c r="B84" s="672"/>
      <c r="C84" s="660"/>
      <c r="D84" s="660"/>
      <c r="E84" s="660"/>
      <c r="F84" s="660"/>
      <c r="G84" s="660"/>
      <c r="H84" s="660"/>
      <c r="I84" s="660"/>
      <c r="J84" s="660"/>
      <c r="K84" s="660"/>
      <c r="L84" s="660"/>
      <c r="M84" s="660"/>
      <c r="N84" s="660"/>
      <c r="O84" s="673">
        <f t="shared" si="48"/>
        <v>0</v>
      </c>
      <c r="P84" s="673">
        <f t="shared" si="48"/>
        <v>0</v>
      </c>
      <c r="Q84" s="673">
        <f t="shared" si="48"/>
        <v>0</v>
      </c>
      <c r="R84" s="673">
        <f t="shared" si="48"/>
        <v>0</v>
      </c>
      <c r="S84" s="673">
        <f t="shared" si="48"/>
        <v>0</v>
      </c>
      <c r="T84" s="673">
        <f t="shared" si="48"/>
        <v>0</v>
      </c>
      <c r="U84" s="673">
        <f t="shared" si="48"/>
        <v>0</v>
      </c>
      <c r="V84" s="673">
        <f t="shared" si="48"/>
        <v>0</v>
      </c>
      <c r="W84" s="673">
        <f t="shared" si="48"/>
        <v>0</v>
      </c>
      <c r="X84" s="673">
        <f t="shared" si="48"/>
        <v>0</v>
      </c>
      <c r="Y84" s="673">
        <f t="shared" si="48"/>
        <v>0</v>
      </c>
      <c r="Z84" s="673">
        <f t="shared" si="48"/>
        <v>0</v>
      </c>
      <c r="AA84" s="651">
        <f t="shared" si="49"/>
        <v>0</v>
      </c>
    </row>
    <row r="85" spans="2:27" hidden="1" outlineLevel="1">
      <c r="B85" s="672"/>
      <c r="C85" s="660"/>
      <c r="D85" s="660"/>
      <c r="E85" s="660"/>
      <c r="F85" s="660"/>
      <c r="G85" s="660"/>
      <c r="H85" s="660"/>
      <c r="I85" s="660"/>
      <c r="J85" s="660"/>
      <c r="K85" s="660"/>
      <c r="L85" s="660"/>
      <c r="M85" s="660"/>
      <c r="N85" s="660"/>
      <c r="O85" s="673">
        <f t="shared" si="48"/>
        <v>0</v>
      </c>
      <c r="P85" s="673">
        <f t="shared" si="48"/>
        <v>0</v>
      </c>
      <c r="Q85" s="673">
        <f t="shared" si="48"/>
        <v>0</v>
      </c>
      <c r="R85" s="673">
        <f t="shared" si="48"/>
        <v>0</v>
      </c>
      <c r="S85" s="673">
        <f t="shared" si="48"/>
        <v>0</v>
      </c>
      <c r="T85" s="673">
        <f t="shared" si="48"/>
        <v>0</v>
      </c>
      <c r="U85" s="673">
        <f t="shared" si="48"/>
        <v>0</v>
      </c>
      <c r="V85" s="673">
        <f t="shared" si="48"/>
        <v>0</v>
      </c>
      <c r="W85" s="673">
        <f t="shared" si="48"/>
        <v>0</v>
      </c>
      <c r="X85" s="673">
        <f t="shared" si="48"/>
        <v>0</v>
      </c>
      <c r="Y85" s="673">
        <f t="shared" si="48"/>
        <v>0</v>
      </c>
      <c r="Z85" s="673">
        <f t="shared" si="48"/>
        <v>0</v>
      </c>
      <c r="AA85" s="651">
        <f t="shared" si="49"/>
        <v>0</v>
      </c>
    </row>
    <row r="86" spans="2:27" hidden="1" outlineLevel="1">
      <c r="B86" s="672"/>
      <c r="C86" s="660"/>
      <c r="D86" s="660"/>
      <c r="E86" s="660"/>
      <c r="F86" s="660"/>
      <c r="G86" s="660"/>
      <c r="H86" s="660"/>
      <c r="I86" s="660"/>
      <c r="J86" s="660"/>
      <c r="K86" s="660"/>
      <c r="L86" s="660"/>
      <c r="M86" s="660"/>
      <c r="N86" s="660"/>
      <c r="O86" s="673">
        <f t="shared" si="48"/>
        <v>0</v>
      </c>
      <c r="P86" s="673">
        <f t="shared" si="48"/>
        <v>0</v>
      </c>
      <c r="Q86" s="673">
        <f t="shared" si="48"/>
        <v>0</v>
      </c>
      <c r="R86" s="673">
        <f t="shared" si="48"/>
        <v>0</v>
      </c>
      <c r="S86" s="673">
        <f t="shared" si="48"/>
        <v>0</v>
      </c>
      <c r="T86" s="673">
        <f t="shared" si="48"/>
        <v>0</v>
      </c>
      <c r="U86" s="673">
        <f t="shared" si="48"/>
        <v>0</v>
      </c>
      <c r="V86" s="673">
        <f t="shared" si="48"/>
        <v>0</v>
      </c>
      <c r="W86" s="673">
        <f t="shared" si="48"/>
        <v>0</v>
      </c>
      <c r="X86" s="673">
        <f t="shared" si="48"/>
        <v>0</v>
      </c>
      <c r="Y86" s="673">
        <f t="shared" si="48"/>
        <v>0</v>
      </c>
      <c r="Z86" s="673">
        <f t="shared" si="48"/>
        <v>0</v>
      </c>
      <c r="AA86" s="651">
        <f t="shared" si="49"/>
        <v>0</v>
      </c>
    </row>
    <row r="87" spans="2:27" hidden="1" outlineLevel="1">
      <c r="B87" s="672"/>
      <c r="C87" s="660"/>
      <c r="D87" s="660"/>
      <c r="E87" s="660"/>
      <c r="F87" s="660"/>
      <c r="G87" s="660"/>
      <c r="H87" s="660"/>
      <c r="I87" s="660"/>
      <c r="J87" s="660"/>
      <c r="K87" s="660"/>
      <c r="L87" s="660"/>
      <c r="M87" s="660"/>
      <c r="N87" s="660"/>
      <c r="O87" s="673">
        <f t="shared" si="48"/>
        <v>0</v>
      </c>
      <c r="P87" s="673">
        <f t="shared" si="48"/>
        <v>0</v>
      </c>
      <c r="Q87" s="673">
        <f t="shared" si="48"/>
        <v>0</v>
      </c>
      <c r="R87" s="673">
        <f t="shared" si="48"/>
        <v>0</v>
      </c>
      <c r="S87" s="673">
        <f t="shared" si="48"/>
        <v>0</v>
      </c>
      <c r="T87" s="673">
        <f t="shared" si="48"/>
        <v>0</v>
      </c>
      <c r="U87" s="673">
        <f t="shared" si="48"/>
        <v>0</v>
      </c>
      <c r="V87" s="673">
        <f t="shared" si="48"/>
        <v>0</v>
      </c>
      <c r="W87" s="673">
        <f t="shared" si="48"/>
        <v>0</v>
      </c>
      <c r="X87" s="673">
        <f t="shared" si="48"/>
        <v>0</v>
      </c>
      <c r="Y87" s="673">
        <f t="shared" si="48"/>
        <v>0</v>
      </c>
      <c r="Z87" s="673">
        <f t="shared" si="48"/>
        <v>0</v>
      </c>
      <c r="AA87" s="651">
        <f t="shared" si="49"/>
        <v>0</v>
      </c>
    </row>
    <row r="88" spans="2:27" hidden="1" outlineLevel="1">
      <c r="B88" s="672"/>
      <c r="C88" s="660"/>
      <c r="D88" s="660"/>
      <c r="E88" s="660"/>
      <c r="F88" s="660"/>
      <c r="G88" s="660"/>
      <c r="H88" s="660"/>
      <c r="I88" s="660"/>
      <c r="J88" s="660"/>
      <c r="K88" s="660"/>
      <c r="L88" s="660"/>
      <c r="M88" s="660"/>
      <c r="N88" s="660"/>
      <c r="O88" s="673">
        <f t="shared" si="48"/>
        <v>0</v>
      </c>
      <c r="P88" s="673">
        <f t="shared" si="48"/>
        <v>0</v>
      </c>
      <c r="Q88" s="673">
        <f t="shared" si="48"/>
        <v>0</v>
      </c>
      <c r="R88" s="673">
        <f t="shared" si="48"/>
        <v>0</v>
      </c>
      <c r="S88" s="673">
        <f t="shared" si="48"/>
        <v>0</v>
      </c>
      <c r="T88" s="673">
        <f t="shared" si="48"/>
        <v>0</v>
      </c>
      <c r="U88" s="673">
        <f t="shared" si="48"/>
        <v>0</v>
      </c>
      <c r="V88" s="673">
        <f t="shared" si="48"/>
        <v>0</v>
      </c>
      <c r="W88" s="673">
        <f t="shared" si="48"/>
        <v>0</v>
      </c>
      <c r="X88" s="673">
        <f t="shared" si="48"/>
        <v>0</v>
      </c>
      <c r="Y88" s="673">
        <f t="shared" si="48"/>
        <v>0</v>
      </c>
      <c r="Z88" s="673">
        <f t="shared" si="48"/>
        <v>0</v>
      </c>
      <c r="AA88" s="651">
        <f t="shared" si="49"/>
        <v>0</v>
      </c>
    </row>
    <row r="89" spans="2:27" hidden="1" outlineLevel="1">
      <c r="B89" s="672"/>
      <c r="C89" s="660"/>
      <c r="D89" s="660"/>
      <c r="E89" s="660"/>
      <c r="F89" s="660"/>
      <c r="G89" s="660"/>
      <c r="H89" s="660"/>
      <c r="I89" s="660"/>
      <c r="J89" s="660"/>
      <c r="K89" s="660"/>
      <c r="L89" s="660"/>
      <c r="M89" s="660"/>
      <c r="N89" s="660"/>
      <c r="O89" s="673">
        <f t="shared" si="48"/>
        <v>0</v>
      </c>
      <c r="P89" s="673">
        <f t="shared" si="48"/>
        <v>0</v>
      </c>
      <c r="Q89" s="673">
        <f t="shared" si="48"/>
        <v>0</v>
      </c>
      <c r="R89" s="673">
        <f t="shared" si="48"/>
        <v>0</v>
      </c>
      <c r="S89" s="673">
        <f t="shared" si="48"/>
        <v>0</v>
      </c>
      <c r="T89" s="673">
        <f t="shared" si="48"/>
        <v>0</v>
      </c>
      <c r="U89" s="673">
        <f t="shared" si="48"/>
        <v>0</v>
      </c>
      <c r="V89" s="673">
        <f t="shared" si="48"/>
        <v>0</v>
      </c>
      <c r="W89" s="673">
        <f t="shared" si="48"/>
        <v>0</v>
      </c>
      <c r="X89" s="673">
        <f t="shared" si="48"/>
        <v>0</v>
      </c>
      <c r="Y89" s="673">
        <f t="shared" si="48"/>
        <v>0</v>
      </c>
      <c r="Z89" s="673">
        <f t="shared" si="48"/>
        <v>0</v>
      </c>
      <c r="AA89" s="651">
        <f t="shared" si="49"/>
        <v>0</v>
      </c>
    </row>
    <row r="90" spans="2:27" hidden="1" outlineLevel="1">
      <c r="B90" s="672"/>
      <c r="C90" s="660"/>
      <c r="D90" s="660"/>
      <c r="E90" s="660"/>
      <c r="F90" s="660"/>
      <c r="G90" s="660"/>
      <c r="H90" s="660"/>
      <c r="I90" s="660"/>
      <c r="J90" s="660"/>
      <c r="K90" s="660"/>
      <c r="L90" s="660"/>
      <c r="M90" s="660"/>
      <c r="N90" s="660"/>
      <c r="O90" s="673">
        <f t="shared" si="48"/>
        <v>0</v>
      </c>
      <c r="P90" s="673">
        <f t="shared" si="48"/>
        <v>0</v>
      </c>
      <c r="Q90" s="673">
        <f t="shared" si="48"/>
        <v>0</v>
      </c>
      <c r="R90" s="673">
        <f t="shared" si="48"/>
        <v>0</v>
      </c>
      <c r="S90" s="673">
        <f t="shared" si="48"/>
        <v>0</v>
      </c>
      <c r="T90" s="673">
        <f t="shared" si="48"/>
        <v>0</v>
      </c>
      <c r="U90" s="673">
        <f t="shared" si="48"/>
        <v>0</v>
      </c>
      <c r="V90" s="673">
        <f t="shared" si="48"/>
        <v>0</v>
      </c>
      <c r="W90" s="673">
        <f t="shared" si="48"/>
        <v>0</v>
      </c>
      <c r="X90" s="673">
        <f t="shared" si="48"/>
        <v>0</v>
      </c>
      <c r="Y90" s="673">
        <f t="shared" si="48"/>
        <v>0</v>
      </c>
      <c r="Z90" s="673">
        <f t="shared" si="48"/>
        <v>0</v>
      </c>
      <c r="AA90" s="651">
        <f t="shared" si="49"/>
        <v>0</v>
      </c>
    </row>
    <row r="91" spans="2:27" hidden="1" outlineLevel="1">
      <c r="B91" s="672"/>
      <c r="C91" s="660"/>
      <c r="D91" s="660"/>
      <c r="E91" s="660"/>
      <c r="F91" s="660"/>
      <c r="G91" s="660"/>
      <c r="H91" s="660"/>
      <c r="I91" s="660"/>
      <c r="J91" s="660"/>
      <c r="K91" s="660"/>
      <c r="L91" s="660"/>
      <c r="M91" s="660"/>
      <c r="N91" s="660"/>
      <c r="O91" s="673">
        <f t="shared" si="48"/>
        <v>0</v>
      </c>
      <c r="P91" s="673">
        <f t="shared" si="48"/>
        <v>0</v>
      </c>
      <c r="Q91" s="673">
        <f t="shared" si="48"/>
        <v>0</v>
      </c>
      <c r="R91" s="673">
        <f t="shared" si="48"/>
        <v>0</v>
      </c>
      <c r="S91" s="673">
        <f t="shared" si="48"/>
        <v>0</v>
      </c>
      <c r="T91" s="673">
        <f t="shared" si="48"/>
        <v>0</v>
      </c>
      <c r="U91" s="673">
        <f t="shared" si="48"/>
        <v>0</v>
      </c>
      <c r="V91" s="673">
        <f t="shared" si="48"/>
        <v>0</v>
      </c>
      <c r="W91" s="673">
        <f t="shared" si="48"/>
        <v>0</v>
      </c>
      <c r="X91" s="673">
        <f t="shared" si="48"/>
        <v>0</v>
      </c>
      <c r="Y91" s="673">
        <f t="shared" si="48"/>
        <v>0</v>
      </c>
      <c r="Z91" s="673">
        <f t="shared" si="48"/>
        <v>0</v>
      </c>
      <c r="AA91" s="651">
        <f t="shared" si="49"/>
        <v>0</v>
      </c>
    </row>
    <row r="92" spans="2:27" hidden="1" outlineLevel="1">
      <c r="B92" s="672"/>
      <c r="C92" s="660"/>
      <c r="D92" s="660"/>
      <c r="E92" s="660"/>
      <c r="F92" s="660"/>
      <c r="G92" s="660"/>
      <c r="H92" s="660"/>
      <c r="I92" s="660"/>
      <c r="J92" s="660"/>
      <c r="K92" s="660"/>
      <c r="L92" s="660"/>
      <c r="M92" s="660"/>
      <c r="N92" s="660"/>
      <c r="O92" s="673">
        <f t="shared" si="48"/>
        <v>0</v>
      </c>
      <c r="P92" s="673">
        <f t="shared" si="48"/>
        <v>0</v>
      </c>
      <c r="Q92" s="673">
        <f t="shared" si="48"/>
        <v>0</v>
      </c>
      <c r="R92" s="673">
        <f t="shared" si="48"/>
        <v>0</v>
      </c>
      <c r="S92" s="673">
        <f t="shared" si="48"/>
        <v>0</v>
      </c>
      <c r="T92" s="673">
        <f t="shared" si="48"/>
        <v>0</v>
      </c>
      <c r="U92" s="673">
        <f t="shared" si="48"/>
        <v>0</v>
      </c>
      <c r="V92" s="673">
        <f t="shared" si="48"/>
        <v>0</v>
      </c>
      <c r="W92" s="673">
        <f t="shared" si="48"/>
        <v>0</v>
      </c>
      <c r="X92" s="673">
        <f t="shared" si="48"/>
        <v>0</v>
      </c>
      <c r="Y92" s="673">
        <f t="shared" si="48"/>
        <v>0</v>
      </c>
      <c r="Z92" s="673">
        <f t="shared" si="48"/>
        <v>0</v>
      </c>
      <c r="AA92" s="651">
        <f t="shared" si="49"/>
        <v>0</v>
      </c>
    </row>
    <row r="93" spans="2:27" hidden="1" outlineLevel="1">
      <c r="B93" s="672"/>
      <c r="C93" s="660"/>
      <c r="D93" s="660"/>
      <c r="E93" s="660"/>
      <c r="F93" s="660"/>
      <c r="G93" s="660"/>
      <c r="H93" s="660"/>
      <c r="I93" s="660"/>
      <c r="J93" s="660"/>
      <c r="K93" s="660"/>
      <c r="L93" s="660"/>
      <c r="M93" s="660"/>
      <c r="N93" s="660"/>
      <c r="O93" s="673">
        <f t="shared" si="48"/>
        <v>0</v>
      </c>
      <c r="P93" s="673">
        <f t="shared" si="48"/>
        <v>0</v>
      </c>
      <c r="Q93" s="673">
        <f t="shared" si="48"/>
        <v>0</v>
      </c>
      <c r="R93" s="673">
        <f t="shared" si="48"/>
        <v>0</v>
      </c>
      <c r="S93" s="673">
        <f t="shared" si="48"/>
        <v>0</v>
      </c>
      <c r="T93" s="673">
        <f t="shared" si="48"/>
        <v>0</v>
      </c>
      <c r="U93" s="673">
        <f t="shared" si="48"/>
        <v>0</v>
      </c>
      <c r="V93" s="673">
        <f t="shared" si="48"/>
        <v>0</v>
      </c>
      <c r="W93" s="673">
        <f t="shared" si="48"/>
        <v>0</v>
      </c>
      <c r="X93" s="673">
        <f t="shared" si="48"/>
        <v>0</v>
      </c>
      <c r="Y93" s="673">
        <f t="shared" si="48"/>
        <v>0</v>
      </c>
      <c r="Z93" s="673">
        <f t="shared" si="48"/>
        <v>0</v>
      </c>
      <c r="AA93" s="651">
        <f t="shared" si="49"/>
        <v>0</v>
      </c>
    </row>
    <row r="94" spans="2:27" hidden="1" outlineLevel="1">
      <c r="B94" s="672"/>
      <c r="C94" s="660"/>
      <c r="D94" s="660"/>
      <c r="E94" s="660"/>
      <c r="F94" s="660"/>
      <c r="G94" s="660"/>
      <c r="H94" s="660"/>
      <c r="I94" s="660"/>
      <c r="J94" s="660"/>
      <c r="K94" s="660"/>
      <c r="L94" s="660"/>
      <c r="M94" s="660"/>
      <c r="N94" s="660"/>
      <c r="O94" s="673">
        <f t="shared" si="48"/>
        <v>0</v>
      </c>
      <c r="P94" s="673">
        <f t="shared" si="48"/>
        <v>0</v>
      </c>
      <c r="Q94" s="673">
        <f t="shared" si="48"/>
        <v>0</v>
      </c>
      <c r="R94" s="673">
        <f t="shared" si="48"/>
        <v>0</v>
      </c>
      <c r="S94" s="673">
        <f t="shared" si="48"/>
        <v>0</v>
      </c>
      <c r="T94" s="673" t="e">
        <f>IF(#REF!=0,H196,H196/#REF!)</f>
        <v>#REF!</v>
      </c>
      <c r="U94" s="673">
        <f t="shared" si="48"/>
        <v>0</v>
      </c>
      <c r="V94" s="673">
        <f t="shared" si="48"/>
        <v>0</v>
      </c>
      <c r="W94" s="673">
        <f t="shared" si="48"/>
        <v>0</v>
      </c>
      <c r="X94" s="673">
        <f t="shared" si="48"/>
        <v>0</v>
      </c>
      <c r="Y94" s="673">
        <f t="shared" si="48"/>
        <v>0</v>
      </c>
      <c r="Z94" s="673">
        <f t="shared" si="48"/>
        <v>0</v>
      </c>
      <c r="AA94" s="651">
        <f t="shared" si="49"/>
        <v>0</v>
      </c>
    </row>
    <row r="95" spans="2:27" hidden="1" outlineLevel="1">
      <c r="B95" s="672"/>
      <c r="C95" s="660"/>
      <c r="D95" s="660"/>
      <c r="E95" s="660"/>
      <c r="F95" s="660"/>
      <c r="G95" s="660"/>
      <c r="H95" s="660"/>
      <c r="I95" s="660"/>
      <c r="J95" s="660"/>
      <c r="K95" s="660"/>
      <c r="L95" s="660"/>
      <c r="M95" s="660"/>
      <c r="N95" s="660"/>
      <c r="O95" s="673">
        <f t="shared" si="48"/>
        <v>0</v>
      </c>
      <c r="P95" s="673">
        <f t="shared" si="48"/>
        <v>0</v>
      </c>
      <c r="Q95" s="673">
        <f t="shared" si="48"/>
        <v>0</v>
      </c>
      <c r="R95" s="673">
        <f t="shared" si="48"/>
        <v>0</v>
      </c>
      <c r="S95" s="673">
        <f t="shared" si="48"/>
        <v>0</v>
      </c>
      <c r="T95" s="673">
        <f>IF(H94=0,H197,H197/H94)</f>
        <v>0</v>
      </c>
      <c r="U95" s="673">
        <f t="shared" si="48"/>
        <v>0</v>
      </c>
      <c r="V95" s="673">
        <f t="shared" si="48"/>
        <v>0</v>
      </c>
      <c r="W95" s="673">
        <f t="shared" si="48"/>
        <v>0</v>
      </c>
      <c r="X95" s="673">
        <f t="shared" si="48"/>
        <v>0</v>
      </c>
      <c r="Y95" s="673">
        <f t="shared" si="48"/>
        <v>0</v>
      </c>
      <c r="Z95" s="673">
        <f t="shared" si="48"/>
        <v>0</v>
      </c>
      <c r="AA95" s="651">
        <f t="shared" si="49"/>
        <v>0</v>
      </c>
    </row>
    <row r="96" spans="2:27" hidden="1" outlineLevel="1">
      <c r="B96" s="672"/>
      <c r="C96" s="660"/>
      <c r="D96" s="660"/>
      <c r="E96" s="660"/>
      <c r="F96" s="660"/>
      <c r="G96" s="660"/>
      <c r="H96" s="660"/>
      <c r="I96" s="660"/>
      <c r="J96" s="660"/>
      <c r="K96" s="660"/>
      <c r="L96" s="660"/>
      <c r="M96" s="660"/>
      <c r="N96" s="660"/>
      <c r="O96" s="673">
        <f t="shared" si="48"/>
        <v>0</v>
      </c>
      <c r="P96" s="673">
        <f t="shared" si="48"/>
        <v>0</v>
      </c>
      <c r="Q96" s="673">
        <f t="shared" si="48"/>
        <v>0</v>
      </c>
      <c r="R96" s="673">
        <f t="shared" si="48"/>
        <v>0</v>
      </c>
      <c r="S96" s="673">
        <f t="shared" si="48"/>
        <v>0</v>
      </c>
      <c r="T96" s="673">
        <f>IF(H95=0,H198,H198/H95)</f>
        <v>0</v>
      </c>
      <c r="U96" s="673">
        <f t="shared" si="48"/>
        <v>0</v>
      </c>
      <c r="V96" s="673">
        <f t="shared" si="48"/>
        <v>0</v>
      </c>
      <c r="W96" s="673">
        <f t="shared" si="48"/>
        <v>0</v>
      </c>
      <c r="X96" s="673">
        <f t="shared" si="48"/>
        <v>0</v>
      </c>
      <c r="Y96" s="673">
        <f t="shared" si="48"/>
        <v>0</v>
      </c>
      <c r="Z96" s="673">
        <f t="shared" si="48"/>
        <v>0</v>
      </c>
      <c r="AA96" s="651">
        <f t="shared" si="49"/>
        <v>0</v>
      </c>
    </row>
    <row r="97" spans="2:27" hidden="1" outlineLevel="1">
      <c r="B97" s="672"/>
      <c r="C97" s="660"/>
      <c r="D97" s="660"/>
      <c r="E97" s="660"/>
      <c r="F97" s="660"/>
      <c r="G97" s="660"/>
      <c r="I97" s="660"/>
      <c r="J97" s="660"/>
      <c r="K97" s="660"/>
      <c r="L97" s="660"/>
      <c r="M97" s="660"/>
      <c r="N97" s="660"/>
      <c r="O97" s="673">
        <f t="shared" si="48"/>
        <v>0</v>
      </c>
      <c r="P97" s="673">
        <f t="shared" si="48"/>
        <v>0</v>
      </c>
      <c r="Q97" s="673">
        <f t="shared" si="48"/>
        <v>0</v>
      </c>
      <c r="R97" s="673">
        <f t="shared" si="48"/>
        <v>0</v>
      </c>
      <c r="S97" s="673">
        <f t="shared" si="48"/>
        <v>0</v>
      </c>
      <c r="T97" s="673">
        <f>IF(H96=0,H199,H199/H96)</f>
        <v>0</v>
      </c>
      <c r="U97" s="673">
        <f t="shared" si="48"/>
        <v>0</v>
      </c>
      <c r="V97" s="673">
        <f t="shared" si="48"/>
        <v>0</v>
      </c>
      <c r="W97" s="673">
        <f t="shared" si="48"/>
        <v>0</v>
      </c>
      <c r="X97" s="673">
        <f t="shared" si="48"/>
        <v>0</v>
      </c>
      <c r="Y97" s="673">
        <f t="shared" si="48"/>
        <v>0</v>
      </c>
      <c r="Z97" s="673">
        <f t="shared" si="48"/>
        <v>0</v>
      </c>
      <c r="AA97" s="651">
        <f t="shared" si="49"/>
        <v>0</v>
      </c>
    </row>
    <row r="98" spans="2:27" hidden="1" outlineLevel="1">
      <c r="B98" s="672"/>
      <c r="C98" s="660"/>
      <c r="D98" s="660"/>
      <c r="E98" s="660"/>
      <c r="F98" s="660"/>
      <c r="G98" s="660"/>
      <c r="H98" s="660"/>
      <c r="I98" s="660"/>
      <c r="J98" s="660"/>
      <c r="K98" s="660"/>
      <c r="L98" s="660"/>
      <c r="M98" s="660"/>
      <c r="N98" s="660"/>
      <c r="O98" s="673">
        <f t="shared" si="48"/>
        <v>0</v>
      </c>
      <c r="P98" s="673">
        <f t="shared" si="48"/>
        <v>0</v>
      </c>
      <c r="Q98" s="673">
        <f t="shared" si="48"/>
        <v>0</v>
      </c>
      <c r="R98" s="673">
        <f t="shared" si="48"/>
        <v>0</v>
      </c>
      <c r="S98" s="673">
        <f t="shared" si="48"/>
        <v>0</v>
      </c>
      <c r="T98" s="673">
        <f t="shared" si="48"/>
        <v>0</v>
      </c>
      <c r="U98" s="673">
        <f t="shared" si="48"/>
        <v>0</v>
      </c>
      <c r="V98" s="673">
        <f t="shared" si="48"/>
        <v>0</v>
      </c>
      <c r="W98" s="673">
        <f t="shared" si="48"/>
        <v>0</v>
      </c>
      <c r="X98" s="673">
        <f t="shared" si="48"/>
        <v>0</v>
      </c>
      <c r="Y98" s="673">
        <f t="shared" si="48"/>
        <v>0</v>
      </c>
      <c r="Z98" s="673">
        <f t="shared" si="48"/>
        <v>0</v>
      </c>
      <c r="AA98" s="651">
        <f t="shared" si="49"/>
        <v>0</v>
      </c>
    </row>
    <row r="99" spans="2:27" hidden="1" outlineLevel="1">
      <c r="B99" s="672"/>
      <c r="C99" s="660"/>
      <c r="D99" s="660"/>
      <c r="E99" s="660"/>
      <c r="F99" s="660"/>
      <c r="G99" s="660"/>
      <c r="H99" s="660"/>
      <c r="I99" s="660"/>
      <c r="J99" s="660"/>
      <c r="K99" s="660"/>
      <c r="L99" s="660"/>
      <c r="M99" s="660"/>
      <c r="N99" s="660"/>
      <c r="O99" s="673">
        <f t="shared" si="48"/>
        <v>0</v>
      </c>
      <c r="P99" s="673">
        <f t="shared" si="48"/>
        <v>0</v>
      </c>
      <c r="Q99" s="673">
        <f t="shared" si="48"/>
        <v>0</v>
      </c>
      <c r="R99" s="673">
        <f t="shared" si="48"/>
        <v>0</v>
      </c>
      <c r="S99" s="673">
        <f t="shared" si="48"/>
        <v>0</v>
      </c>
      <c r="T99" s="673">
        <f t="shared" si="48"/>
        <v>0</v>
      </c>
      <c r="U99" s="673">
        <f t="shared" si="48"/>
        <v>0</v>
      </c>
      <c r="V99" s="673">
        <f t="shared" si="48"/>
        <v>0</v>
      </c>
      <c r="W99" s="673">
        <f t="shared" si="48"/>
        <v>0</v>
      </c>
      <c r="X99" s="673">
        <f t="shared" si="48"/>
        <v>0</v>
      </c>
      <c r="Y99" s="673">
        <f t="shared" si="48"/>
        <v>0</v>
      </c>
      <c r="Z99" s="673">
        <f t="shared" si="48"/>
        <v>0</v>
      </c>
      <c r="AA99" s="651">
        <f t="shared" si="49"/>
        <v>0</v>
      </c>
    </row>
    <row r="100" spans="2:27" hidden="1" outlineLevel="1">
      <c r="B100" s="672"/>
      <c r="C100" s="660"/>
      <c r="D100" s="660"/>
      <c r="E100" s="660"/>
      <c r="F100" s="660"/>
      <c r="G100" s="660"/>
      <c r="H100" s="660"/>
      <c r="I100" s="660"/>
      <c r="J100" s="660"/>
      <c r="K100" s="660"/>
      <c r="L100" s="660"/>
      <c r="M100" s="660"/>
      <c r="N100" s="660"/>
      <c r="O100" s="673">
        <f t="shared" si="48"/>
        <v>0</v>
      </c>
      <c r="P100" s="673">
        <f t="shared" si="48"/>
        <v>0</v>
      </c>
      <c r="Q100" s="673">
        <f t="shared" si="48"/>
        <v>0</v>
      </c>
      <c r="R100" s="673">
        <f t="shared" si="48"/>
        <v>0</v>
      </c>
      <c r="S100" s="673">
        <f t="shared" si="48"/>
        <v>0</v>
      </c>
      <c r="T100" s="673">
        <f t="shared" si="48"/>
        <v>0</v>
      </c>
      <c r="U100" s="673">
        <f t="shared" si="48"/>
        <v>0</v>
      </c>
      <c r="V100" s="673">
        <f t="shared" si="48"/>
        <v>0</v>
      </c>
      <c r="W100" s="673">
        <f t="shared" si="48"/>
        <v>0</v>
      </c>
      <c r="X100" s="673">
        <f t="shared" si="48"/>
        <v>0</v>
      </c>
      <c r="Y100" s="673">
        <f t="shared" si="48"/>
        <v>0</v>
      </c>
      <c r="Z100" s="673">
        <f t="shared" si="48"/>
        <v>0</v>
      </c>
      <c r="AA100" s="651">
        <f t="shared" si="49"/>
        <v>0</v>
      </c>
    </row>
    <row r="101" spans="2:27" hidden="1" outlineLevel="1">
      <c r="B101" s="672"/>
      <c r="C101" s="660"/>
      <c r="D101" s="660"/>
      <c r="E101" s="660"/>
      <c r="F101" s="660"/>
      <c r="G101" s="660"/>
      <c r="H101" s="660"/>
      <c r="I101" s="660"/>
      <c r="J101" s="660"/>
      <c r="K101" s="660"/>
      <c r="L101" s="660"/>
      <c r="M101" s="660"/>
      <c r="N101" s="660"/>
      <c r="O101" s="673">
        <f t="shared" si="48"/>
        <v>0</v>
      </c>
      <c r="P101" s="673">
        <f t="shared" si="48"/>
        <v>0</v>
      </c>
      <c r="Q101" s="673">
        <f t="shared" si="48"/>
        <v>0</v>
      </c>
      <c r="R101" s="673">
        <f t="shared" si="48"/>
        <v>0</v>
      </c>
      <c r="S101" s="673">
        <f t="shared" si="48"/>
        <v>0</v>
      </c>
      <c r="T101" s="673">
        <f t="shared" si="48"/>
        <v>0</v>
      </c>
      <c r="U101" s="673">
        <f t="shared" si="48"/>
        <v>0</v>
      </c>
      <c r="V101" s="673">
        <f t="shared" si="48"/>
        <v>0</v>
      </c>
      <c r="W101" s="673">
        <f t="shared" si="48"/>
        <v>0</v>
      </c>
      <c r="X101" s="673">
        <f t="shared" si="48"/>
        <v>0</v>
      </c>
      <c r="Y101" s="673">
        <f t="shared" si="48"/>
        <v>0</v>
      </c>
      <c r="Z101" s="673">
        <f t="shared" si="48"/>
        <v>0</v>
      </c>
      <c r="AA101" s="651">
        <f t="shared" si="49"/>
        <v>0</v>
      </c>
    </row>
    <row r="102" spans="2:27" hidden="1" outlineLevel="1">
      <c r="B102" s="672"/>
      <c r="C102" s="660"/>
      <c r="D102" s="660"/>
      <c r="E102" s="660"/>
      <c r="F102" s="660"/>
      <c r="G102" s="660"/>
      <c r="H102" s="660"/>
      <c r="I102" s="660"/>
      <c r="J102" s="660"/>
      <c r="K102" s="660"/>
      <c r="L102" s="660"/>
      <c r="M102" s="660"/>
      <c r="N102" s="660"/>
      <c r="O102" s="673">
        <f t="shared" si="48"/>
        <v>0</v>
      </c>
      <c r="P102" s="673">
        <f t="shared" si="48"/>
        <v>0</v>
      </c>
      <c r="Q102" s="673">
        <f t="shared" si="48"/>
        <v>0</v>
      </c>
      <c r="R102" s="673">
        <f t="shared" si="48"/>
        <v>0</v>
      </c>
      <c r="S102" s="673">
        <f t="shared" si="48"/>
        <v>0</v>
      </c>
      <c r="T102" s="673">
        <f t="shared" si="48"/>
        <v>0</v>
      </c>
      <c r="U102" s="673">
        <f t="shared" si="48"/>
        <v>0</v>
      </c>
      <c r="V102" s="673">
        <f t="shared" ref="V102:Z117" si="50">IF(J102=0,J204,J204/J102)</f>
        <v>0</v>
      </c>
      <c r="W102" s="673">
        <f t="shared" si="50"/>
        <v>0</v>
      </c>
      <c r="X102" s="673">
        <f t="shared" si="50"/>
        <v>0</v>
      </c>
      <c r="Y102" s="673">
        <f t="shared" si="50"/>
        <v>0</v>
      </c>
      <c r="Z102" s="673">
        <f t="shared" si="50"/>
        <v>0</v>
      </c>
      <c r="AA102" s="651">
        <f t="shared" si="49"/>
        <v>0</v>
      </c>
    </row>
    <row r="103" spans="2:27" hidden="1" outlineLevel="1">
      <c r="B103" s="672"/>
      <c r="C103" s="660"/>
      <c r="D103" s="660"/>
      <c r="E103" s="660"/>
      <c r="F103" s="660"/>
      <c r="G103" s="660"/>
      <c r="H103" s="660"/>
      <c r="I103" s="660"/>
      <c r="J103" s="660"/>
      <c r="K103" s="660"/>
      <c r="L103" s="660"/>
      <c r="M103" s="660"/>
      <c r="N103" s="660"/>
      <c r="O103" s="673">
        <f t="shared" ref="O103:U117" si="51">IF(C103=0,C205,C205/C103)</f>
        <v>0</v>
      </c>
      <c r="P103" s="673">
        <f t="shared" si="51"/>
        <v>0</v>
      </c>
      <c r="Q103" s="673">
        <f t="shared" si="51"/>
        <v>0</v>
      </c>
      <c r="R103" s="673">
        <f t="shared" si="51"/>
        <v>0</v>
      </c>
      <c r="S103" s="673">
        <f t="shared" si="51"/>
        <v>0</v>
      </c>
      <c r="T103" s="673">
        <f t="shared" si="51"/>
        <v>0</v>
      </c>
      <c r="U103" s="673">
        <f t="shared" si="51"/>
        <v>0</v>
      </c>
      <c r="V103" s="673">
        <f t="shared" si="50"/>
        <v>0</v>
      </c>
      <c r="W103" s="673">
        <f t="shared" si="50"/>
        <v>0</v>
      </c>
      <c r="X103" s="673">
        <f t="shared" si="50"/>
        <v>0</v>
      </c>
      <c r="Y103" s="673">
        <f t="shared" si="50"/>
        <v>0</v>
      </c>
      <c r="Z103" s="673">
        <f t="shared" si="50"/>
        <v>0</v>
      </c>
      <c r="AA103" s="651">
        <f t="shared" si="49"/>
        <v>0</v>
      </c>
    </row>
    <row r="104" spans="2:27" hidden="1" outlineLevel="1">
      <c r="B104" s="672"/>
      <c r="C104" s="660"/>
      <c r="D104" s="660"/>
      <c r="E104" s="660"/>
      <c r="F104" s="660"/>
      <c r="G104" s="660"/>
      <c r="H104" s="660"/>
      <c r="I104" s="660"/>
      <c r="J104" s="660"/>
      <c r="K104" s="660"/>
      <c r="L104" s="660"/>
      <c r="M104" s="660"/>
      <c r="N104" s="660"/>
      <c r="O104" s="673">
        <f t="shared" si="51"/>
        <v>0</v>
      </c>
      <c r="P104" s="673">
        <f t="shared" si="51"/>
        <v>0</v>
      </c>
      <c r="Q104" s="673">
        <f t="shared" si="51"/>
        <v>0</v>
      </c>
      <c r="R104" s="673">
        <f t="shared" si="51"/>
        <v>0</v>
      </c>
      <c r="S104" s="673">
        <f t="shared" si="51"/>
        <v>0</v>
      </c>
      <c r="T104" s="673">
        <f t="shared" si="51"/>
        <v>0</v>
      </c>
      <c r="U104" s="673">
        <f t="shared" si="51"/>
        <v>0</v>
      </c>
      <c r="V104" s="673">
        <f t="shared" si="50"/>
        <v>0</v>
      </c>
      <c r="W104" s="673">
        <f t="shared" si="50"/>
        <v>0</v>
      </c>
      <c r="X104" s="673">
        <f t="shared" si="50"/>
        <v>0</v>
      </c>
      <c r="Y104" s="673">
        <f t="shared" si="50"/>
        <v>0</v>
      </c>
      <c r="Z104" s="673">
        <f t="shared" si="50"/>
        <v>0</v>
      </c>
      <c r="AA104" s="651">
        <f t="shared" si="49"/>
        <v>0</v>
      </c>
    </row>
    <row r="105" spans="2:27" hidden="1" outlineLevel="1">
      <c r="B105" s="672"/>
      <c r="C105" s="660"/>
      <c r="D105" s="660"/>
      <c r="E105" s="660"/>
      <c r="F105" s="660"/>
      <c r="G105" s="660"/>
      <c r="H105" s="660"/>
      <c r="I105" s="660"/>
      <c r="J105" s="660"/>
      <c r="K105" s="660"/>
      <c r="L105" s="660"/>
      <c r="M105" s="660"/>
      <c r="N105" s="660"/>
      <c r="O105" s="673">
        <f t="shared" si="51"/>
        <v>0</v>
      </c>
      <c r="P105" s="673">
        <f t="shared" si="51"/>
        <v>0</v>
      </c>
      <c r="Q105" s="673">
        <f t="shared" si="51"/>
        <v>0</v>
      </c>
      <c r="R105" s="673">
        <f t="shared" si="51"/>
        <v>0</v>
      </c>
      <c r="S105" s="673">
        <f t="shared" si="51"/>
        <v>0</v>
      </c>
      <c r="T105" s="673">
        <f t="shared" si="51"/>
        <v>0</v>
      </c>
      <c r="U105" s="673">
        <f t="shared" si="51"/>
        <v>0</v>
      </c>
      <c r="V105" s="673">
        <f t="shared" si="50"/>
        <v>0</v>
      </c>
      <c r="W105" s="673">
        <f t="shared" si="50"/>
        <v>0</v>
      </c>
      <c r="X105" s="673">
        <f t="shared" si="50"/>
        <v>0</v>
      </c>
      <c r="Y105" s="673">
        <f t="shared" si="50"/>
        <v>0</v>
      </c>
      <c r="Z105" s="673">
        <f t="shared" si="50"/>
        <v>0</v>
      </c>
      <c r="AA105" s="651">
        <f t="shared" si="49"/>
        <v>0</v>
      </c>
    </row>
    <row r="106" spans="2:27" hidden="1" outlineLevel="1">
      <c r="B106" s="672"/>
      <c r="C106" s="660"/>
      <c r="D106" s="660"/>
      <c r="E106" s="660"/>
      <c r="F106" s="660"/>
      <c r="G106" s="660"/>
      <c r="H106" s="660"/>
      <c r="I106" s="660"/>
      <c r="J106" s="660"/>
      <c r="K106" s="660"/>
      <c r="L106" s="660"/>
      <c r="M106" s="660"/>
      <c r="N106" s="660"/>
      <c r="O106" s="673">
        <f t="shared" si="51"/>
        <v>0</v>
      </c>
      <c r="P106" s="673">
        <f t="shared" si="51"/>
        <v>0</v>
      </c>
      <c r="Q106" s="673">
        <f t="shared" si="51"/>
        <v>0</v>
      </c>
      <c r="R106" s="673">
        <f t="shared" si="51"/>
        <v>0</v>
      </c>
      <c r="S106" s="673">
        <f t="shared" si="51"/>
        <v>0</v>
      </c>
      <c r="T106" s="673">
        <f t="shared" si="51"/>
        <v>0</v>
      </c>
      <c r="U106" s="673">
        <f t="shared" si="51"/>
        <v>0</v>
      </c>
      <c r="V106" s="673">
        <f t="shared" si="50"/>
        <v>0</v>
      </c>
      <c r="W106" s="673">
        <f t="shared" si="50"/>
        <v>0</v>
      </c>
      <c r="X106" s="673">
        <f t="shared" si="50"/>
        <v>0</v>
      </c>
      <c r="Y106" s="673">
        <f t="shared" si="50"/>
        <v>0</v>
      </c>
      <c r="Z106" s="673">
        <f t="shared" si="50"/>
        <v>0</v>
      </c>
      <c r="AA106" s="651">
        <f t="shared" ref="AA106:AA120" si="52">SUM(C106:N106)</f>
        <v>0</v>
      </c>
    </row>
    <row r="107" spans="2:27" hidden="1" outlineLevel="1">
      <c r="B107" s="672"/>
      <c r="C107" s="660"/>
      <c r="D107" s="660"/>
      <c r="E107" s="660"/>
      <c r="F107" s="660"/>
      <c r="G107" s="660"/>
      <c r="H107" s="660"/>
      <c r="I107" s="660"/>
      <c r="J107" s="660"/>
      <c r="K107" s="660"/>
      <c r="L107" s="660"/>
      <c r="M107" s="660"/>
      <c r="N107" s="660"/>
      <c r="O107" s="673">
        <f t="shared" si="51"/>
        <v>0</v>
      </c>
      <c r="P107" s="673">
        <f t="shared" si="51"/>
        <v>0</v>
      </c>
      <c r="Q107" s="673">
        <f t="shared" si="51"/>
        <v>0</v>
      </c>
      <c r="R107" s="673">
        <f t="shared" si="51"/>
        <v>0</v>
      </c>
      <c r="S107" s="673">
        <f t="shared" si="51"/>
        <v>0</v>
      </c>
      <c r="T107" s="673">
        <f t="shared" si="51"/>
        <v>0</v>
      </c>
      <c r="U107" s="673">
        <f t="shared" si="51"/>
        <v>0</v>
      </c>
      <c r="V107" s="673">
        <f t="shared" si="50"/>
        <v>0</v>
      </c>
      <c r="W107" s="673">
        <f t="shared" si="50"/>
        <v>0</v>
      </c>
      <c r="X107" s="673">
        <f t="shared" si="50"/>
        <v>0</v>
      </c>
      <c r="Y107" s="673">
        <f t="shared" si="50"/>
        <v>0</v>
      </c>
      <c r="Z107" s="673">
        <f t="shared" si="50"/>
        <v>0</v>
      </c>
      <c r="AA107" s="651">
        <f t="shared" si="52"/>
        <v>0</v>
      </c>
    </row>
    <row r="108" spans="2:27" hidden="1" outlineLevel="1">
      <c r="B108" s="672"/>
      <c r="C108" s="660"/>
      <c r="D108" s="660"/>
      <c r="E108" s="660"/>
      <c r="F108" s="660"/>
      <c r="G108" s="660"/>
      <c r="H108" s="660"/>
      <c r="I108" s="660"/>
      <c r="J108" s="660"/>
      <c r="K108" s="660"/>
      <c r="L108" s="660"/>
      <c r="M108" s="660"/>
      <c r="N108" s="660"/>
      <c r="O108" s="673">
        <f t="shared" si="51"/>
        <v>0</v>
      </c>
      <c r="P108" s="673">
        <f t="shared" si="51"/>
        <v>0</v>
      </c>
      <c r="Q108" s="673">
        <f t="shared" si="51"/>
        <v>0</v>
      </c>
      <c r="R108" s="673">
        <f t="shared" si="51"/>
        <v>0</v>
      </c>
      <c r="S108" s="673">
        <f t="shared" si="51"/>
        <v>0</v>
      </c>
      <c r="T108" s="673">
        <f t="shared" si="51"/>
        <v>0</v>
      </c>
      <c r="U108" s="673">
        <f t="shared" si="51"/>
        <v>0</v>
      </c>
      <c r="V108" s="673">
        <f t="shared" si="50"/>
        <v>0</v>
      </c>
      <c r="W108" s="673">
        <f t="shared" si="50"/>
        <v>0</v>
      </c>
      <c r="X108" s="673">
        <f t="shared" si="50"/>
        <v>0</v>
      </c>
      <c r="Y108" s="673">
        <f t="shared" si="50"/>
        <v>0</v>
      </c>
      <c r="Z108" s="673">
        <f t="shared" si="50"/>
        <v>0</v>
      </c>
      <c r="AA108" s="651">
        <f t="shared" si="52"/>
        <v>0</v>
      </c>
    </row>
    <row r="109" spans="2:27" hidden="1" outlineLevel="1">
      <c r="B109" s="672"/>
      <c r="C109" s="660"/>
      <c r="D109" s="660"/>
      <c r="E109" s="660"/>
      <c r="F109" s="660"/>
      <c r="G109" s="660"/>
      <c r="H109" s="660"/>
      <c r="I109" s="660"/>
      <c r="J109" s="660"/>
      <c r="K109" s="660"/>
      <c r="L109" s="660"/>
      <c r="M109" s="660"/>
      <c r="N109" s="660"/>
      <c r="O109" s="673">
        <f t="shared" si="51"/>
        <v>0</v>
      </c>
      <c r="P109" s="673">
        <f t="shared" si="51"/>
        <v>0</v>
      </c>
      <c r="Q109" s="673">
        <f t="shared" si="51"/>
        <v>0</v>
      </c>
      <c r="R109" s="673">
        <f t="shared" si="51"/>
        <v>0</v>
      </c>
      <c r="S109" s="673">
        <f t="shared" si="51"/>
        <v>0</v>
      </c>
      <c r="T109" s="673">
        <f t="shared" si="51"/>
        <v>0</v>
      </c>
      <c r="U109" s="673">
        <f t="shared" si="51"/>
        <v>0</v>
      </c>
      <c r="V109" s="673">
        <f t="shared" si="50"/>
        <v>0</v>
      </c>
      <c r="W109" s="673">
        <f t="shared" si="50"/>
        <v>0</v>
      </c>
      <c r="X109" s="673">
        <f t="shared" si="50"/>
        <v>0</v>
      </c>
      <c r="Y109" s="673">
        <f t="shared" si="50"/>
        <v>0</v>
      </c>
      <c r="Z109" s="673">
        <f t="shared" si="50"/>
        <v>0</v>
      </c>
      <c r="AA109" s="651">
        <f t="shared" si="52"/>
        <v>0</v>
      </c>
    </row>
    <row r="110" spans="2:27" hidden="1" outlineLevel="1">
      <c r="B110" s="672"/>
      <c r="C110" s="660"/>
      <c r="D110" s="660"/>
      <c r="E110" s="660"/>
      <c r="F110" s="660"/>
      <c r="G110" s="660"/>
      <c r="H110" s="660"/>
      <c r="I110" s="660"/>
      <c r="J110" s="660"/>
      <c r="K110" s="660"/>
      <c r="L110" s="660"/>
      <c r="M110" s="660"/>
      <c r="N110" s="660"/>
      <c r="O110" s="673">
        <f t="shared" si="51"/>
        <v>0</v>
      </c>
      <c r="P110" s="673">
        <f t="shared" si="51"/>
        <v>0</v>
      </c>
      <c r="Q110" s="673">
        <f t="shared" si="51"/>
        <v>0</v>
      </c>
      <c r="R110" s="673">
        <f t="shared" si="51"/>
        <v>0</v>
      </c>
      <c r="S110" s="673">
        <f t="shared" si="51"/>
        <v>0</v>
      </c>
      <c r="T110" s="673">
        <f t="shared" si="51"/>
        <v>0</v>
      </c>
      <c r="U110" s="673">
        <f t="shared" si="51"/>
        <v>0</v>
      </c>
      <c r="V110" s="673">
        <f t="shared" si="50"/>
        <v>0</v>
      </c>
      <c r="W110" s="673">
        <f t="shared" si="50"/>
        <v>0</v>
      </c>
      <c r="X110" s="673">
        <f t="shared" si="50"/>
        <v>0</v>
      </c>
      <c r="Y110" s="673">
        <f t="shared" si="50"/>
        <v>0</v>
      </c>
      <c r="Z110" s="673">
        <f t="shared" si="50"/>
        <v>0</v>
      </c>
      <c r="AA110" s="651">
        <f t="shared" si="52"/>
        <v>0</v>
      </c>
    </row>
    <row r="111" spans="2:27" hidden="1" outlineLevel="1">
      <c r="B111" s="672"/>
      <c r="C111" s="660"/>
      <c r="D111" s="660"/>
      <c r="E111" s="660"/>
      <c r="F111" s="660"/>
      <c r="G111" s="660"/>
      <c r="H111" s="660"/>
      <c r="I111" s="660"/>
      <c r="J111" s="660"/>
      <c r="K111" s="660"/>
      <c r="L111" s="660"/>
      <c r="M111" s="660"/>
      <c r="N111" s="660"/>
      <c r="O111" s="673">
        <f t="shared" si="51"/>
        <v>0</v>
      </c>
      <c r="P111" s="673">
        <f t="shared" si="51"/>
        <v>0</v>
      </c>
      <c r="Q111" s="673">
        <f t="shared" si="51"/>
        <v>0</v>
      </c>
      <c r="R111" s="673">
        <f t="shared" si="51"/>
        <v>0</v>
      </c>
      <c r="S111" s="673">
        <f t="shared" si="51"/>
        <v>0</v>
      </c>
      <c r="T111" s="673">
        <f t="shared" si="51"/>
        <v>0</v>
      </c>
      <c r="U111" s="673">
        <f t="shared" si="51"/>
        <v>0</v>
      </c>
      <c r="V111" s="673">
        <f t="shared" si="50"/>
        <v>0</v>
      </c>
      <c r="W111" s="673">
        <f t="shared" si="50"/>
        <v>0</v>
      </c>
      <c r="X111" s="673">
        <f t="shared" si="50"/>
        <v>0</v>
      </c>
      <c r="Y111" s="673">
        <f t="shared" si="50"/>
        <v>0</v>
      </c>
      <c r="Z111" s="673">
        <f t="shared" si="50"/>
        <v>0</v>
      </c>
      <c r="AA111" s="651">
        <f>SUM(C111:N111)</f>
        <v>0</v>
      </c>
    </row>
    <row r="112" spans="2:27" hidden="1" outlineLevel="1">
      <c r="B112" s="672"/>
      <c r="C112" s="660"/>
      <c r="D112" s="660"/>
      <c r="E112" s="660"/>
      <c r="F112" s="660"/>
      <c r="G112" s="660"/>
      <c r="H112" s="660"/>
      <c r="I112" s="660"/>
      <c r="J112" s="660"/>
      <c r="K112" s="660"/>
      <c r="L112" s="660"/>
      <c r="M112" s="660"/>
      <c r="N112" s="660"/>
      <c r="O112" s="673">
        <f t="shared" si="51"/>
        <v>0</v>
      </c>
      <c r="P112" s="673">
        <f t="shared" si="51"/>
        <v>0</v>
      </c>
      <c r="Q112" s="673">
        <f t="shared" si="51"/>
        <v>0</v>
      </c>
      <c r="R112" s="673">
        <f t="shared" si="51"/>
        <v>0</v>
      </c>
      <c r="S112" s="673">
        <f t="shared" si="51"/>
        <v>0</v>
      </c>
      <c r="T112" s="673">
        <f t="shared" si="51"/>
        <v>0</v>
      </c>
      <c r="U112" s="673">
        <f t="shared" si="51"/>
        <v>0</v>
      </c>
      <c r="V112" s="673">
        <f t="shared" si="50"/>
        <v>0</v>
      </c>
      <c r="W112" s="673">
        <f t="shared" si="50"/>
        <v>0</v>
      </c>
      <c r="X112" s="673">
        <f t="shared" si="50"/>
        <v>0</v>
      </c>
      <c r="Y112" s="673">
        <f t="shared" si="50"/>
        <v>0</v>
      </c>
      <c r="Z112" s="673">
        <f t="shared" si="50"/>
        <v>0</v>
      </c>
      <c r="AA112" s="651">
        <f t="shared" si="52"/>
        <v>0</v>
      </c>
    </row>
    <row r="113" spans="2:33" hidden="1" outlineLevel="1">
      <c r="B113" s="672"/>
      <c r="C113" s="660"/>
      <c r="D113" s="660"/>
      <c r="E113" s="660"/>
      <c r="F113" s="660"/>
      <c r="G113" s="660"/>
      <c r="H113" s="660"/>
      <c r="I113" s="660"/>
      <c r="J113" s="660"/>
      <c r="K113" s="660"/>
      <c r="L113" s="660"/>
      <c r="M113" s="660"/>
      <c r="N113" s="660"/>
      <c r="O113" s="673">
        <f t="shared" si="51"/>
        <v>0</v>
      </c>
      <c r="P113" s="673">
        <f t="shared" si="51"/>
        <v>0</v>
      </c>
      <c r="Q113" s="673">
        <f t="shared" si="51"/>
        <v>0</v>
      </c>
      <c r="R113" s="673">
        <f t="shared" si="51"/>
        <v>0</v>
      </c>
      <c r="S113" s="673">
        <f t="shared" si="51"/>
        <v>0</v>
      </c>
      <c r="T113" s="673">
        <f t="shared" si="51"/>
        <v>0</v>
      </c>
      <c r="U113" s="673">
        <f t="shared" si="51"/>
        <v>0</v>
      </c>
      <c r="V113" s="673">
        <f t="shared" si="50"/>
        <v>0</v>
      </c>
      <c r="W113" s="673">
        <f t="shared" si="50"/>
        <v>0</v>
      </c>
      <c r="X113" s="673">
        <f t="shared" si="50"/>
        <v>0</v>
      </c>
      <c r="Y113" s="673">
        <f t="shared" si="50"/>
        <v>0</v>
      </c>
      <c r="Z113" s="673">
        <f t="shared" si="50"/>
        <v>0</v>
      </c>
      <c r="AA113" s="651">
        <f t="shared" si="52"/>
        <v>0</v>
      </c>
    </row>
    <row r="114" spans="2:33" hidden="1" outlineLevel="1">
      <c r="B114" s="672" t="s">
        <v>547</v>
      </c>
      <c r="C114" s="660"/>
      <c r="D114" s="660"/>
      <c r="E114" s="660"/>
      <c r="F114" s="660"/>
      <c r="G114" s="660"/>
      <c r="H114" s="660"/>
      <c r="I114" s="660"/>
      <c r="J114" s="660"/>
      <c r="K114" s="660"/>
      <c r="L114" s="660"/>
      <c r="M114" s="660"/>
      <c r="N114" s="660"/>
      <c r="O114" s="673">
        <f t="shared" si="51"/>
        <v>0</v>
      </c>
      <c r="P114" s="673">
        <f t="shared" si="51"/>
        <v>0</v>
      </c>
      <c r="Q114" s="673">
        <f t="shared" si="51"/>
        <v>0</v>
      </c>
      <c r="R114" s="673">
        <f t="shared" si="51"/>
        <v>0</v>
      </c>
      <c r="S114" s="673">
        <f t="shared" si="51"/>
        <v>0</v>
      </c>
      <c r="T114" s="673">
        <f t="shared" si="51"/>
        <v>0</v>
      </c>
      <c r="U114" s="673">
        <f t="shared" si="51"/>
        <v>0</v>
      </c>
      <c r="V114" s="673">
        <f t="shared" si="50"/>
        <v>0</v>
      </c>
      <c r="W114" s="673">
        <f t="shared" si="50"/>
        <v>0</v>
      </c>
      <c r="X114" s="673">
        <f t="shared" si="50"/>
        <v>0</v>
      </c>
      <c r="Y114" s="673">
        <f t="shared" si="50"/>
        <v>0</v>
      </c>
      <c r="Z114" s="673">
        <f t="shared" si="50"/>
        <v>0</v>
      </c>
      <c r="AA114" s="651">
        <f t="shared" si="52"/>
        <v>0</v>
      </c>
    </row>
    <row r="115" spans="2:33" hidden="1" outlineLevel="1">
      <c r="B115" s="672"/>
      <c r="C115" s="660"/>
      <c r="D115" s="660"/>
      <c r="E115" s="660"/>
      <c r="F115" s="660"/>
      <c r="G115" s="660"/>
      <c r="H115" s="660"/>
      <c r="I115" s="660"/>
      <c r="J115" s="660"/>
      <c r="K115" s="660"/>
      <c r="L115" s="660"/>
      <c r="M115" s="660"/>
      <c r="N115" s="660"/>
      <c r="O115" s="673">
        <f t="shared" si="51"/>
        <v>0</v>
      </c>
      <c r="P115" s="673">
        <f t="shared" si="51"/>
        <v>0</v>
      </c>
      <c r="Q115" s="673">
        <f t="shared" si="51"/>
        <v>0</v>
      </c>
      <c r="R115" s="673">
        <f t="shared" si="51"/>
        <v>0</v>
      </c>
      <c r="S115" s="673">
        <f t="shared" si="51"/>
        <v>0</v>
      </c>
      <c r="T115" s="673">
        <f t="shared" si="51"/>
        <v>0</v>
      </c>
      <c r="U115" s="673">
        <f t="shared" si="51"/>
        <v>0</v>
      </c>
      <c r="V115" s="673">
        <f t="shared" si="50"/>
        <v>0</v>
      </c>
      <c r="W115" s="673">
        <f t="shared" si="50"/>
        <v>0</v>
      </c>
      <c r="X115" s="673">
        <f t="shared" si="50"/>
        <v>0</v>
      </c>
      <c r="Y115" s="673">
        <f t="shared" si="50"/>
        <v>0</v>
      </c>
      <c r="Z115" s="673">
        <f t="shared" si="50"/>
        <v>0</v>
      </c>
      <c r="AA115" s="651">
        <f t="shared" si="52"/>
        <v>0</v>
      </c>
    </row>
    <row r="116" spans="2:33" hidden="1" outlineLevel="1">
      <c r="B116" s="672"/>
      <c r="C116" s="660"/>
      <c r="D116" s="660"/>
      <c r="E116" s="660"/>
      <c r="F116" s="660"/>
      <c r="G116" s="660"/>
      <c r="H116" s="660"/>
      <c r="I116" s="660"/>
      <c r="J116" s="660"/>
      <c r="K116" s="660"/>
      <c r="L116" s="660"/>
      <c r="M116" s="660"/>
      <c r="N116" s="660"/>
      <c r="O116" s="673">
        <f t="shared" si="51"/>
        <v>0</v>
      </c>
      <c r="P116" s="673">
        <f t="shared" si="51"/>
        <v>0</v>
      </c>
      <c r="Q116" s="673">
        <f t="shared" si="51"/>
        <v>0</v>
      </c>
      <c r="R116" s="673">
        <f t="shared" si="51"/>
        <v>0</v>
      </c>
      <c r="S116" s="673">
        <f t="shared" si="51"/>
        <v>0</v>
      </c>
      <c r="T116" s="673">
        <f t="shared" si="51"/>
        <v>0</v>
      </c>
      <c r="U116" s="673">
        <f t="shared" si="51"/>
        <v>0</v>
      </c>
      <c r="V116" s="673">
        <f t="shared" si="50"/>
        <v>0</v>
      </c>
      <c r="W116" s="673">
        <f t="shared" si="50"/>
        <v>0</v>
      </c>
      <c r="X116" s="673">
        <f t="shared" si="50"/>
        <v>0</v>
      </c>
      <c r="Y116" s="673">
        <f t="shared" si="50"/>
        <v>0</v>
      </c>
      <c r="Z116" s="673">
        <f t="shared" si="50"/>
        <v>0</v>
      </c>
      <c r="AA116" s="674">
        <f t="shared" si="52"/>
        <v>0</v>
      </c>
      <c r="AB116" s="675"/>
    </row>
    <row r="117" spans="2:33" hidden="1" outlineLevel="1">
      <c r="B117" s="672"/>
      <c r="C117" s="660"/>
      <c r="D117" s="660"/>
      <c r="E117" s="660"/>
      <c r="F117" s="660"/>
      <c r="G117" s="660"/>
      <c r="H117" s="660"/>
      <c r="I117" s="660"/>
      <c r="J117" s="660"/>
      <c r="K117" s="660"/>
      <c r="L117" s="660"/>
      <c r="M117" s="660"/>
      <c r="N117" s="660"/>
      <c r="O117" s="673">
        <f t="shared" si="51"/>
        <v>0</v>
      </c>
      <c r="P117" s="673">
        <f t="shared" si="51"/>
        <v>0</v>
      </c>
      <c r="Q117" s="673">
        <f t="shared" si="51"/>
        <v>0</v>
      </c>
      <c r="R117" s="673">
        <f t="shared" si="51"/>
        <v>0</v>
      </c>
      <c r="S117" s="673">
        <f t="shared" si="51"/>
        <v>0</v>
      </c>
      <c r="T117" s="673">
        <f t="shared" si="51"/>
        <v>0</v>
      </c>
      <c r="U117" s="673">
        <f t="shared" si="51"/>
        <v>0</v>
      </c>
      <c r="V117" s="673">
        <f t="shared" si="50"/>
        <v>0</v>
      </c>
      <c r="W117" s="673">
        <f t="shared" si="50"/>
        <v>0</v>
      </c>
      <c r="X117" s="673">
        <f t="shared" si="50"/>
        <v>0</v>
      </c>
      <c r="Y117" s="673">
        <f t="shared" si="50"/>
        <v>0</v>
      </c>
      <c r="Z117" s="673">
        <f t="shared" si="50"/>
        <v>0</v>
      </c>
      <c r="AA117" s="674">
        <f t="shared" si="52"/>
        <v>0</v>
      </c>
      <c r="AB117" s="674"/>
    </row>
    <row r="118" spans="2:33" hidden="1" outlineLevel="1">
      <c r="B118" s="676" t="s">
        <v>527</v>
      </c>
      <c r="C118" s="651">
        <f t="shared" ref="C118:M118" si="53">SUM(C20:C80)</f>
        <v>0</v>
      </c>
      <c r="D118" s="651">
        <f t="shared" si="53"/>
        <v>0</v>
      </c>
      <c r="E118" s="651">
        <f t="shared" si="53"/>
        <v>0</v>
      </c>
      <c r="F118" s="651">
        <f t="shared" si="53"/>
        <v>0</v>
      </c>
      <c r="G118" s="651">
        <f t="shared" si="53"/>
        <v>0</v>
      </c>
      <c r="H118" s="651">
        <f t="shared" si="53"/>
        <v>0</v>
      </c>
      <c r="I118" s="651">
        <f t="shared" si="53"/>
        <v>0</v>
      </c>
      <c r="J118" s="651">
        <f t="shared" si="53"/>
        <v>0</v>
      </c>
      <c r="K118" s="651">
        <f t="shared" si="53"/>
        <v>0</v>
      </c>
      <c r="L118" s="651">
        <f t="shared" si="53"/>
        <v>0</v>
      </c>
      <c r="M118" s="651">
        <f t="shared" si="53"/>
        <v>0</v>
      </c>
      <c r="N118" s="747">
        <f>IF(D6="yes",D8,SUM(N20:N80))</f>
        <v>18530000</v>
      </c>
      <c r="O118" s="677">
        <f>SUM(C118:N118)</f>
        <v>18530000</v>
      </c>
      <c r="AA118" s="674">
        <f>SUM(C118:N118)</f>
        <v>18530000</v>
      </c>
      <c r="AB118" s="674">
        <f>SUM(AB21:AB63)</f>
        <v>0</v>
      </c>
    </row>
    <row r="119" spans="2:33" hidden="1" outlineLevel="1">
      <c r="B119" s="672" t="s">
        <v>528</v>
      </c>
      <c r="C119" s="651">
        <f>SUM(C81:C117)</f>
        <v>0</v>
      </c>
      <c r="D119" s="651">
        <f t="shared" ref="D119:N119" si="54">SUM(D81:D117)</f>
        <v>0</v>
      </c>
      <c r="E119" s="651">
        <f t="shared" si="54"/>
        <v>0</v>
      </c>
      <c r="F119" s="651">
        <f t="shared" si="54"/>
        <v>0</v>
      </c>
      <c r="G119" s="651">
        <f t="shared" si="54"/>
        <v>0</v>
      </c>
      <c r="H119" s="651">
        <f t="shared" si="54"/>
        <v>0</v>
      </c>
      <c r="I119" s="651">
        <f t="shared" si="54"/>
        <v>0</v>
      </c>
      <c r="J119" s="651">
        <f t="shared" si="54"/>
        <v>0</v>
      </c>
      <c r="K119" s="651">
        <f t="shared" si="54"/>
        <v>0</v>
      </c>
      <c r="L119" s="651">
        <f t="shared" si="54"/>
        <v>0</v>
      </c>
      <c r="M119" s="651">
        <f t="shared" si="54"/>
        <v>0</v>
      </c>
      <c r="N119" s="651">
        <f t="shared" si="54"/>
        <v>0</v>
      </c>
      <c r="O119" s="677">
        <f>SUM(C119:N119)</f>
        <v>0</v>
      </c>
      <c r="Q119" s="646"/>
      <c r="AA119" s="674">
        <f t="shared" si="52"/>
        <v>0</v>
      </c>
      <c r="AB119" s="675"/>
    </row>
    <row r="120" spans="2:33" hidden="1" outlineLevel="1">
      <c r="C120" s="660">
        <f>C118+C119</f>
        <v>0</v>
      </c>
      <c r="D120" s="660">
        <f>D118+D119</f>
        <v>0</v>
      </c>
      <c r="E120" s="660">
        <f>E118+E119</f>
        <v>0</v>
      </c>
      <c r="F120" s="660">
        <f t="shared" ref="F120:N120" si="55">F118+F119</f>
        <v>0</v>
      </c>
      <c r="G120" s="660">
        <f t="shared" si="55"/>
        <v>0</v>
      </c>
      <c r="H120" s="660">
        <f t="shared" si="55"/>
        <v>0</v>
      </c>
      <c r="I120" s="660">
        <f t="shared" si="55"/>
        <v>0</v>
      </c>
      <c r="J120" s="660">
        <f t="shared" si="55"/>
        <v>0</v>
      </c>
      <c r="K120" s="660">
        <f t="shared" si="55"/>
        <v>0</v>
      </c>
      <c r="L120" s="660">
        <f t="shared" si="55"/>
        <v>0</v>
      </c>
      <c r="M120" s="660">
        <f t="shared" si="55"/>
        <v>0</v>
      </c>
      <c r="N120" s="660">
        <f t="shared" si="55"/>
        <v>18530000</v>
      </c>
      <c r="O120" s="677">
        <f>SUM(C120:N120)</f>
        <v>18530000</v>
      </c>
      <c r="Q120" s="646" t="s">
        <v>548</v>
      </c>
      <c r="AA120" s="674">
        <f t="shared" si="52"/>
        <v>18530000</v>
      </c>
      <c r="AB120" s="674">
        <f>AB118+AA119</f>
        <v>0</v>
      </c>
      <c r="AC120" s="628">
        <f>AB120/AA120</f>
        <v>0</v>
      </c>
    </row>
    <row r="121" spans="2:33" hidden="1" outlineLevel="1">
      <c r="O121" s="631" t="s">
        <v>529</v>
      </c>
      <c r="P121" s="631" t="s">
        <v>530</v>
      </c>
      <c r="AA121" s="675"/>
      <c r="AB121" s="674">
        <f>C120+D120+E120+F120+G120</f>
        <v>0</v>
      </c>
    </row>
    <row r="122" spans="2:33" hidden="1" outlineLevel="1">
      <c r="B122" s="678" t="str">
        <f t="shared" ref="B122:B163" si="56">B20</f>
        <v>spot</v>
      </c>
      <c r="C122" s="679">
        <f t="shared" ref="C122:N137" si="57">C20*O20</f>
        <v>0</v>
      </c>
      <c r="D122" s="679">
        <f t="shared" si="57"/>
        <v>0</v>
      </c>
      <c r="E122" s="679">
        <f t="shared" si="57"/>
        <v>0</v>
      </c>
      <c r="F122" s="679">
        <f t="shared" si="57"/>
        <v>0</v>
      </c>
      <c r="G122" s="679">
        <f t="shared" si="57"/>
        <v>0</v>
      </c>
      <c r="H122" s="679">
        <f t="shared" si="57"/>
        <v>0</v>
      </c>
      <c r="I122" s="679">
        <f t="shared" si="57"/>
        <v>0</v>
      </c>
      <c r="J122" s="679">
        <f t="shared" si="57"/>
        <v>0</v>
      </c>
      <c r="K122" s="679">
        <f t="shared" si="57"/>
        <v>0</v>
      </c>
      <c r="L122" s="679">
        <f t="shared" si="57"/>
        <v>0</v>
      </c>
      <c r="M122" s="679">
        <f t="shared" si="57"/>
        <v>0</v>
      </c>
      <c r="N122" s="679">
        <f t="shared" si="57"/>
        <v>0</v>
      </c>
      <c r="O122" s="679">
        <f>SUM(C122:N122)+Q122</f>
        <v>0</v>
      </c>
      <c r="P122" s="680" t="e">
        <f t="shared" ref="P122:P163" si="58">O122/SUM(C20:N20)</f>
        <v>#DIV/0!</v>
      </c>
      <c r="Q122" s="628">
        <v>0</v>
      </c>
      <c r="AA122" s="675"/>
      <c r="AB122" s="675" t="e">
        <f>AB120/AB121</f>
        <v>#DIV/0!</v>
      </c>
    </row>
    <row r="123" spans="2:33" hidden="1" outlineLevel="1">
      <c r="B123" s="678" t="str">
        <f t="shared" si="56"/>
        <v>spot</v>
      </c>
      <c r="C123" s="679">
        <f t="shared" si="57"/>
        <v>0</v>
      </c>
      <c r="D123" s="679">
        <f t="shared" si="57"/>
        <v>0</v>
      </c>
      <c r="E123" s="679">
        <f t="shared" si="57"/>
        <v>0</v>
      </c>
      <c r="F123" s="679">
        <f t="shared" si="57"/>
        <v>0</v>
      </c>
      <c r="G123" s="679">
        <f t="shared" si="57"/>
        <v>0</v>
      </c>
      <c r="H123" s="679">
        <f t="shared" si="57"/>
        <v>0</v>
      </c>
      <c r="I123" s="679">
        <f t="shared" si="57"/>
        <v>0</v>
      </c>
      <c r="J123" s="679">
        <f t="shared" si="57"/>
        <v>0</v>
      </c>
      <c r="K123" s="679">
        <f t="shared" si="57"/>
        <v>0</v>
      </c>
      <c r="L123" s="679">
        <f t="shared" si="57"/>
        <v>0</v>
      </c>
      <c r="M123" s="679">
        <f t="shared" si="57"/>
        <v>0</v>
      </c>
      <c r="N123" s="679">
        <f t="shared" si="57"/>
        <v>0</v>
      </c>
      <c r="O123" s="679">
        <f t="shared" ref="O123:O181" si="59">SUM(C123:N123)+Q123</f>
        <v>0</v>
      </c>
      <c r="P123" s="680" t="e">
        <f t="shared" si="58"/>
        <v>#DIV/0!</v>
      </c>
      <c r="Q123" s="628">
        <v>0</v>
      </c>
    </row>
    <row r="124" spans="2:33" hidden="1" outlineLevel="1">
      <c r="B124" s="678" t="str">
        <f t="shared" si="56"/>
        <v>spot</v>
      </c>
      <c r="C124" s="679">
        <f t="shared" si="57"/>
        <v>0</v>
      </c>
      <c r="D124" s="679">
        <f t="shared" si="57"/>
        <v>0</v>
      </c>
      <c r="E124" s="679">
        <f t="shared" si="57"/>
        <v>0</v>
      </c>
      <c r="F124" s="679">
        <f t="shared" si="57"/>
        <v>0</v>
      </c>
      <c r="G124" s="679">
        <f t="shared" si="57"/>
        <v>0</v>
      </c>
      <c r="H124" s="679">
        <f t="shared" si="57"/>
        <v>0</v>
      </c>
      <c r="I124" s="679">
        <f t="shared" si="57"/>
        <v>0</v>
      </c>
      <c r="J124" s="679">
        <f t="shared" si="57"/>
        <v>0</v>
      </c>
      <c r="K124" s="679">
        <f t="shared" si="57"/>
        <v>0</v>
      </c>
      <c r="L124" s="679">
        <f t="shared" si="57"/>
        <v>0</v>
      </c>
      <c r="M124" s="679">
        <f t="shared" si="57"/>
        <v>0</v>
      </c>
      <c r="N124" s="679">
        <f t="shared" si="57"/>
        <v>0</v>
      </c>
      <c r="O124" s="679">
        <f t="shared" si="59"/>
        <v>0</v>
      </c>
      <c r="P124" s="680" t="e">
        <f t="shared" si="58"/>
        <v>#DIV/0!</v>
      </c>
      <c r="Q124" s="628">
        <v>0</v>
      </c>
      <c r="AG124" s="628">
        <f>360/48300</f>
        <v>7.4534161490683228E-3</v>
      </c>
    </row>
    <row r="125" spans="2:33" hidden="1" outlineLevel="1">
      <c r="B125" s="678" t="str">
        <f t="shared" si="56"/>
        <v>spot</v>
      </c>
      <c r="C125" s="679">
        <f t="shared" si="57"/>
        <v>0</v>
      </c>
      <c r="D125" s="679">
        <f t="shared" si="57"/>
        <v>0</v>
      </c>
      <c r="E125" s="679">
        <f t="shared" si="57"/>
        <v>0</v>
      </c>
      <c r="F125" s="679">
        <f t="shared" si="57"/>
        <v>0</v>
      </c>
      <c r="G125" s="679">
        <f t="shared" si="57"/>
        <v>0</v>
      </c>
      <c r="H125" s="679">
        <f t="shared" si="57"/>
        <v>0</v>
      </c>
      <c r="I125" s="679">
        <f t="shared" si="57"/>
        <v>0</v>
      </c>
      <c r="J125" s="679">
        <f t="shared" si="57"/>
        <v>0</v>
      </c>
      <c r="K125" s="679">
        <f t="shared" si="57"/>
        <v>0</v>
      </c>
      <c r="L125" s="679">
        <f t="shared" si="57"/>
        <v>0</v>
      </c>
      <c r="M125" s="679">
        <f t="shared" si="57"/>
        <v>0</v>
      </c>
      <c r="N125" s="679">
        <f t="shared" si="57"/>
        <v>0</v>
      </c>
      <c r="O125" s="679">
        <f t="shared" si="59"/>
        <v>0</v>
      </c>
      <c r="P125" s="680" t="e">
        <f t="shared" si="58"/>
        <v>#DIV/0!</v>
      </c>
      <c r="Q125" s="628">
        <v>0</v>
      </c>
    </row>
    <row r="126" spans="2:33" hidden="1" outlineLevel="1">
      <c r="B126" s="678" t="str">
        <f t="shared" si="56"/>
        <v>spot</v>
      </c>
      <c r="C126" s="679">
        <f t="shared" si="57"/>
        <v>0</v>
      </c>
      <c r="D126" s="679">
        <f t="shared" si="57"/>
        <v>0</v>
      </c>
      <c r="E126" s="679">
        <f t="shared" si="57"/>
        <v>0</v>
      </c>
      <c r="F126" s="679">
        <f t="shared" si="57"/>
        <v>0</v>
      </c>
      <c r="G126" s="679">
        <f t="shared" si="57"/>
        <v>0</v>
      </c>
      <c r="H126" s="679">
        <f t="shared" si="57"/>
        <v>0</v>
      </c>
      <c r="I126" s="679">
        <f t="shared" si="57"/>
        <v>0</v>
      </c>
      <c r="J126" s="679">
        <f t="shared" si="57"/>
        <v>0</v>
      </c>
      <c r="K126" s="679">
        <f t="shared" si="57"/>
        <v>0</v>
      </c>
      <c r="L126" s="679">
        <f t="shared" si="57"/>
        <v>0</v>
      </c>
      <c r="M126" s="679">
        <f t="shared" si="57"/>
        <v>0</v>
      </c>
      <c r="N126" s="679">
        <f t="shared" si="57"/>
        <v>0</v>
      </c>
      <c r="O126" s="679">
        <f t="shared" si="59"/>
        <v>0</v>
      </c>
      <c r="P126" s="680" t="e">
        <f t="shared" si="58"/>
        <v>#DIV/0!</v>
      </c>
      <c r="Q126" s="628">
        <v>0</v>
      </c>
    </row>
    <row r="127" spans="2:33" hidden="1" outlineLevel="1">
      <c r="B127" s="678" t="str">
        <f t="shared" si="56"/>
        <v>spot</v>
      </c>
      <c r="C127" s="679">
        <f t="shared" si="57"/>
        <v>0</v>
      </c>
      <c r="D127" s="679">
        <f t="shared" si="57"/>
        <v>0</v>
      </c>
      <c r="E127" s="679">
        <f t="shared" si="57"/>
        <v>0</v>
      </c>
      <c r="F127" s="679">
        <f t="shared" si="57"/>
        <v>0</v>
      </c>
      <c r="G127" s="679">
        <f t="shared" si="57"/>
        <v>0</v>
      </c>
      <c r="H127" s="679">
        <f t="shared" si="57"/>
        <v>0</v>
      </c>
      <c r="I127" s="679">
        <f t="shared" si="57"/>
        <v>0</v>
      </c>
      <c r="J127" s="679">
        <f t="shared" si="57"/>
        <v>0</v>
      </c>
      <c r="K127" s="679">
        <f t="shared" si="57"/>
        <v>0</v>
      </c>
      <c r="L127" s="679">
        <f t="shared" si="57"/>
        <v>0</v>
      </c>
      <c r="M127" s="679">
        <f t="shared" si="57"/>
        <v>0</v>
      </c>
      <c r="N127" s="679">
        <f t="shared" si="57"/>
        <v>0</v>
      </c>
      <c r="O127" s="679">
        <f t="shared" si="59"/>
        <v>0</v>
      </c>
      <c r="P127" s="680" t="e">
        <f t="shared" si="58"/>
        <v>#DIV/0!</v>
      </c>
      <c r="Q127" s="628">
        <v>0</v>
      </c>
    </row>
    <row r="128" spans="2:33" hidden="1" outlineLevel="1">
      <c r="B128" s="678" t="str">
        <f t="shared" si="56"/>
        <v>spot</v>
      </c>
      <c r="C128" s="679">
        <f t="shared" si="57"/>
        <v>0</v>
      </c>
      <c r="D128" s="679">
        <f t="shared" si="57"/>
        <v>0</v>
      </c>
      <c r="E128" s="679">
        <f t="shared" si="57"/>
        <v>0</v>
      </c>
      <c r="F128" s="679">
        <f t="shared" si="57"/>
        <v>0</v>
      </c>
      <c r="G128" s="679">
        <f t="shared" si="57"/>
        <v>0</v>
      </c>
      <c r="H128" s="679">
        <f t="shared" si="57"/>
        <v>0</v>
      </c>
      <c r="I128" s="679">
        <f t="shared" si="57"/>
        <v>0</v>
      </c>
      <c r="J128" s="679">
        <f t="shared" si="57"/>
        <v>0</v>
      </c>
      <c r="K128" s="679">
        <f t="shared" si="57"/>
        <v>0</v>
      </c>
      <c r="L128" s="679">
        <f t="shared" si="57"/>
        <v>0</v>
      </c>
      <c r="M128" s="679">
        <f t="shared" si="57"/>
        <v>0</v>
      </c>
      <c r="N128" s="679">
        <f t="shared" si="57"/>
        <v>0</v>
      </c>
      <c r="O128" s="679">
        <f t="shared" si="59"/>
        <v>0</v>
      </c>
      <c r="P128" s="680" t="e">
        <f t="shared" si="58"/>
        <v>#DIV/0!</v>
      </c>
      <c r="Q128" s="628">
        <v>0</v>
      </c>
    </row>
    <row r="129" spans="2:19" hidden="1" outlineLevel="1">
      <c r="B129" s="678" t="str">
        <f t="shared" si="56"/>
        <v>spot</v>
      </c>
      <c r="C129" s="679">
        <f t="shared" si="57"/>
        <v>0</v>
      </c>
      <c r="D129" s="679">
        <f t="shared" si="57"/>
        <v>0</v>
      </c>
      <c r="E129" s="679">
        <f t="shared" si="57"/>
        <v>0</v>
      </c>
      <c r="F129" s="679">
        <f t="shared" si="57"/>
        <v>0</v>
      </c>
      <c r="G129" s="679">
        <f t="shared" si="57"/>
        <v>0</v>
      </c>
      <c r="H129" s="679">
        <f t="shared" si="57"/>
        <v>0</v>
      </c>
      <c r="I129" s="679">
        <f t="shared" si="57"/>
        <v>0</v>
      </c>
      <c r="J129" s="679">
        <f t="shared" si="57"/>
        <v>0</v>
      </c>
      <c r="K129" s="679">
        <f t="shared" si="57"/>
        <v>0</v>
      </c>
      <c r="L129" s="679">
        <f t="shared" si="57"/>
        <v>0</v>
      </c>
      <c r="M129" s="679">
        <f t="shared" si="57"/>
        <v>0</v>
      </c>
      <c r="N129" s="679">
        <f t="shared" si="57"/>
        <v>0</v>
      </c>
      <c r="O129" s="679">
        <f t="shared" si="59"/>
        <v>0</v>
      </c>
      <c r="P129" s="680" t="e">
        <f t="shared" si="58"/>
        <v>#DIV/0!</v>
      </c>
      <c r="Q129" s="628">
        <v>0</v>
      </c>
    </row>
    <row r="130" spans="2:19" hidden="1" outlineLevel="1">
      <c r="B130" s="678" t="str">
        <f t="shared" si="56"/>
        <v>fixed</v>
      </c>
      <c r="C130" s="679">
        <f t="shared" si="57"/>
        <v>0</v>
      </c>
      <c r="D130" s="679">
        <f t="shared" si="57"/>
        <v>0</v>
      </c>
      <c r="E130" s="679">
        <f t="shared" si="57"/>
        <v>0</v>
      </c>
      <c r="F130" s="679">
        <f t="shared" si="57"/>
        <v>0</v>
      </c>
      <c r="G130" s="679">
        <f t="shared" si="57"/>
        <v>0</v>
      </c>
      <c r="H130" s="679">
        <f t="shared" si="57"/>
        <v>0</v>
      </c>
      <c r="I130" s="679">
        <f t="shared" si="57"/>
        <v>0</v>
      </c>
      <c r="J130" s="679">
        <f t="shared" si="57"/>
        <v>0</v>
      </c>
      <c r="K130" s="679">
        <f t="shared" si="57"/>
        <v>0</v>
      </c>
      <c r="L130" s="679">
        <f t="shared" si="57"/>
        <v>0</v>
      </c>
      <c r="M130" s="679">
        <f t="shared" si="57"/>
        <v>0</v>
      </c>
      <c r="N130" s="679">
        <f t="shared" si="57"/>
        <v>0</v>
      </c>
      <c r="O130" s="679">
        <f t="shared" si="59"/>
        <v>0</v>
      </c>
      <c r="P130" s="680" t="e">
        <f t="shared" si="58"/>
        <v>#DIV/0!</v>
      </c>
      <c r="Q130" s="628">
        <v>0</v>
      </c>
    </row>
    <row r="131" spans="2:19" hidden="1" outlineLevel="1">
      <c r="B131" s="678" t="str">
        <f t="shared" si="56"/>
        <v>fixed</v>
      </c>
      <c r="C131" s="679">
        <f t="shared" si="57"/>
        <v>0</v>
      </c>
      <c r="D131" s="679">
        <f t="shared" si="57"/>
        <v>0</v>
      </c>
      <c r="E131" s="679">
        <f t="shared" si="57"/>
        <v>0</v>
      </c>
      <c r="F131" s="679">
        <f t="shared" si="57"/>
        <v>0</v>
      </c>
      <c r="G131" s="679">
        <f t="shared" si="57"/>
        <v>0</v>
      </c>
      <c r="H131" s="679">
        <f t="shared" si="57"/>
        <v>0</v>
      </c>
      <c r="I131" s="679">
        <f t="shared" si="57"/>
        <v>0</v>
      </c>
      <c r="J131" s="679">
        <f t="shared" si="57"/>
        <v>0</v>
      </c>
      <c r="K131" s="679">
        <f t="shared" si="57"/>
        <v>0</v>
      </c>
      <c r="L131" s="679">
        <f t="shared" si="57"/>
        <v>0</v>
      </c>
      <c r="M131" s="679">
        <f t="shared" si="57"/>
        <v>0</v>
      </c>
      <c r="N131" s="679">
        <f t="shared" si="57"/>
        <v>0</v>
      </c>
      <c r="O131" s="679">
        <f t="shared" si="59"/>
        <v>0</v>
      </c>
      <c r="P131" s="680" t="e">
        <f t="shared" si="58"/>
        <v>#DIV/0!</v>
      </c>
      <c r="Q131" s="628">
        <v>0</v>
      </c>
    </row>
    <row r="132" spans="2:19" hidden="1" outlineLevel="1">
      <c r="B132" s="678" t="str">
        <f t="shared" si="56"/>
        <v>fixed</v>
      </c>
      <c r="C132" s="679">
        <f t="shared" si="57"/>
        <v>0</v>
      </c>
      <c r="D132" s="679">
        <f t="shared" si="57"/>
        <v>0</v>
      </c>
      <c r="E132" s="679">
        <f t="shared" si="57"/>
        <v>0</v>
      </c>
      <c r="F132" s="679">
        <f t="shared" si="57"/>
        <v>0</v>
      </c>
      <c r="G132" s="679">
        <f t="shared" si="57"/>
        <v>0</v>
      </c>
      <c r="H132" s="679">
        <f t="shared" si="57"/>
        <v>0</v>
      </c>
      <c r="I132" s="679">
        <f t="shared" si="57"/>
        <v>0</v>
      </c>
      <c r="J132" s="679">
        <f t="shared" si="57"/>
        <v>0</v>
      </c>
      <c r="K132" s="679">
        <f t="shared" si="57"/>
        <v>0</v>
      </c>
      <c r="L132" s="679">
        <f t="shared" si="57"/>
        <v>0</v>
      </c>
      <c r="M132" s="679">
        <f t="shared" si="57"/>
        <v>0</v>
      </c>
      <c r="N132" s="679">
        <f t="shared" si="57"/>
        <v>0</v>
      </c>
      <c r="O132" s="679">
        <f t="shared" si="59"/>
        <v>0</v>
      </c>
      <c r="P132" s="680" t="e">
        <f t="shared" si="58"/>
        <v>#DIV/0!</v>
      </c>
      <c r="Q132" s="628">
        <v>0</v>
      </c>
    </row>
    <row r="133" spans="2:19" hidden="1" outlineLevel="1">
      <c r="B133" s="678" t="str">
        <f t="shared" si="56"/>
        <v>fixed</v>
      </c>
      <c r="C133" s="679">
        <f t="shared" si="57"/>
        <v>0</v>
      </c>
      <c r="D133" s="679">
        <f t="shared" si="57"/>
        <v>0</v>
      </c>
      <c r="E133" s="679">
        <f t="shared" si="57"/>
        <v>0</v>
      </c>
      <c r="F133" s="679">
        <f t="shared" si="57"/>
        <v>0</v>
      </c>
      <c r="G133" s="679">
        <f t="shared" si="57"/>
        <v>0</v>
      </c>
      <c r="H133" s="679">
        <f t="shared" si="57"/>
        <v>0</v>
      </c>
      <c r="I133" s="679">
        <f t="shared" si="57"/>
        <v>0</v>
      </c>
      <c r="J133" s="679">
        <f t="shared" si="57"/>
        <v>0</v>
      </c>
      <c r="K133" s="679">
        <f t="shared" si="57"/>
        <v>0</v>
      </c>
      <c r="L133" s="679">
        <f t="shared" si="57"/>
        <v>0</v>
      </c>
      <c r="M133" s="679">
        <f t="shared" si="57"/>
        <v>0</v>
      </c>
      <c r="N133" s="679">
        <f t="shared" si="57"/>
        <v>0</v>
      </c>
      <c r="O133" s="679">
        <f t="shared" si="59"/>
        <v>0</v>
      </c>
      <c r="P133" s="680" t="e">
        <f t="shared" si="58"/>
        <v>#DIV/0!</v>
      </c>
      <c r="Q133" s="628">
        <v>0</v>
      </c>
    </row>
    <row r="134" spans="2:19" hidden="1" outlineLevel="1">
      <c r="B134" s="678" t="str">
        <f t="shared" si="56"/>
        <v>fixed</v>
      </c>
      <c r="C134" s="679">
        <f t="shared" si="57"/>
        <v>0</v>
      </c>
      <c r="D134" s="679">
        <f t="shared" si="57"/>
        <v>0</v>
      </c>
      <c r="E134" s="679">
        <f t="shared" si="57"/>
        <v>0</v>
      </c>
      <c r="F134" s="679">
        <f t="shared" si="57"/>
        <v>0</v>
      </c>
      <c r="G134" s="679">
        <f t="shared" si="57"/>
        <v>0</v>
      </c>
      <c r="H134" s="679">
        <f t="shared" si="57"/>
        <v>0</v>
      </c>
      <c r="I134" s="679">
        <f t="shared" si="57"/>
        <v>0</v>
      </c>
      <c r="J134" s="679">
        <f t="shared" si="57"/>
        <v>0</v>
      </c>
      <c r="K134" s="679">
        <f t="shared" si="57"/>
        <v>0</v>
      </c>
      <c r="L134" s="679">
        <f t="shared" si="57"/>
        <v>0</v>
      </c>
      <c r="M134" s="679">
        <f t="shared" si="57"/>
        <v>0</v>
      </c>
      <c r="N134" s="679">
        <f t="shared" si="57"/>
        <v>0</v>
      </c>
      <c r="O134" s="679">
        <f t="shared" si="59"/>
        <v>0</v>
      </c>
      <c r="P134" s="680" t="e">
        <f t="shared" si="58"/>
        <v>#DIV/0!</v>
      </c>
      <c r="Q134" s="628">
        <v>0</v>
      </c>
    </row>
    <row r="135" spans="2:19" hidden="1" outlineLevel="1">
      <c r="B135" s="678" t="str">
        <f t="shared" si="56"/>
        <v>fixed</v>
      </c>
      <c r="C135" s="679">
        <f t="shared" si="57"/>
        <v>0</v>
      </c>
      <c r="D135" s="679">
        <f t="shared" si="57"/>
        <v>0</v>
      </c>
      <c r="E135" s="679">
        <f t="shared" si="57"/>
        <v>0</v>
      </c>
      <c r="F135" s="679">
        <f t="shared" si="57"/>
        <v>0</v>
      </c>
      <c r="G135" s="679">
        <f t="shared" si="57"/>
        <v>0</v>
      </c>
      <c r="H135" s="679">
        <f t="shared" si="57"/>
        <v>0</v>
      </c>
      <c r="I135" s="679">
        <f t="shared" si="57"/>
        <v>0</v>
      </c>
      <c r="J135" s="679">
        <f t="shared" si="57"/>
        <v>0</v>
      </c>
      <c r="K135" s="679">
        <f t="shared" si="57"/>
        <v>0</v>
      </c>
      <c r="L135" s="679">
        <f t="shared" si="57"/>
        <v>0</v>
      </c>
      <c r="M135" s="679">
        <f t="shared" si="57"/>
        <v>0</v>
      </c>
      <c r="N135" s="679">
        <f t="shared" si="57"/>
        <v>0</v>
      </c>
      <c r="O135" s="679">
        <f t="shared" si="59"/>
        <v>0</v>
      </c>
      <c r="P135" s="680" t="e">
        <f t="shared" si="58"/>
        <v>#DIV/0!</v>
      </c>
      <c r="Q135" s="628">
        <v>0</v>
      </c>
    </row>
    <row r="136" spans="2:19" hidden="1" outlineLevel="1">
      <c r="B136" s="678" t="str">
        <f t="shared" si="56"/>
        <v>fixed</v>
      </c>
      <c r="C136" s="679">
        <f t="shared" si="57"/>
        <v>0</v>
      </c>
      <c r="D136" s="679">
        <f t="shared" si="57"/>
        <v>0</v>
      </c>
      <c r="E136" s="679">
        <f t="shared" si="57"/>
        <v>0</v>
      </c>
      <c r="F136" s="679">
        <f t="shared" si="57"/>
        <v>0</v>
      </c>
      <c r="G136" s="679">
        <f t="shared" si="57"/>
        <v>0</v>
      </c>
      <c r="H136" s="679">
        <f t="shared" si="57"/>
        <v>0</v>
      </c>
      <c r="I136" s="679">
        <f t="shared" si="57"/>
        <v>0</v>
      </c>
      <c r="J136" s="679">
        <f t="shared" si="57"/>
        <v>0</v>
      </c>
      <c r="K136" s="679">
        <f t="shared" si="57"/>
        <v>0</v>
      </c>
      <c r="L136" s="679">
        <f t="shared" si="57"/>
        <v>0</v>
      </c>
      <c r="M136" s="679">
        <f t="shared" si="57"/>
        <v>0</v>
      </c>
      <c r="N136" s="679">
        <f t="shared" si="57"/>
        <v>0</v>
      </c>
      <c r="O136" s="679">
        <f t="shared" si="59"/>
        <v>0</v>
      </c>
      <c r="P136" s="680" t="e">
        <f t="shared" si="58"/>
        <v>#DIV/0!</v>
      </c>
      <c r="Q136" s="628">
        <v>0</v>
      </c>
      <c r="R136" s="682"/>
    </row>
    <row r="137" spans="2:19" hidden="1" outlineLevel="1">
      <c r="B137" s="678" t="str">
        <f t="shared" si="56"/>
        <v>fixed</v>
      </c>
      <c r="C137" s="679">
        <f t="shared" si="57"/>
        <v>0</v>
      </c>
      <c r="D137" s="679">
        <f t="shared" si="57"/>
        <v>0</v>
      </c>
      <c r="E137" s="679">
        <f t="shared" si="57"/>
        <v>0</v>
      </c>
      <c r="F137" s="679">
        <f t="shared" si="57"/>
        <v>0</v>
      </c>
      <c r="G137" s="679">
        <f t="shared" si="57"/>
        <v>0</v>
      </c>
      <c r="H137" s="679">
        <f t="shared" si="57"/>
        <v>0</v>
      </c>
      <c r="I137" s="679">
        <f t="shared" si="57"/>
        <v>0</v>
      </c>
      <c r="J137" s="679">
        <f t="shared" si="57"/>
        <v>0</v>
      </c>
      <c r="K137" s="679">
        <f t="shared" si="57"/>
        <v>0</v>
      </c>
      <c r="L137" s="679">
        <f t="shared" si="57"/>
        <v>0</v>
      </c>
      <c r="M137" s="679">
        <f t="shared" si="57"/>
        <v>0</v>
      </c>
      <c r="N137" s="679">
        <f t="shared" si="57"/>
        <v>0</v>
      </c>
      <c r="O137" s="679">
        <f t="shared" si="59"/>
        <v>0</v>
      </c>
      <c r="P137" s="680" t="e">
        <f t="shared" si="58"/>
        <v>#DIV/0!</v>
      </c>
      <c r="Q137" s="628">
        <v>0</v>
      </c>
    </row>
    <row r="138" spans="2:19" hidden="1" outlineLevel="1">
      <c r="B138" s="678" t="str">
        <f t="shared" si="56"/>
        <v>fixed</v>
      </c>
      <c r="C138" s="679">
        <f t="shared" ref="C138:N153" si="60">C36*O36</f>
        <v>0</v>
      </c>
      <c r="D138" s="679">
        <f t="shared" si="60"/>
        <v>0</v>
      </c>
      <c r="E138" s="679">
        <f t="shared" si="60"/>
        <v>0</v>
      </c>
      <c r="F138" s="679">
        <f t="shared" si="60"/>
        <v>0</v>
      </c>
      <c r="G138" s="679">
        <f t="shared" si="60"/>
        <v>0</v>
      </c>
      <c r="H138" s="679">
        <f t="shared" si="60"/>
        <v>0</v>
      </c>
      <c r="I138" s="679">
        <f t="shared" si="60"/>
        <v>0</v>
      </c>
      <c r="J138" s="679">
        <f t="shared" si="60"/>
        <v>0</v>
      </c>
      <c r="K138" s="679">
        <f t="shared" si="60"/>
        <v>0</v>
      </c>
      <c r="L138" s="679">
        <f t="shared" si="60"/>
        <v>0</v>
      </c>
      <c r="M138" s="679">
        <f t="shared" si="60"/>
        <v>0</v>
      </c>
      <c r="N138" s="679">
        <f t="shared" si="60"/>
        <v>0</v>
      </c>
      <c r="O138" s="679">
        <f t="shared" si="59"/>
        <v>0</v>
      </c>
      <c r="P138" s="680" t="e">
        <f t="shared" si="58"/>
        <v>#DIV/0!</v>
      </c>
      <c r="Q138" s="628">
        <v>0</v>
      </c>
    </row>
    <row r="139" spans="2:19" hidden="1" outlineLevel="1">
      <c r="B139" s="678" t="str">
        <f t="shared" si="56"/>
        <v>fixed</v>
      </c>
      <c r="C139" s="679">
        <f t="shared" si="60"/>
        <v>0</v>
      </c>
      <c r="D139" s="679">
        <f t="shared" si="60"/>
        <v>0</v>
      </c>
      <c r="E139" s="679">
        <f t="shared" si="60"/>
        <v>0</v>
      </c>
      <c r="F139" s="679">
        <f t="shared" si="60"/>
        <v>0</v>
      </c>
      <c r="G139" s="679">
        <f t="shared" si="60"/>
        <v>0</v>
      </c>
      <c r="H139" s="679">
        <f t="shared" si="60"/>
        <v>0</v>
      </c>
      <c r="I139" s="679">
        <f t="shared" si="60"/>
        <v>0</v>
      </c>
      <c r="J139" s="679">
        <f t="shared" si="60"/>
        <v>0</v>
      </c>
      <c r="K139" s="679">
        <f t="shared" si="60"/>
        <v>0</v>
      </c>
      <c r="L139" s="679">
        <f t="shared" si="60"/>
        <v>0</v>
      </c>
      <c r="M139" s="679">
        <f t="shared" si="60"/>
        <v>0</v>
      </c>
      <c r="N139" s="679">
        <f t="shared" si="60"/>
        <v>0</v>
      </c>
      <c r="O139" s="679">
        <f t="shared" si="59"/>
        <v>0</v>
      </c>
      <c r="P139" s="680" t="e">
        <f t="shared" si="58"/>
        <v>#DIV/0!</v>
      </c>
      <c r="Q139" s="628">
        <v>0</v>
      </c>
    </row>
    <row r="140" spans="2:19" hidden="1" outlineLevel="1">
      <c r="B140" s="678" t="str">
        <f t="shared" si="56"/>
        <v>fixed</v>
      </c>
      <c r="C140" s="679">
        <f t="shared" si="60"/>
        <v>0</v>
      </c>
      <c r="D140" s="679">
        <f t="shared" si="60"/>
        <v>0</v>
      </c>
      <c r="E140" s="679">
        <f t="shared" si="60"/>
        <v>0</v>
      </c>
      <c r="F140" s="679">
        <f t="shared" si="60"/>
        <v>0</v>
      </c>
      <c r="G140" s="679">
        <f t="shared" si="60"/>
        <v>0</v>
      </c>
      <c r="H140" s="679">
        <f t="shared" si="60"/>
        <v>0</v>
      </c>
      <c r="I140" s="679">
        <f t="shared" si="60"/>
        <v>0</v>
      </c>
      <c r="J140" s="679">
        <f t="shared" si="60"/>
        <v>0</v>
      </c>
      <c r="K140" s="679">
        <f t="shared" si="60"/>
        <v>0</v>
      </c>
      <c r="L140" s="679">
        <f t="shared" si="60"/>
        <v>0</v>
      </c>
      <c r="M140" s="679">
        <f t="shared" si="60"/>
        <v>0</v>
      </c>
      <c r="N140" s="679">
        <f t="shared" si="60"/>
        <v>0</v>
      </c>
      <c r="O140" s="679">
        <f t="shared" si="59"/>
        <v>0</v>
      </c>
      <c r="P140" s="680" t="e">
        <f t="shared" si="58"/>
        <v>#DIV/0!</v>
      </c>
      <c r="Q140" s="628">
        <v>0</v>
      </c>
    </row>
    <row r="141" spans="2:19" hidden="1" outlineLevel="1">
      <c r="B141" s="678" t="str">
        <f t="shared" si="56"/>
        <v>fixed</v>
      </c>
      <c r="C141" s="679">
        <f t="shared" si="60"/>
        <v>0</v>
      </c>
      <c r="D141" s="679">
        <f t="shared" si="60"/>
        <v>0</v>
      </c>
      <c r="E141" s="679">
        <f t="shared" si="60"/>
        <v>0</v>
      </c>
      <c r="F141" s="679">
        <f t="shared" si="60"/>
        <v>0</v>
      </c>
      <c r="G141" s="679">
        <f t="shared" si="60"/>
        <v>0</v>
      </c>
      <c r="H141" s="679">
        <f t="shared" si="60"/>
        <v>0</v>
      </c>
      <c r="I141" s="679">
        <f t="shared" si="60"/>
        <v>0</v>
      </c>
      <c r="J141" s="679">
        <f t="shared" si="60"/>
        <v>0</v>
      </c>
      <c r="K141" s="679">
        <f t="shared" si="60"/>
        <v>0</v>
      </c>
      <c r="L141" s="679">
        <f t="shared" si="60"/>
        <v>0</v>
      </c>
      <c r="M141" s="679">
        <f t="shared" si="60"/>
        <v>0</v>
      </c>
      <c r="N141" s="679">
        <f t="shared" si="60"/>
        <v>0</v>
      </c>
      <c r="O141" s="679">
        <f t="shared" si="59"/>
        <v>0</v>
      </c>
      <c r="P141" s="680" t="e">
        <f t="shared" si="58"/>
        <v>#DIV/0!</v>
      </c>
      <c r="Q141" s="628">
        <v>0</v>
      </c>
    </row>
    <row r="142" spans="2:19" hidden="1" outlineLevel="1">
      <c r="B142" s="678">
        <f t="shared" si="56"/>
        <v>0</v>
      </c>
      <c r="C142" s="679">
        <f t="shared" si="60"/>
        <v>0</v>
      </c>
      <c r="D142" s="679">
        <f t="shared" si="60"/>
        <v>0</v>
      </c>
      <c r="E142" s="679">
        <f t="shared" si="60"/>
        <v>0</v>
      </c>
      <c r="F142" s="679">
        <f t="shared" si="60"/>
        <v>0</v>
      </c>
      <c r="G142" s="679">
        <f t="shared" si="60"/>
        <v>0</v>
      </c>
      <c r="H142" s="679">
        <f t="shared" si="60"/>
        <v>0</v>
      </c>
      <c r="I142" s="679">
        <f t="shared" si="60"/>
        <v>0</v>
      </c>
      <c r="J142" s="679">
        <f t="shared" si="60"/>
        <v>0</v>
      </c>
      <c r="K142" s="679">
        <f t="shared" si="60"/>
        <v>0</v>
      </c>
      <c r="L142" s="679">
        <f t="shared" si="60"/>
        <v>0</v>
      </c>
      <c r="M142" s="679">
        <f t="shared" si="60"/>
        <v>0</v>
      </c>
      <c r="N142" s="679">
        <f t="shared" si="60"/>
        <v>0</v>
      </c>
      <c r="O142" s="679">
        <f t="shared" si="59"/>
        <v>0</v>
      </c>
      <c r="P142" s="680" t="e">
        <f t="shared" si="58"/>
        <v>#DIV/0!</v>
      </c>
      <c r="Q142" s="628">
        <v>0</v>
      </c>
      <c r="S142" s="682"/>
    </row>
    <row r="143" spans="2:19" hidden="1" outlineLevel="1">
      <c r="B143" s="678">
        <f t="shared" si="56"/>
        <v>0</v>
      </c>
      <c r="C143" s="679">
        <f t="shared" si="60"/>
        <v>0</v>
      </c>
      <c r="D143" s="679">
        <f t="shared" si="60"/>
        <v>0</v>
      </c>
      <c r="E143" s="679">
        <f t="shared" si="60"/>
        <v>0</v>
      </c>
      <c r="F143" s="679">
        <f t="shared" si="60"/>
        <v>0</v>
      </c>
      <c r="G143" s="679">
        <f t="shared" si="60"/>
        <v>0</v>
      </c>
      <c r="H143" s="679">
        <f t="shared" si="60"/>
        <v>0</v>
      </c>
      <c r="I143" s="679">
        <f t="shared" si="60"/>
        <v>0</v>
      </c>
      <c r="J143" s="679">
        <f t="shared" si="60"/>
        <v>0</v>
      </c>
      <c r="K143" s="679">
        <f t="shared" si="60"/>
        <v>0</v>
      </c>
      <c r="L143" s="679">
        <f t="shared" si="60"/>
        <v>0</v>
      </c>
      <c r="M143" s="679">
        <f t="shared" si="60"/>
        <v>0</v>
      </c>
      <c r="N143" s="679">
        <f t="shared" si="60"/>
        <v>0</v>
      </c>
      <c r="O143" s="679">
        <f t="shared" si="59"/>
        <v>0</v>
      </c>
      <c r="P143" s="680" t="e">
        <f t="shared" si="58"/>
        <v>#DIV/0!</v>
      </c>
      <c r="Q143" s="628">
        <v>0</v>
      </c>
    </row>
    <row r="144" spans="2:19" hidden="1" outlineLevel="1">
      <c r="B144" s="678">
        <f t="shared" si="56"/>
        <v>0</v>
      </c>
      <c r="C144" s="679">
        <f t="shared" si="60"/>
        <v>0</v>
      </c>
      <c r="D144" s="679">
        <f t="shared" si="60"/>
        <v>0</v>
      </c>
      <c r="E144" s="679">
        <f t="shared" si="60"/>
        <v>0</v>
      </c>
      <c r="F144" s="679">
        <f t="shared" si="60"/>
        <v>0</v>
      </c>
      <c r="G144" s="679">
        <f t="shared" si="60"/>
        <v>0</v>
      </c>
      <c r="H144" s="679">
        <f t="shared" si="60"/>
        <v>0</v>
      </c>
      <c r="I144" s="679">
        <f t="shared" si="60"/>
        <v>0</v>
      </c>
      <c r="J144" s="679">
        <f t="shared" si="60"/>
        <v>0</v>
      </c>
      <c r="K144" s="679">
        <f t="shared" si="60"/>
        <v>0</v>
      </c>
      <c r="L144" s="679">
        <f t="shared" si="60"/>
        <v>0</v>
      </c>
      <c r="M144" s="679">
        <f t="shared" si="60"/>
        <v>0</v>
      </c>
      <c r="N144" s="679">
        <f t="shared" si="60"/>
        <v>0</v>
      </c>
      <c r="O144" s="679">
        <f t="shared" si="59"/>
        <v>0</v>
      </c>
      <c r="P144" s="680" t="e">
        <f t="shared" si="58"/>
        <v>#DIV/0!</v>
      </c>
      <c r="Q144" s="628">
        <v>0</v>
      </c>
    </row>
    <row r="145" spans="2:17" hidden="1" outlineLevel="1">
      <c r="B145" s="678">
        <f t="shared" si="56"/>
        <v>0</v>
      </c>
      <c r="C145" s="679">
        <f t="shared" si="60"/>
        <v>0</v>
      </c>
      <c r="D145" s="679">
        <f t="shared" si="60"/>
        <v>0</v>
      </c>
      <c r="E145" s="679">
        <f t="shared" si="60"/>
        <v>0</v>
      </c>
      <c r="F145" s="679">
        <f t="shared" si="60"/>
        <v>0</v>
      </c>
      <c r="G145" s="679">
        <f t="shared" si="60"/>
        <v>0</v>
      </c>
      <c r="H145" s="679">
        <f t="shared" si="60"/>
        <v>0</v>
      </c>
      <c r="I145" s="679">
        <f t="shared" si="60"/>
        <v>0</v>
      </c>
      <c r="J145" s="679">
        <f t="shared" si="60"/>
        <v>0</v>
      </c>
      <c r="K145" s="679">
        <f t="shared" si="60"/>
        <v>0</v>
      </c>
      <c r="L145" s="679">
        <f t="shared" si="60"/>
        <v>0</v>
      </c>
      <c r="M145" s="679">
        <f t="shared" si="60"/>
        <v>0</v>
      </c>
      <c r="N145" s="679">
        <f t="shared" si="60"/>
        <v>0</v>
      </c>
      <c r="O145" s="679">
        <f t="shared" si="59"/>
        <v>0</v>
      </c>
      <c r="P145" s="680" t="e">
        <f t="shared" si="58"/>
        <v>#DIV/0!</v>
      </c>
      <c r="Q145" s="628">
        <v>0</v>
      </c>
    </row>
    <row r="146" spans="2:17" hidden="1" outlineLevel="1">
      <c r="B146" s="678">
        <f t="shared" si="56"/>
        <v>0</v>
      </c>
      <c r="C146" s="679">
        <f t="shared" si="60"/>
        <v>0</v>
      </c>
      <c r="D146" s="679">
        <f t="shared" si="60"/>
        <v>0</v>
      </c>
      <c r="E146" s="679">
        <f t="shared" si="60"/>
        <v>0</v>
      </c>
      <c r="F146" s="679">
        <f t="shared" si="60"/>
        <v>0</v>
      </c>
      <c r="G146" s="679">
        <f t="shared" si="60"/>
        <v>0</v>
      </c>
      <c r="H146" s="679">
        <f t="shared" si="60"/>
        <v>0</v>
      </c>
      <c r="I146" s="679">
        <f t="shared" si="60"/>
        <v>0</v>
      </c>
      <c r="J146" s="679">
        <f t="shared" si="60"/>
        <v>0</v>
      </c>
      <c r="K146" s="679">
        <f t="shared" si="60"/>
        <v>0</v>
      </c>
      <c r="L146" s="679">
        <f t="shared" si="60"/>
        <v>0</v>
      </c>
      <c r="M146" s="679">
        <f t="shared" si="60"/>
        <v>0</v>
      </c>
      <c r="N146" s="679">
        <f t="shared" si="60"/>
        <v>0</v>
      </c>
      <c r="O146" s="679">
        <f t="shared" si="59"/>
        <v>0</v>
      </c>
      <c r="P146" s="680" t="e">
        <f t="shared" si="58"/>
        <v>#DIV/0!</v>
      </c>
      <c r="Q146" s="628">
        <v>0</v>
      </c>
    </row>
    <row r="147" spans="2:17" hidden="1" outlineLevel="1">
      <c r="B147" s="678">
        <f t="shared" si="56"/>
        <v>0</v>
      </c>
      <c r="C147" s="679">
        <f t="shared" si="60"/>
        <v>0</v>
      </c>
      <c r="D147" s="679">
        <f t="shared" si="60"/>
        <v>0</v>
      </c>
      <c r="E147" s="679">
        <f t="shared" si="60"/>
        <v>0</v>
      </c>
      <c r="F147" s="679">
        <f t="shared" si="60"/>
        <v>0</v>
      </c>
      <c r="G147" s="679">
        <f t="shared" si="60"/>
        <v>0</v>
      </c>
      <c r="H147" s="679">
        <f t="shared" si="60"/>
        <v>0</v>
      </c>
      <c r="I147" s="679">
        <f t="shared" si="60"/>
        <v>0</v>
      </c>
      <c r="J147" s="679">
        <f t="shared" si="60"/>
        <v>0</v>
      </c>
      <c r="K147" s="679">
        <f t="shared" si="60"/>
        <v>0</v>
      </c>
      <c r="L147" s="679">
        <f t="shared" si="60"/>
        <v>0</v>
      </c>
      <c r="M147" s="679">
        <f t="shared" si="60"/>
        <v>0</v>
      </c>
      <c r="N147" s="679">
        <f t="shared" si="60"/>
        <v>0</v>
      </c>
      <c r="O147" s="679">
        <f t="shared" si="59"/>
        <v>0</v>
      </c>
      <c r="P147" s="680" t="e">
        <f t="shared" si="58"/>
        <v>#DIV/0!</v>
      </c>
      <c r="Q147" s="628">
        <v>0</v>
      </c>
    </row>
    <row r="148" spans="2:17" hidden="1" outlineLevel="1">
      <c r="B148" s="678">
        <f t="shared" si="56"/>
        <v>0</v>
      </c>
      <c r="C148" s="679">
        <f t="shared" si="60"/>
        <v>0</v>
      </c>
      <c r="D148" s="679">
        <f t="shared" si="60"/>
        <v>0</v>
      </c>
      <c r="E148" s="679">
        <f t="shared" si="60"/>
        <v>0</v>
      </c>
      <c r="F148" s="679">
        <f t="shared" si="60"/>
        <v>0</v>
      </c>
      <c r="G148" s="679">
        <f t="shared" si="60"/>
        <v>0</v>
      </c>
      <c r="H148" s="679">
        <f t="shared" si="60"/>
        <v>0</v>
      </c>
      <c r="I148" s="679">
        <f t="shared" si="60"/>
        <v>0</v>
      </c>
      <c r="J148" s="679">
        <f t="shared" si="60"/>
        <v>0</v>
      </c>
      <c r="K148" s="679">
        <f t="shared" si="60"/>
        <v>0</v>
      </c>
      <c r="L148" s="679">
        <f t="shared" si="60"/>
        <v>0</v>
      </c>
      <c r="M148" s="679">
        <f t="shared" si="60"/>
        <v>0</v>
      </c>
      <c r="N148" s="679">
        <f t="shared" si="60"/>
        <v>0</v>
      </c>
      <c r="O148" s="679">
        <f t="shared" si="59"/>
        <v>0</v>
      </c>
      <c r="P148" s="680" t="e">
        <f t="shared" si="58"/>
        <v>#DIV/0!</v>
      </c>
      <c r="Q148" s="628">
        <v>0</v>
      </c>
    </row>
    <row r="149" spans="2:17" hidden="1" outlineLevel="1">
      <c r="B149" s="678">
        <f t="shared" si="56"/>
        <v>0</v>
      </c>
      <c r="C149" s="679">
        <f t="shared" si="60"/>
        <v>0</v>
      </c>
      <c r="D149" s="679">
        <f t="shared" si="60"/>
        <v>0</v>
      </c>
      <c r="E149" s="679">
        <f t="shared" si="60"/>
        <v>0</v>
      </c>
      <c r="F149" s="679">
        <f t="shared" si="60"/>
        <v>0</v>
      </c>
      <c r="G149" s="679">
        <f t="shared" si="60"/>
        <v>0</v>
      </c>
      <c r="H149" s="679">
        <f t="shared" si="60"/>
        <v>0</v>
      </c>
      <c r="I149" s="679">
        <f t="shared" si="60"/>
        <v>0</v>
      </c>
      <c r="J149" s="679">
        <f t="shared" si="60"/>
        <v>0</v>
      </c>
      <c r="K149" s="679">
        <f t="shared" si="60"/>
        <v>0</v>
      </c>
      <c r="L149" s="679">
        <f t="shared" si="60"/>
        <v>0</v>
      </c>
      <c r="M149" s="679">
        <f t="shared" si="60"/>
        <v>0</v>
      </c>
      <c r="N149" s="679">
        <f t="shared" si="60"/>
        <v>0</v>
      </c>
      <c r="O149" s="679">
        <f t="shared" si="59"/>
        <v>0</v>
      </c>
      <c r="P149" s="680" t="e">
        <f t="shared" si="58"/>
        <v>#DIV/0!</v>
      </c>
      <c r="Q149" s="628">
        <v>0</v>
      </c>
    </row>
    <row r="150" spans="2:17" hidden="1" outlineLevel="1">
      <c r="B150" s="678">
        <f t="shared" si="56"/>
        <v>0</v>
      </c>
      <c r="C150" s="679">
        <f t="shared" si="60"/>
        <v>0</v>
      </c>
      <c r="D150" s="679">
        <f t="shared" si="60"/>
        <v>0</v>
      </c>
      <c r="E150" s="679">
        <f t="shared" si="60"/>
        <v>0</v>
      </c>
      <c r="F150" s="679">
        <f t="shared" si="60"/>
        <v>0</v>
      </c>
      <c r="G150" s="679">
        <f t="shared" si="60"/>
        <v>0</v>
      </c>
      <c r="H150" s="679">
        <f t="shared" si="60"/>
        <v>0</v>
      </c>
      <c r="I150" s="679">
        <f t="shared" si="60"/>
        <v>0</v>
      </c>
      <c r="J150" s="679">
        <f t="shared" si="60"/>
        <v>0</v>
      </c>
      <c r="K150" s="679">
        <f t="shared" si="60"/>
        <v>0</v>
      </c>
      <c r="L150" s="679">
        <f t="shared" si="60"/>
        <v>0</v>
      </c>
      <c r="M150" s="679">
        <f t="shared" si="60"/>
        <v>0</v>
      </c>
      <c r="N150" s="679">
        <f t="shared" si="60"/>
        <v>0</v>
      </c>
      <c r="O150" s="679">
        <f t="shared" si="59"/>
        <v>0</v>
      </c>
      <c r="P150" s="680" t="e">
        <f t="shared" si="58"/>
        <v>#DIV/0!</v>
      </c>
      <c r="Q150" s="628">
        <v>0</v>
      </c>
    </row>
    <row r="151" spans="2:17" hidden="1" outlineLevel="1">
      <c r="B151" s="678">
        <f t="shared" si="56"/>
        <v>0</v>
      </c>
      <c r="C151" s="679">
        <f t="shared" si="60"/>
        <v>0</v>
      </c>
      <c r="D151" s="679">
        <f t="shared" si="60"/>
        <v>0</v>
      </c>
      <c r="E151" s="679">
        <f t="shared" si="60"/>
        <v>0</v>
      </c>
      <c r="F151" s="679">
        <f t="shared" si="60"/>
        <v>0</v>
      </c>
      <c r="G151" s="679">
        <f t="shared" si="60"/>
        <v>0</v>
      </c>
      <c r="H151" s="679">
        <f t="shared" si="60"/>
        <v>0</v>
      </c>
      <c r="I151" s="679">
        <f t="shared" si="60"/>
        <v>0</v>
      </c>
      <c r="J151" s="679">
        <f t="shared" si="60"/>
        <v>0</v>
      </c>
      <c r="K151" s="679">
        <f t="shared" si="60"/>
        <v>0</v>
      </c>
      <c r="L151" s="679">
        <f t="shared" si="60"/>
        <v>0</v>
      </c>
      <c r="M151" s="679">
        <f t="shared" si="60"/>
        <v>0</v>
      </c>
      <c r="N151" s="679">
        <f t="shared" si="60"/>
        <v>0</v>
      </c>
      <c r="O151" s="679">
        <f t="shared" si="59"/>
        <v>0</v>
      </c>
      <c r="P151" s="680" t="e">
        <f t="shared" si="58"/>
        <v>#DIV/0!</v>
      </c>
      <c r="Q151" s="628">
        <v>0</v>
      </c>
    </row>
    <row r="152" spans="2:17" hidden="1" outlineLevel="1">
      <c r="B152" s="678">
        <f t="shared" si="56"/>
        <v>0</v>
      </c>
      <c r="C152" s="679">
        <f t="shared" si="60"/>
        <v>0</v>
      </c>
      <c r="D152" s="679">
        <f t="shared" si="60"/>
        <v>0</v>
      </c>
      <c r="E152" s="679">
        <f t="shared" si="60"/>
        <v>0</v>
      </c>
      <c r="F152" s="679">
        <f t="shared" si="60"/>
        <v>0</v>
      </c>
      <c r="G152" s="679">
        <f t="shared" si="60"/>
        <v>0</v>
      </c>
      <c r="H152" s="679">
        <f t="shared" si="60"/>
        <v>0</v>
      </c>
      <c r="I152" s="679">
        <f t="shared" si="60"/>
        <v>0</v>
      </c>
      <c r="J152" s="679">
        <f t="shared" si="60"/>
        <v>0</v>
      </c>
      <c r="K152" s="679">
        <f t="shared" si="60"/>
        <v>0</v>
      </c>
      <c r="L152" s="679">
        <f t="shared" si="60"/>
        <v>0</v>
      </c>
      <c r="M152" s="679">
        <f t="shared" si="60"/>
        <v>0</v>
      </c>
      <c r="N152" s="679">
        <f t="shared" si="60"/>
        <v>0</v>
      </c>
      <c r="O152" s="679">
        <f t="shared" si="59"/>
        <v>0</v>
      </c>
      <c r="P152" s="680" t="e">
        <f t="shared" si="58"/>
        <v>#DIV/0!</v>
      </c>
      <c r="Q152" s="628">
        <v>0</v>
      </c>
    </row>
    <row r="153" spans="2:17" hidden="1" outlineLevel="1">
      <c r="B153" s="678">
        <f t="shared" si="56"/>
        <v>0</v>
      </c>
      <c r="C153" s="679">
        <f t="shared" si="60"/>
        <v>0</v>
      </c>
      <c r="D153" s="679">
        <f t="shared" si="60"/>
        <v>0</v>
      </c>
      <c r="E153" s="679">
        <f t="shared" si="60"/>
        <v>0</v>
      </c>
      <c r="F153" s="679">
        <f t="shared" si="60"/>
        <v>0</v>
      </c>
      <c r="G153" s="679">
        <f t="shared" si="60"/>
        <v>0</v>
      </c>
      <c r="H153" s="679">
        <f t="shared" si="60"/>
        <v>0</v>
      </c>
      <c r="I153" s="679">
        <f t="shared" si="60"/>
        <v>0</v>
      </c>
      <c r="J153" s="679">
        <f t="shared" si="60"/>
        <v>0</v>
      </c>
      <c r="K153" s="679">
        <f t="shared" si="60"/>
        <v>0</v>
      </c>
      <c r="L153" s="679">
        <f t="shared" si="60"/>
        <v>0</v>
      </c>
      <c r="M153" s="679">
        <f t="shared" si="60"/>
        <v>0</v>
      </c>
      <c r="N153" s="679">
        <f t="shared" si="60"/>
        <v>0</v>
      </c>
      <c r="O153" s="679">
        <f t="shared" si="59"/>
        <v>0</v>
      </c>
      <c r="P153" s="680" t="e">
        <f t="shared" si="58"/>
        <v>#DIV/0!</v>
      </c>
      <c r="Q153" s="628">
        <v>0</v>
      </c>
    </row>
    <row r="154" spans="2:17" hidden="1" outlineLevel="1">
      <c r="B154" s="678">
        <f t="shared" si="56"/>
        <v>0</v>
      </c>
      <c r="C154" s="679">
        <f t="shared" ref="C154:N163" si="61">C52*O52</f>
        <v>0</v>
      </c>
      <c r="D154" s="679">
        <f t="shared" si="61"/>
        <v>0</v>
      </c>
      <c r="E154" s="679">
        <f t="shared" si="61"/>
        <v>0</v>
      </c>
      <c r="F154" s="679">
        <f t="shared" si="61"/>
        <v>0</v>
      </c>
      <c r="G154" s="679">
        <f t="shared" si="61"/>
        <v>0</v>
      </c>
      <c r="H154" s="679">
        <f t="shared" si="61"/>
        <v>0</v>
      </c>
      <c r="I154" s="679">
        <f t="shared" si="61"/>
        <v>0</v>
      </c>
      <c r="J154" s="679">
        <f t="shared" si="61"/>
        <v>0</v>
      </c>
      <c r="K154" s="679">
        <f t="shared" si="61"/>
        <v>0</v>
      </c>
      <c r="L154" s="679">
        <f t="shared" si="61"/>
        <v>0</v>
      </c>
      <c r="M154" s="679">
        <f t="shared" si="61"/>
        <v>0</v>
      </c>
      <c r="N154" s="679">
        <f t="shared" si="61"/>
        <v>0</v>
      </c>
      <c r="O154" s="679">
        <f>SUM(C154:N154)+Q154</f>
        <v>0</v>
      </c>
      <c r="P154" s="680" t="e">
        <f t="shared" si="58"/>
        <v>#DIV/0!</v>
      </c>
      <c r="Q154" s="628">
        <v>0</v>
      </c>
    </row>
    <row r="155" spans="2:17" hidden="1" outlineLevel="1">
      <c r="B155" s="678">
        <f t="shared" si="56"/>
        <v>0</v>
      </c>
      <c r="C155" s="679">
        <f t="shared" si="61"/>
        <v>0</v>
      </c>
      <c r="D155" s="679">
        <f t="shared" si="61"/>
        <v>0</v>
      </c>
      <c r="E155" s="679">
        <f t="shared" si="61"/>
        <v>0</v>
      </c>
      <c r="F155" s="679">
        <f t="shared" si="61"/>
        <v>0</v>
      </c>
      <c r="G155" s="679">
        <f t="shared" si="61"/>
        <v>0</v>
      </c>
      <c r="H155" s="679">
        <f t="shared" si="61"/>
        <v>0</v>
      </c>
      <c r="I155" s="679">
        <f t="shared" si="61"/>
        <v>0</v>
      </c>
      <c r="J155" s="679">
        <f t="shared" si="61"/>
        <v>0</v>
      </c>
      <c r="K155" s="679">
        <f t="shared" si="61"/>
        <v>0</v>
      </c>
      <c r="L155" s="679">
        <f t="shared" si="61"/>
        <v>0</v>
      </c>
      <c r="M155" s="679">
        <f t="shared" si="61"/>
        <v>0</v>
      </c>
      <c r="N155" s="679">
        <f t="shared" si="61"/>
        <v>0</v>
      </c>
      <c r="O155" s="679">
        <f t="shared" si="59"/>
        <v>0</v>
      </c>
      <c r="P155" s="680" t="e">
        <f t="shared" si="58"/>
        <v>#DIV/0!</v>
      </c>
      <c r="Q155" s="628">
        <v>0</v>
      </c>
    </row>
    <row r="156" spans="2:17" hidden="1" outlineLevel="1">
      <c r="B156" s="678">
        <f t="shared" si="56"/>
        <v>0</v>
      </c>
      <c r="C156" s="679">
        <f t="shared" si="61"/>
        <v>0</v>
      </c>
      <c r="D156" s="679">
        <f t="shared" si="61"/>
        <v>0</v>
      </c>
      <c r="E156" s="679">
        <f t="shared" si="61"/>
        <v>0</v>
      </c>
      <c r="F156" s="679">
        <f t="shared" si="61"/>
        <v>0</v>
      </c>
      <c r="G156" s="679">
        <f t="shared" si="61"/>
        <v>0</v>
      </c>
      <c r="H156" s="679">
        <f t="shared" si="61"/>
        <v>0</v>
      </c>
      <c r="I156" s="679">
        <f t="shared" si="61"/>
        <v>0</v>
      </c>
      <c r="J156" s="679">
        <f t="shared" si="61"/>
        <v>0</v>
      </c>
      <c r="K156" s="679">
        <f t="shared" si="61"/>
        <v>0</v>
      </c>
      <c r="L156" s="679">
        <f t="shared" si="61"/>
        <v>0</v>
      </c>
      <c r="M156" s="679">
        <f t="shared" si="61"/>
        <v>0</v>
      </c>
      <c r="N156" s="679">
        <f t="shared" si="61"/>
        <v>0</v>
      </c>
      <c r="O156" s="679">
        <f t="shared" si="59"/>
        <v>0</v>
      </c>
      <c r="P156" s="680" t="e">
        <f t="shared" si="58"/>
        <v>#DIV/0!</v>
      </c>
      <c r="Q156" s="628">
        <v>0</v>
      </c>
    </row>
    <row r="157" spans="2:17" hidden="1" outlineLevel="1">
      <c r="B157" s="678">
        <f t="shared" si="56"/>
        <v>0</v>
      </c>
      <c r="C157" s="679">
        <f t="shared" si="61"/>
        <v>0</v>
      </c>
      <c r="D157" s="679">
        <f t="shared" si="61"/>
        <v>0</v>
      </c>
      <c r="E157" s="679">
        <f t="shared" si="61"/>
        <v>0</v>
      </c>
      <c r="F157" s="679">
        <f t="shared" si="61"/>
        <v>0</v>
      </c>
      <c r="G157" s="679">
        <f t="shared" si="61"/>
        <v>0</v>
      </c>
      <c r="H157" s="679">
        <f t="shared" si="61"/>
        <v>0</v>
      </c>
      <c r="I157" s="679">
        <f t="shared" si="61"/>
        <v>0</v>
      </c>
      <c r="J157" s="679">
        <f t="shared" si="61"/>
        <v>0</v>
      </c>
      <c r="K157" s="679">
        <f t="shared" si="61"/>
        <v>0</v>
      </c>
      <c r="L157" s="679">
        <f t="shared" si="61"/>
        <v>0</v>
      </c>
      <c r="M157" s="679">
        <f t="shared" si="61"/>
        <v>0</v>
      </c>
      <c r="N157" s="679">
        <f t="shared" si="61"/>
        <v>0</v>
      </c>
      <c r="O157" s="679">
        <f t="shared" si="59"/>
        <v>0</v>
      </c>
      <c r="P157" s="680" t="e">
        <f t="shared" si="58"/>
        <v>#DIV/0!</v>
      </c>
      <c r="Q157" s="628">
        <v>0</v>
      </c>
    </row>
    <row r="158" spans="2:17" hidden="1" outlineLevel="1">
      <c r="B158" s="678">
        <f t="shared" si="56"/>
        <v>0</v>
      </c>
      <c r="C158" s="679">
        <f t="shared" si="61"/>
        <v>0</v>
      </c>
      <c r="D158" s="679">
        <f t="shared" si="61"/>
        <v>0</v>
      </c>
      <c r="E158" s="679">
        <f t="shared" si="61"/>
        <v>0</v>
      </c>
      <c r="F158" s="679">
        <f t="shared" si="61"/>
        <v>0</v>
      </c>
      <c r="G158" s="679">
        <f t="shared" si="61"/>
        <v>0</v>
      </c>
      <c r="H158" s="679">
        <f t="shared" si="61"/>
        <v>0</v>
      </c>
      <c r="I158" s="679">
        <f t="shared" si="61"/>
        <v>0</v>
      </c>
      <c r="J158" s="679">
        <f t="shared" si="61"/>
        <v>0</v>
      </c>
      <c r="K158" s="679">
        <f t="shared" si="61"/>
        <v>0</v>
      </c>
      <c r="L158" s="679">
        <f t="shared" si="61"/>
        <v>0</v>
      </c>
      <c r="M158" s="679">
        <f t="shared" si="61"/>
        <v>0</v>
      </c>
      <c r="N158" s="679">
        <f t="shared" si="61"/>
        <v>0</v>
      </c>
      <c r="O158" s="679">
        <f t="shared" si="59"/>
        <v>0</v>
      </c>
      <c r="P158" s="680" t="e">
        <f t="shared" si="58"/>
        <v>#DIV/0!</v>
      </c>
      <c r="Q158" s="628">
        <v>0</v>
      </c>
    </row>
    <row r="159" spans="2:17" hidden="1" outlineLevel="1">
      <c r="B159" s="678">
        <f t="shared" si="56"/>
        <v>0</v>
      </c>
      <c r="C159" s="679">
        <f t="shared" si="61"/>
        <v>0</v>
      </c>
      <c r="D159" s="679">
        <f t="shared" si="61"/>
        <v>0</v>
      </c>
      <c r="E159" s="679">
        <f t="shared" si="61"/>
        <v>0</v>
      </c>
      <c r="F159" s="679">
        <f t="shared" si="61"/>
        <v>0</v>
      </c>
      <c r="G159" s="679">
        <f t="shared" si="61"/>
        <v>0</v>
      </c>
      <c r="H159" s="679">
        <f t="shared" si="61"/>
        <v>0</v>
      </c>
      <c r="I159" s="679">
        <f t="shared" si="61"/>
        <v>0</v>
      </c>
      <c r="J159" s="679">
        <f t="shared" si="61"/>
        <v>0</v>
      </c>
      <c r="K159" s="679">
        <f t="shared" si="61"/>
        <v>0</v>
      </c>
      <c r="L159" s="679">
        <f t="shared" si="61"/>
        <v>0</v>
      </c>
      <c r="M159" s="679">
        <f t="shared" si="61"/>
        <v>0</v>
      </c>
      <c r="N159" s="679">
        <f t="shared" si="61"/>
        <v>0</v>
      </c>
      <c r="O159" s="679">
        <f t="shared" si="59"/>
        <v>0</v>
      </c>
      <c r="P159" s="680" t="e">
        <f t="shared" si="58"/>
        <v>#DIV/0!</v>
      </c>
      <c r="Q159" s="628">
        <v>0</v>
      </c>
    </row>
    <row r="160" spans="2:17" hidden="1" outlineLevel="1">
      <c r="B160" s="678">
        <f t="shared" si="56"/>
        <v>0</v>
      </c>
      <c r="C160" s="679">
        <f t="shared" si="61"/>
        <v>0</v>
      </c>
      <c r="D160" s="679">
        <f t="shared" si="61"/>
        <v>0</v>
      </c>
      <c r="E160" s="679">
        <f t="shared" si="61"/>
        <v>0</v>
      </c>
      <c r="F160" s="679">
        <f t="shared" si="61"/>
        <v>0</v>
      </c>
      <c r="G160" s="679">
        <f t="shared" si="61"/>
        <v>0</v>
      </c>
      <c r="H160" s="679">
        <f t="shared" si="61"/>
        <v>0</v>
      </c>
      <c r="I160" s="679">
        <f t="shared" si="61"/>
        <v>0</v>
      </c>
      <c r="J160" s="679">
        <f t="shared" si="61"/>
        <v>0</v>
      </c>
      <c r="K160" s="679">
        <f t="shared" si="61"/>
        <v>0</v>
      </c>
      <c r="L160" s="679">
        <f t="shared" si="61"/>
        <v>0</v>
      </c>
      <c r="M160" s="679">
        <f t="shared" si="61"/>
        <v>0</v>
      </c>
      <c r="N160" s="679">
        <f t="shared" si="61"/>
        <v>0</v>
      </c>
      <c r="O160" s="679">
        <f t="shared" si="59"/>
        <v>0</v>
      </c>
      <c r="P160" s="680" t="e">
        <f t="shared" si="58"/>
        <v>#DIV/0!</v>
      </c>
      <c r="Q160" s="628">
        <v>0</v>
      </c>
    </row>
    <row r="161" spans="2:17" hidden="1" outlineLevel="1">
      <c r="B161" s="678">
        <f t="shared" si="56"/>
        <v>0</v>
      </c>
      <c r="C161" s="679">
        <f t="shared" si="61"/>
        <v>0</v>
      </c>
      <c r="D161" s="679">
        <f t="shared" si="61"/>
        <v>0</v>
      </c>
      <c r="E161" s="679">
        <f t="shared" si="61"/>
        <v>0</v>
      </c>
      <c r="F161" s="679">
        <f t="shared" si="61"/>
        <v>0</v>
      </c>
      <c r="G161" s="679">
        <f t="shared" si="61"/>
        <v>0</v>
      </c>
      <c r="H161" s="679">
        <f t="shared" si="61"/>
        <v>0</v>
      </c>
      <c r="I161" s="679">
        <f t="shared" si="61"/>
        <v>0</v>
      </c>
      <c r="J161" s="679">
        <f t="shared" si="61"/>
        <v>0</v>
      </c>
      <c r="K161" s="679">
        <f t="shared" si="61"/>
        <v>0</v>
      </c>
      <c r="L161" s="679">
        <f t="shared" si="61"/>
        <v>0</v>
      </c>
      <c r="M161" s="679">
        <f t="shared" si="61"/>
        <v>0</v>
      </c>
      <c r="N161" s="679">
        <f t="shared" si="61"/>
        <v>0</v>
      </c>
      <c r="O161" s="679">
        <f t="shared" si="59"/>
        <v>0</v>
      </c>
      <c r="P161" s="680" t="e">
        <f t="shared" si="58"/>
        <v>#DIV/0!</v>
      </c>
      <c r="Q161" s="628">
        <v>0</v>
      </c>
    </row>
    <row r="162" spans="2:17" hidden="1" outlineLevel="1">
      <c r="B162" s="678">
        <f t="shared" si="56"/>
        <v>0</v>
      </c>
      <c r="C162" s="679">
        <f t="shared" si="61"/>
        <v>0</v>
      </c>
      <c r="D162" s="679">
        <f t="shared" si="61"/>
        <v>0</v>
      </c>
      <c r="E162" s="679">
        <f t="shared" si="61"/>
        <v>0</v>
      </c>
      <c r="F162" s="679">
        <f t="shared" si="61"/>
        <v>0</v>
      </c>
      <c r="G162" s="679">
        <f t="shared" si="61"/>
        <v>0</v>
      </c>
      <c r="H162" s="679">
        <f t="shared" si="61"/>
        <v>0</v>
      </c>
      <c r="I162" s="679">
        <f t="shared" si="61"/>
        <v>0</v>
      </c>
      <c r="J162" s="679">
        <f t="shared" si="61"/>
        <v>0</v>
      </c>
      <c r="K162" s="679">
        <f t="shared" si="61"/>
        <v>0</v>
      </c>
      <c r="L162" s="679">
        <f t="shared" si="61"/>
        <v>0</v>
      </c>
      <c r="M162" s="679">
        <f t="shared" si="61"/>
        <v>0</v>
      </c>
      <c r="N162" s="679">
        <f t="shared" si="61"/>
        <v>0</v>
      </c>
      <c r="O162" s="679">
        <f t="shared" si="59"/>
        <v>0</v>
      </c>
      <c r="P162" s="680" t="e">
        <f t="shared" si="58"/>
        <v>#DIV/0!</v>
      </c>
      <c r="Q162" s="628">
        <v>0</v>
      </c>
    </row>
    <row r="163" spans="2:17" hidden="1" outlineLevel="1">
      <c r="B163" s="678">
        <f t="shared" si="56"/>
        <v>0</v>
      </c>
      <c r="C163" s="679">
        <f t="shared" si="61"/>
        <v>0</v>
      </c>
      <c r="D163" s="679">
        <f t="shared" si="61"/>
        <v>0</v>
      </c>
      <c r="E163" s="679">
        <f t="shared" si="61"/>
        <v>0</v>
      </c>
      <c r="F163" s="679">
        <f t="shared" si="61"/>
        <v>0</v>
      </c>
      <c r="G163" s="679">
        <f t="shared" si="61"/>
        <v>0</v>
      </c>
      <c r="H163" s="679">
        <f t="shared" si="61"/>
        <v>0</v>
      </c>
      <c r="I163" s="679">
        <f t="shared" si="61"/>
        <v>0</v>
      </c>
      <c r="J163" s="679">
        <f t="shared" si="61"/>
        <v>0</v>
      </c>
      <c r="K163" s="679">
        <f t="shared" si="61"/>
        <v>0</v>
      </c>
      <c r="L163" s="679">
        <f t="shared" si="61"/>
        <v>0</v>
      </c>
      <c r="M163" s="679">
        <f t="shared" si="61"/>
        <v>0</v>
      </c>
      <c r="N163" s="679">
        <f t="shared" si="61"/>
        <v>0</v>
      </c>
      <c r="O163" s="679">
        <f t="shared" si="59"/>
        <v>0</v>
      </c>
      <c r="P163" s="680" t="e">
        <f t="shared" si="58"/>
        <v>#DIV/0!</v>
      </c>
      <c r="Q163" s="628">
        <v>0</v>
      </c>
    </row>
    <row r="164" spans="2:17" hidden="1" outlineLevel="1">
      <c r="B164" s="678">
        <f t="shared" ref="B164:B181" si="62">B63</f>
        <v>0</v>
      </c>
      <c r="C164" s="679">
        <f t="shared" ref="C164:N179" si="63">C63*O63</f>
        <v>0</v>
      </c>
      <c r="D164" s="679">
        <f t="shared" si="63"/>
        <v>0</v>
      </c>
      <c r="E164" s="679">
        <f t="shared" si="63"/>
        <v>0</v>
      </c>
      <c r="F164" s="679">
        <f t="shared" si="63"/>
        <v>0</v>
      </c>
      <c r="G164" s="679">
        <f t="shared" si="63"/>
        <v>0</v>
      </c>
      <c r="H164" s="679">
        <f t="shared" si="63"/>
        <v>0</v>
      </c>
      <c r="I164" s="679">
        <f t="shared" si="63"/>
        <v>0</v>
      </c>
      <c r="J164" s="679">
        <f t="shared" si="63"/>
        <v>0</v>
      </c>
      <c r="K164" s="679">
        <f t="shared" si="63"/>
        <v>0</v>
      </c>
      <c r="L164" s="679">
        <f t="shared" si="63"/>
        <v>0</v>
      </c>
      <c r="M164" s="679">
        <f t="shared" si="63"/>
        <v>0</v>
      </c>
      <c r="N164" s="679">
        <f t="shared" si="63"/>
        <v>0</v>
      </c>
      <c r="O164" s="679">
        <f t="shared" si="59"/>
        <v>0</v>
      </c>
      <c r="P164" s="680" t="e">
        <f>O164/SUM(C63:N63)</f>
        <v>#DIV/0!</v>
      </c>
      <c r="Q164" s="628">
        <v>0</v>
      </c>
    </row>
    <row r="165" spans="2:17" hidden="1" outlineLevel="2">
      <c r="B165" s="678">
        <f t="shared" si="62"/>
        <v>0</v>
      </c>
      <c r="C165" s="679">
        <f t="shared" si="63"/>
        <v>0</v>
      </c>
      <c r="D165" s="679">
        <f t="shared" si="63"/>
        <v>0</v>
      </c>
      <c r="E165" s="679">
        <f t="shared" si="63"/>
        <v>0</v>
      </c>
      <c r="F165" s="679">
        <f t="shared" si="63"/>
        <v>0</v>
      </c>
      <c r="G165" s="679">
        <f t="shared" si="63"/>
        <v>0</v>
      </c>
      <c r="H165" s="679">
        <f t="shared" si="63"/>
        <v>0</v>
      </c>
      <c r="I165" s="679">
        <f t="shared" si="63"/>
        <v>0</v>
      </c>
      <c r="J165" s="679">
        <f t="shared" si="63"/>
        <v>0</v>
      </c>
      <c r="K165" s="679">
        <f t="shared" si="63"/>
        <v>0</v>
      </c>
      <c r="L165" s="679">
        <f t="shared" si="63"/>
        <v>0</v>
      </c>
      <c r="M165" s="679">
        <f t="shared" si="63"/>
        <v>0</v>
      </c>
      <c r="N165" s="679">
        <f t="shared" si="63"/>
        <v>0</v>
      </c>
      <c r="O165" s="679">
        <f t="shared" si="59"/>
        <v>0</v>
      </c>
      <c r="P165" s="680" t="e">
        <f t="shared" ref="P165:P180" si="64">O165/SUM(C64:N64)</f>
        <v>#DIV/0!</v>
      </c>
      <c r="Q165" s="628">
        <v>0</v>
      </c>
    </row>
    <row r="166" spans="2:17" hidden="1" outlineLevel="2">
      <c r="B166" s="678">
        <f t="shared" si="62"/>
        <v>0</v>
      </c>
      <c r="C166" s="679">
        <f t="shared" si="63"/>
        <v>0</v>
      </c>
      <c r="D166" s="679">
        <f t="shared" si="63"/>
        <v>0</v>
      </c>
      <c r="E166" s="679">
        <f t="shared" si="63"/>
        <v>0</v>
      </c>
      <c r="F166" s="679">
        <f t="shared" si="63"/>
        <v>0</v>
      </c>
      <c r="G166" s="679">
        <f t="shared" si="63"/>
        <v>0</v>
      </c>
      <c r="H166" s="679">
        <f t="shared" si="63"/>
        <v>0</v>
      </c>
      <c r="I166" s="679">
        <f t="shared" si="63"/>
        <v>0</v>
      </c>
      <c r="J166" s="679">
        <f t="shared" si="63"/>
        <v>0</v>
      </c>
      <c r="K166" s="679">
        <f t="shared" si="63"/>
        <v>0</v>
      </c>
      <c r="L166" s="679">
        <f t="shared" si="63"/>
        <v>0</v>
      </c>
      <c r="M166" s="679">
        <f t="shared" si="63"/>
        <v>0</v>
      </c>
      <c r="N166" s="679">
        <f t="shared" si="63"/>
        <v>0</v>
      </c>
      <c r="O166" s="679">
        <f t="shared" si="59"/>
        <v>0</v>
      </c>
      <c r="P166" s="680" t="e">
        <f t="shared" si="64"/>
        <v>#DIV/0!</v>
      </c>
      <c r="Q166" s="628">
        <v>0</v>
      </c>
    </row>
    <row r="167" spans="2:17" hidden="1" outlineLevel="2">
      <c r="B167" s="678">
        <f t="shared" si="62"/>
        <v>0</v>
      </c>
      <c r="C167" s="679">
        <f t="shared" si="63"/>
        <v>0</v>
      </c>
      <c r="D167" s="679">
        <f t="shared" si="63"/>
        <v>0</v>
      </c>
      <c r="E167" s="679">
        <f t="shared" si="63"/>
        <v>0</v>
      </c>
      <c r="F167" s="679">
        <f t="shared" si="63"/>
        <v>0</v>
      </c>
      <c r="G167" s="679">
        <f t="shared" si="63"/>
        <v>0</v>
      </c>
      <c r="H167" s="679">
        <f t="shared" si="63"/>
        <v>0</v>
      </c>
      <c r="I167" s="679">
        <f t="shared" si="63"/>
        <v>0</v>
      </c>
      <c r="J167" s="679">
        <f t="shared" si="63"/>
        <v>0</v>
      </c>
      <c r="K167" s="679">
        <f t="shared" si="63"/>
        <v>0</v>
      </c>
      <c r="L167" s="679">
        <f t="shared" si="63"/>
        <v>0</v>
      </c>
      <c r="M167" s="679">
        <f t="shared" si="63"/>
        <v>0</v>
      </c>
      <c r="N167" s="679">
        <f t="shared" si="63"/>
        <v>0</v>
      </c>
      <c r="O167" s="679">
        <f t="shared" si="59"/>
        <v>0</v>
      </c>
      <c r="P167" s="680" t="e">
        <f t="shared" si="64"/>
        <v>#DIV/0!</v>
      </c>
      <c r="Q167" s="628">
        <v>0</v>
      </c>
    </row>
    <row r="168" spans="2:17" hidden="1" outlineLevel="2">
      <c r="B168" s="678">
        <f t="shared" si="62"/>
        <v>0</v>
      </c>
      <c r="C168" s="679">
        <f t="shared" si="63"/>
        <v>0</v>
      </c>
      <c r="D168" s="679">
        <f t="shared" si="63"/>
        <v>0</v>
      </c>
      <c r="E168" s="679">
        <f t="shared" si="63"/>
        <v>0</v>
      </c>
      <c r="F168" s="679">
        <f t="shared" si="63"/>
        <v>0</v>
      </c>
      <c r="G168" s="679">
        <f t="shared" si="63"/>
        <v>0</v>
      </c>
      <c r="H168" s="679">
        <f t="shared" si="63"/>
        <v>0</v>
      </c>
      <c r="I168" s="679">
        <f t="shared" si="63"/>
        <v>0</v>
      </c>
      <c r="J168" s="679">
        <f t="shared" si="63"/>
        <v>0</v>
      </c>
      <c r="K168" s="679">
        <f t="shared" si="63"/>
        <v>0</v>
      </c>
      <c r="L168" s="679">
        <f t="shared" si="63"/>
        <v>0</v>
      </c>
      <c r="M168" s="679">
        <f t="shared" si="63"/>
        <v>0</v>
      </c>
      <c r="N168" s="679">
        <f t="shared" si="63"/>
        <v>0</v>
      </c>
      <c r="O168" s="679">
        <f t="shared" si="59"/>
        <v>0</v>
      </c>
      <c r="P168" s="680" t="e">
        <f t="shared" si="64"/>
        <v>#DIV/0!</v>
      </c>
      <c r="Q168" s="628">
        <v>0</v>
      </c>
    </row>
    <row r="169" spans="2:17" hidden="1" outlineLevel="2">
      <c r="B169" s="678">
        <f t="shared" si="62"/>
        <v>0</v>
      </c>
      <c r="C169" s="679">
        <f t="shared" si="63"/>
        <v>0</v>
      </c>
      <c r="D169" s="679">
        <f t="shared" si="63"/>
        <v>0</v>
      </c>
      <c r="E169" s="679">
        <f t="shared" si="63"/>
        <v>0</v>
      </c>
      <c r="F169" s="679">
        <f t="shared" si="63"/>
        <v>0</v>
      </c>
      <c r="G169" s="679">
        <f t="shared" si="63"/>
        <v>0</v>
      </c>
      <c r="H169" s="679">
        <f t="shared" si="63"/>
        <v>0</v>
      </c>
      <c r="I169" s="679">
        <f t="shared" si="63"/>
        <v>0</v>
      </c>
      <c r="J169" s="679">
        <f t="shared" si="63"/>
        <v>0</v>
      </c>
      <c r="K169" s="679">
        <f t="shared" si="63"/>
        <v>0</v>
      </c>
      <c r="L169" s="679">
        <f t="shared" si="63"/>
        <v>0</v>
      </c>
      <c r="M169" s="679">
        <f t="shared" si="63"/>
        <v>0</v>
      </c>
      <c r="N169" s="679">
        <f t="shared" si="63"/>
        <v>0</v>
      </c>
      <c r="O169" s="679">
        <f t="shared" si="59"/>
        <v>0</v>
      </c>
      <c r="P169" s="680" t="e">
        <f t="shared" si="64"/>
        <v>#DIV/0!</v>
      </c>
      <c r="Q169" s="628">
        <v>0</v>
      </c>
    </row>
    <row r="170" spans="2:17" hidden="1" outlineLevel="2">
      <c r="B170" s="678">
        <f t="shared" si="62"/>
        <v>0</v>
      </c>
      <c r="C170" s="679">
        <f t="shared" si="63"/>
        <v>0</v>
      </c>
      <c r="D170" s="679">
        <f t="shared" si="63"/>
        <v>0</v>
      </c>
      <c r="E170" s="679">
        <f t="shared" si="63"/>
        <v>0</v>
      </c>
      <c r="F170" s="679">
        <f t="shared" si="63"/>
        <v>0</v>
      </c>
      <c r="G170" s="679">
        <f t="shared" si="63"/>
        <v>0</v>
      </c>
      <c r="H170" s="679">
        <f t="shared" si="63"/>
        <v>0</v>
      </c>
      <c r="I170" s="679">
        <f t="shared" si="63"/>
        <v>0</v>
      </c>
      <c r="J170" s="679">
        <f t="shared" si="63"/>
        <v>0</v>
      </c>
      <c r="K170" s="679">
        <f t="shared" si="63"/>
        <v>0</v>
      </c>
      <c r="L170" s="679">
        <f t="shared" si="63"/>
        <v>0</v>
      </c>
      <c r="M170" s="679">
        <f t="shared" si="63"/>
        <v>0</v>
      </c>
      <c r="N170" s="679">
        <f t="shared" si="63"/>
        <v>0</v>
      </c>
      <c r="O170" s="679">
        <f t="shared" si="59"/>
        <v>0</v>
      </c>
      <c r="P170" s="680" t="e">
        <f t="shared" si="64"/>
        <v>#DIV/0!</v>
      </c>
      <c r="Q170" s="628">
        <v>0</v>
      </c>
    </row>
    <row r="171" spans="2:17" hidden="1" outlineLevel="2">
      <c r="B171" s="678">
        <f t="shared" si="62"/>
        <v>0</v>
      </c>
      <c r="C171" s="679">
        <f t="shared" si="63"/>
        <v>0</v>
      </c>
      <c r="D171" s="679">
        <f t="shared" si="63"/>
        <v>0</v>
      </c>
      <c r="E171" s="679">
        <f t="shared" si="63"/>
        <v>0</v>
      </c>
      <c r="F171" s="679">
        <f t="shared" si="63"/>
        <v>0</v>
      </c>
      <c r="G171" s="679">
        <f t="shared" si="63"/>
        <v>0</v>
      </c>
      <c r="H171" s="679">
        <f t="shared" si="63"/>
        <v>0</v>
      </c>
      <c r="I171" s="679">
        <f t="shared" si="63"/>
        <v>0</v>
      </c>
      <c r="J171" s="679">
        <f t="shared" si="63"/>
        <v>0</v>
      </c>
      <c r="K171" s="679">
        <f t="shared" si="63"/>
        <v>0</v>
      </c>
      <c r="L171" s="679">
        <f t="shared" si="63"/>
        <v>0</v>
      </c>
      <c r="M171" s="679">
        <f t="shared" si="63"/>
        <v>0</v>
      </c>
      <c r="N171" s="679">
        <f t="shared" si="63"/>
        <v>0</v>
      </c>
      <c r="O171" s="679">
        <f t="shared" si="59"/>
        <v>0</v>
      </c>
      <c r="P171" s="680" t="e">
        <f t="shared" si="64"/>
        <v>#DIV/0!</v>
      </c>
      <c r="Q171" s="628">
        <v>0</v>
      </c>
    </row>
    <row r="172" spans="2:17" hidden="1" outlineLevel="2">
      <c r="B172" s="678">
        <f t="shared" si="62"/>
        <v>0</v>
      </c>
      <c r="C172" s="679">
        <f t="shared" si="63"/>
        <v>0</v>
      </c>
      <c r="D172" s="679">
        <f t="shared" si="63"/>
        <v>0</v>
      </c>
      <c r="E172" s="679">
        <f t="shared" si="63"/>
        <v>0</v>
      </c>
      <c r="F172" s="679">
        <f t="shared" si="63"/>
        <v>0</v>
      </c>
      <c r="G172" s="679">
        <f t="shared" si="63"/>
        <v>0</v>
      </c>
      <c r="H172" s="679">
        <f t="shared" si="63"/>
        <v>0</v>
      </c>
      <c r="I172" s="679">
        <f t="shared" si="63"/>
        <v>0</v>
      </c>
      <c r="J172" s="679">
        <f t="shared" si="63"/>
        <v>0</v>
      </c>
      <c r="K172" s="679">
        <f t="shared" si="63"/>
        <v>0</v>
      </c>
      <c r="L172" s="679">
        <f t="shared" si="63"/>
        <v>0</v>
      </c>
      <c r="M172" s="679">
        <f t="shared" si="63"/>
        <v>0</v>
      </c>
      <c r="N172" s="679">
        <f t="shared" si="63"/>
        <v>0</v>
      </c>
      <c r="O172" s="679">
        <f t="shared" si="59"/>
        <v>0</v>
      </c>
      <c r="P172" s="680" t="e">
        <f t="shared" si="64"/>
        <v>#DIV/0!</v>
      </c>
      <c r="Q172" s="628">
        <v>0</v>
      </c>
    </row>
    <row r="173" spans="2:17" hidden="1" outlineLevel="2">
      <c r="B173" s="678">
        <f t="shared" si="62"/>
        <v>0</v>
      </c>
      <c r="C173" s="679">
        <f t="shared" si="63"/>
        <v>0</v>
      </c>
      <c r="D173" s="679">
        <f t="shared" si="63"/>
        <v>0</v>
      </c>
      <c r="E173" s="679">
        <f t="shared" si="63"/>
        <v>0</v>
      </c>
      <c r="F173" s="679">
        <f t="shared" si="63"/>
        <v>0</v>
      </c>
      <c r="G173" s="679">
        <f t="shared" si="63"/>
        <v>0</v>
      </c>
      <c r="H173" s="679">
        <f t="shared" si="63"/>
        <v>0</v>
      </c>
      <c r="I173" s="679">
        <f t="shared" si="63"/>
        <v>0</v>
      </c>
      <c r="J173" s="679">
        <f t="shared" si="63"/>
        <v>0</v>
      </c>
      <c r="K173" s="679">
        <f t="shared" si="63"/>
        <v>0</v>
      </c>
      <c r="L173" s="679">
        <f t="shared" si="63"/>
        <v>0</v>
      </c>
      <c r="M173" s="679">
        <f t="shared" si="63"/>
        <v>0</v>
      </c>
      <c r="N173" s="679">
        <f t="shared" si="63"/>
        <v>0</v>
      </c>
      <c r="O173" s="679">
        <f t="shared" si="59"/>
        <v>0</v>
      </c>
      <c r="P173" s="680" t="e">
        <f t="shared" si="64"/>
        <v>#DIV/0!</v>
      </c>
      <c r="Q173" s="628">
        <v>0</v>
      </c>
    </row>
    <row r="174" spans="2:17" hidden="1" outlineLevel="2">
      <c r="B174" s="678">
        <f t="shared" si="62"/>
        <v>0</v>
      </c>
      <c r="C174" s="679">
        <f t="shared" si="63"/>
        <v>0</v>
      </c>
      <c r="D174" s="679">
        <f t="shared" si="63"/>
        <v>0</v>
      </c>
      <c r="E174" s="679">
        <f t="shared" si="63"/>
        <v>0</v>
      </c>
      <c r="F174" s="679">
        <f t="shared" si="63"/>
        <v>0</v>
      </c>
      <c r="G174" s="679">
        <f t="shared" si="63"/>
        <v>0</v>
      </c>
      <c r="H174" s="679">
        <f t="shared" si="63"/>
        <v>0</v>
      </c>
      <c r="I174" s="679">
        <f t="shared" si="63"/>
        <v>0</v>
      </c>
      <c r="J174" s="679">
        <f t="shared" si="63"/>
        <v>0</v>
      </c>
      <c r="K174" s="679">
        <f t="shared" si="63"/>
        <v>0</v>
      </c>
      <c r="L174" s="679">
        <f t="shared" si="63"/>
        <v>0</v>
      </c>
      <c r="M174" s="679">
        <f t="shared" si="63"/>
        <v>0</v>
      </c>
      <c r="N174" s="679">
        <f t="shared" si="63"/>
        <v>0</v>
      </c>
      <c r="O174" s="679">
        <f t="shared" si="59"/>
        <v>0</v>
      </c>
      <c r="P174" s="680" t="e">
        <f t="shared" si="64"/>
        <v>#DIV/0!</v>
      </c>
      <c r="Q174" s="628">
        <v>0</v>
      </c>
    </row>
    <row r="175" spans="2:17" hidden="1" outlineLevel="2">
      <c r="B175" s="678">
        <f t="shared" si="62"/>
        <v>0</v>
      </c>
      <c r="C175" s="679">
        <f t="shared" si="63"/>
        <v>0</v>
      </c>
      <c r="D175" s="679">
        <f t="shared" si="63"/>
        <v>0</v>
      </c>
      <c r="E175" s="679">
        <f t="shared" si="63"/>
        <v>0</v>
      </c>
      <c r="F175" s="679">
        <f t="shared" si="63"/>
        <v>0</v>
      </c>
      <c r="G175" s="679">
        <f t="shared" si="63"/>
        <v>0</v>
      </c>
      <c r="H175" s="679">
        <f t="shared" si="63"/>
        <v>0</v>
      </c>
      <c r="I175" s="679">
        <f t="shared" si="63"/>
        <v>0</v>
      </c>
      <c r="J175" s="679">
        <f t="shared" si="63"/>
        <v>0</v>
      </c>
      <c r="K175" s="679">
        <f t="shared" si="63"/>
        <v>0</v>
      </c>
      <c r="L175" s="679">
        <f t="shared" si="63"/>
        <v>0</v>
      </c>
      <c r="M175" s="679">
        <f t="shared" si="63"/>
        <v>0</v>
      </c>
      <c r="N175" s="679">
        <f t="shared" si="63"/>
        <v>0</v>
      </c>
      <c r="O175" s="679">
        <f t="shared" si="59"/>
        <v>0</v>
      </c>
      <c r="P175" s="680" t="e">
        <f t="shared" si="64"/>
        <v>#DIV/0!</v>
      </c>
      <c r="Q175" s="628">
        <v>0</v>
      </c>
    </row>
    <row r="176" spans="2:17" hidden="1" outlineLevel="2">
      <c r="B176" s="678">
        <f t="shared" si="62"/>
        <v>0</v>
      </c>
      <c r="C176" s="679">
        <f t="shared" si="63"/>
        <v>0</v>
      </c>
      <c r="D176" s="679">
        <f t="shared" si="63"/>
        <v>0</v>
      </c>
      <c r="E176" s="679">
        <f t="shared" si="63"/>
        <v>0</v>
      </c>
      <c r="F176" s="679">
        <f t="shared" si="63"/>
        <v>0</v>
      </c>
      <c r="G176" s="679">
        <f t="shared" si="63"/>
        <v>0</v>
      </c>
      <c r="H176" s="679">
        <f t="shared" si="63"/>
        <v>0</v>
      </c>
      <c r="I176" s="679">
        <f t="shared" si="63"/>
        <v>0</v>
      </c>
      <c r="J176" s="679">
        <f t="shared" si="63"/>
        <v>0</v>
      </c>
      <c r="K176" s="679">
        <f t="shared" si="63"/>
        <v>0</v>
      </c>
      <c r="L176" s="679">
        <f t="shared" si="63"/>
        <v>0</v>
      </c>
      <c r="M176" s="679">
        <f t="shared" si="63"/>
        <v>0</v>
      </c>
      <c r="N176" s="679">
        <f t="shared" si="63"/>
        <v>0</v>
      </c>
      <c r="O176" s="679">
        <f t="shared" si="59"/>
        <v>0</v>
      </c>
      <c r="P176" s="680" t="e">
        <f t="shared" si="64"/>
        <v>#DIV/0!</v>
      </c>
      <c r="Q176" s="628">
        <v>0</v>
      </c>
    </row>
    <row r="177" spans="2:17" hidden="1" outlineLevel="2">
      <c r="B177" s="678">
        <f t="shared" si="62"/>
        <v>0</v>
      </c>
      <c r="C177" s="679">
        <f t="shared" si="63"/>
        <v>0</v>
      </c>
      <c r="D177" s="679">
        <f t="shared" si="63"/>
        <v>0</v>
      </c>
      <c r="E177" s="679">
        <f t="shared" si="63"/>
        <v>0</v>
      </c>
      <c r="F177" s="679">
        <f t="shared" si="63"/>
        <v>0</v>
      </c>
      <c r="G177" s="679">
        <f t="shared" si="63"/>
        <v>0</v>
      </c>
      <c r="H177" s="679">
        <f t="shared" si="63"/>
        <v>0</v>
      </c>
      <c r="I177" s="679">
        <f t="shared" si="63"/>
        <v>0</v>
      </c>
      <c r="J177" s="679">
        <f t="shared" si="63"/>
        <v>0</v>
      </c>
      <c r="K177" s="679">
        <f t="shared" si="63"/>
        <v>0</v>
      </c>
      <c r="L177" s="679">
        <f t="shared" si="63"/>
        <v>0</v>
      </c>
      <c r="M177" s="679">
        <f t="shared" si="63"/>
        <v>0</v>
      </c>
      <c r="N177" s="679">
        <f t="shared" si="63"/>
        <v>0</v>
      </c>
      <c r="O177" s="679">
        <f t="shared" si="59"/>
        <v>0</v>
      </c>
      <c r="P177" s="680" t="e">
        <f t="shared" si="64"/>
        <v>#DIV/0!</v>
      </c>
      <c r="Q177" s="628">
        <v>0</v>
      </c>
    </row>
    <row r="178" spans="2:17" hidden="1" outlineLevel="2">
      <c r="B178" s="678">
        <f t="shared" si="62"/>
        <v>0</v>
      </c>
      <c r="C178" s="679">
        <f t="shared" si="63"/>
        <v>0</v>
      </c>
      <c r="D178" s="679">
        <f t="shared" si="63"/>
        <v>0</v>
      </c>
      <c r="E178" s="679">
        <f t="shared" si="63"/>
        <v>0</v>
      </c>
      <c r="F178" s="679">
        <f t="shared" si="63"/>
        <v>0</v>
      </c>
      <c r="G178" s="679">
        <f t="shared" si="63"/>
        <v>0</v>
      </c>
      <c r="H178" s="679">
        <f t="shared" si="63"/>
        <v>0</v>
      </c>
      <c r="I178" s="679">
        <f t="shared" si="63"/>
        <v>0</v>
      </c>
      <c r="J178" s="679">
        <f t="shared" si="63"/>
        <v>0</v>
      </c>
      <c r="K178" s="679">
        <f t="shared" si="63"/>
        <v>0</v>
      </c>
      <c r="L178" s="679">
        <f t="shared" si="63"/>
        <v>0</v>
      </c>
      <c r="M178" s="679">
        <f t="shared" si="63"/>
        <v>0</v>
      </c>
      <c r="N178" s="679">
        <f t="shared" si="63"/>
        <v>0</v>
      </c>
      <c r="O178" s="679">
        <f t="shared" si="59"/>
        <v>0</v>
      </c>
      <c r="P178" s="680" t="e">
        <f t="shared" si="64"/>
        <v>#DIV/0!</v>
      </c>
      <c r="Q178" s="628">
        <v>0</v>
      </c>
    </row>
    <row r="179" spans="2:17" hidden="1" outlineLevel="2">
      <c r="B179" s="678">
        <f t="shared" si="62"/>
        <v>0</v>
      </c>
      <c r="C179" s="679">
        <f t="shared" si="63"/>
        <v>0</v>
      </c>
      <c r="D179" s="679">
        <f t="shared" si="63"/>
        <v>0</v>
      </c>
      <c r="E179" s="679">
        <f t="shared" si="63"/>
        <v>0</v>
      </c>
      <c r="F179" s="679">
        <f t="shared" si="63"/>
        <v>0</v>
      </c>
      <c r="G179" s="679">
        <f t="shared" si="63"/>
        <v>0</v>
      </c>
      <c r="H179" s="679">
        <f t="shared" si="63"/>
        <v>0</v>
      </c>
      <c r="I179" s="679">
        <f t="shared" si="63"/>
        <v>0</v>
      </c>
      <c r="J179" s="679">
        <f t="shared" si="63"/>
        <v>0</v>
      </c>
      <c r="K179" s="679">
        <f t="shared" si="63"/>
        <v>0</v>
      </c>
      <c r="L179" s="679">
        <f t="shared" si="63"/>
        <v>0</v>
      </c>
      <c r="M179" s="679">
        <f t="shared" si="63"/>
        <v>0</v>
      </c>
      <c r="N179" s="679">
        <f t="shared" si="63"/>
        <v>0</v>
      </c>
      <c r="O179" s="679">
        <f t="shared" si="59"/>
        <v>0</v>
      </c>
      <c r="P179" s="680" t="e">
        <f t="shared" si="64"/>
        <v>#DIV/0!</v>
      </c>
      <c r="Q179" s="628">
        <v>0</v>
      </c>
    </row>
    <row r="180" spans="2:17" hidden="1" outlineLevel="2">
      <c r="B180" s="678">
        <f t="shared" si="62"/>
        <v>0</v>
      </c>
      <c r="C180" s="679">
        <f t="shared" ref="C180:N181" si="65">C79*O79</f>
        <v>0</v>
      </c>
      <c r="D180" s="679">
        <f t="shared" si="65"/>
        <v>0</v>
      </c>
      <c r="E180" s="679">
        <f t="shared" si="65"/>
        <v>0</v>
      </c>
      <c r="F180" s="679">
        <f t="shared" si="65"/>
        <v>0</v>
      </c>
      <c r="G180" s="679">
        <f t="shared" si="65"/>
        <v>0</v>
      </c>
      <c r="H180" s="679">
        <f t="shared" si="65"/>
        <v>0</v>
      </c>
      <c r="I180" s="679">
        <f t="shared" si="65"/>
        <v>0</v>
      </c>
      <c r="J180" s="679">
        <f t="shared" si="65"/>
        <v>0</v>
      </c>
      <c r="K180" s="679">
        <f t="shared" si="65"/>
        <v>0</v>
      </c>
      <c r="L180" s="679">
        <f t="shared" si="65"/>
        <v>0</v>
      </c>
      <c r="M180" s="679">
        <f t="shared" si="65"/>
        <v>0</v>
      </c>
      <c r="N180" s="679">
        <v>0</v>
      </c>
      <c r="O180" s="679">
        <f t="shared" si="59"/>
        <v>0</v>
      </c>
      <c r="P180" s="680" t="e">
        <f t="shared" si="64"/>
        <v>#DIV/0!</v>
      </c>
      <c r="Q180" s="628">
        <v>0</v>
      </c>
    </row>
    <row r="181" spans="2:17" ht="13.5" hidden="1" outlineLevel="2" thickBot="1">
      <c r="B181" s="678">
        <f t="shared" si="62"/>
        <v>0</v>
      </c>
      <c r="C181" s="683">
        <f t="shared" si="65"/>
        <v>0</v>
      </c>
      <c r="D181" s="683">
        <f t="shared" si="65"/>
        <v>0</v>
      </c>
      <c r="E181" s="683">
        <f t="shared" si="65"/>
        <v>0</v>
      </c>
      <c r="F181" s="683">
        <f t="shared" si="65"/>
        <v>0</v>
      </c>
      <c r="G181" s="683">
        <f t="shared" si="65"/>
        <v>0</v>
      </c>
      <c r="H181" s="683">
        <f t="shared" si="65"/>
        <v>0</v>
      </c>
      <c r="I181" s="683">
        <f t="shared" si="65"/>
        <v>0</v>
      </c>
      <c r="J181" s="683">
        <f t="shared" si="65"/>
        <v>0</v>
      </c>
      <c r="K181" s="683">
        <f t="shared" si="65"/>
        <v>0</v>
      </c>
      <c r="L181" s="683">
        <f t="shared" si="65"/>
        <v>0</v>
      </c>
      <c r="M181" s="683">
        <f t="shared" si="65"/>
        <v>0</v>
      </c>
      <c r="N181" s="683">
        <f t="shared" si="65"/>
        <v>0</v>
      </c>
      <c r="O181" s="679">
        <f t="shared" si="59"/>
        <v>0</v>
      </c>
      <c r="P181" s="680" t="e">
        <f>O181/SUM(C80:N80)</f>
        <v>#DIV/0!</v>
      </c>
      <c r="Q181" s="628">
        <v>0</v>
      </c>
    </row>
    <row r="182" spans="2:17" hidden="1" outlineLevel="1">
      <c r="B182" s="678" t="s">
        <v>504</v>
      </c>
      <c r="C182" s="684">
        <f>IF(C220=0,0,C220/C118)</f>
        <v>0</v>
      </c>
      <c r="D182" s="684">
        <f t="shared" ref="D182:N182" si="66">IF(D220=0,0,D220/D118)</f>
        <v>0</v>
      </c>
      <c r="E182" s="684">
        <f t="shared" si="66"/>
        <v>0</v>
      </c>
      <c r="F182" s="684">
        <f t="shared" si="66"/>
        <v>0</v>
      </c>
      <c r="G182" s="684">
        <f t="shared" si="66"/>
        <v>0</v>
      </c>
      <c r="H182" s="684">
        <f t="shared" si="66"/>
        <v>0</v>
      </c>
      <c r="I182" s="684">
        <f t="shared" si="66"/>
        <v>0</v>
      </c>
      <c r="J182" s="684">
        <f t="shared" si="66"/>
        <v>0</v>
      </c>
      <c r="K182" s="684">
        <f t="shared" si="66"/>
        <v>0</v>
      </c>
      <c r="L182" s="684">
        <f t="shared" si="66"/>
        <v>0</v>
      </c>
      <c r="M182" s="684">
        <f t="shared" si="66"/>
        <v>0</v>
      </c>
      <c r="N182" s="684">
        <f t="shared" si="66"/>
        <v>0</v>
      </c>
      <c r="O182" s="679">
        <f>SUM(O122:O181)</f>
        <v>0</v>
      </c>
      <c r="P182" s="680">
        <f>O182/SUM(C118:N118)</f>
        <v>0</v>
      </c>
    </row>
    <row r="183" spans="2:17" hidden="1" outlineLevel="1">
      <c r="B183" s="685" t="str">
        <f t="shared" ref="B183:B217" si="67">B81</f>
        <v>PEAKING</v>
      </c>
      <c r="C183" s="686"/>
      <c r="D183" s="686"/>
      <c r="E183" s="686"/>
      <c r="F183" s="686"/>
      <c r="G183" s="686"/>
      <c r="H183" s="686"/>
      <c r="I183" s="686"/>
      <c r="J183" s="686"/>
      <c r="K183" s="686"/>
      <c r="L183" s="686"/>
      <c r="M183" s="686"/>
      <c r="N183" s="686"/>
      <c r="O183" s="679">
        <f t="shared" ref="O183:O218" si="68">SUM(C183:N183)</f>
        <v>0</v>
      </c>
      <c r="P183" s="680" t="e">
        <f t="shared" ref="P183:P221" si="69">O183/SUM(C81:N81)</f>
        <v>#DIV/0!</v>
      </c>
    </row>
    <row r="184" spans="2:17" hidden="1" outlineLevel="1">
      <c r="B184" s="685">
        <f t="shared" si="67"/>
        <v>0</v>
      </c>
      <c r="C184" s="686"/>
      <c r="D184" s="686"/>
      <c r="E184" s="686"/>
      <c r="F184" s="686"/>
      <c r="G184" s="686"/>
      <c r="H184" s="686"/>
      <c r="I184" s="686"/>
      <c r="J184" s="686"/>
      <c r="K184" s="686"/>
      <c r="L184" s="686"/>
      <c r="M184" s="686"/>
      <c r="N184" s="686"/>
      <c r="O184" s="679">
        <f t="shared" si="68"/>
        <v>0</v>
      </c>
      <c r="P184" s="680" t="e">
        <f t="shared" si="69"/>
        <v>#DIV/0!</v>
      </c>
    </row>
    <row r="185" spans="2:17" hidden="1" outlineLevel="1">
      <c r="B185" s="685">
        <f t="shared" si="67"/>
        <v>0</v>
      </c>
      <c r="C185" s="686"/>
      <c r="D185" s="686"/>
      <c r="E185" s="686"/>
      <c r="F185" s="686"/>
      <c r="G185" s="686"/>
      <c r="H185" s="686"/>
      <c r="I185" s="686"/>
      <c r="J185" s="686"/>
      <c r="K185" s="686"/>
      <c r="L185" s="686"/>
      <c r="M185" s="686"/>
      <c r="N185" s="686"/>
      <c r="O185" s="679">
        <f t="shared" si="68"/>
        <v>0</v>
      </c>
      <c r="P185" s="680" t="e">
        <f t="shared" si="69"/>
        <v>#DIV/0!</v>
      </c>
    </row>
    <row r="186" spans="2:17" hidden="1" outlineLevel="1">
      <c r="B186" s="685">
        <f t="shared" si="67"/>
        <v>0</v>
      </c>
      <c r="C186" s="686"/>
      <c r="D186" s="686"/>
      <c r="E186" s="686"/>
      <c r="F186" s="686"/>
      <c r="G186" s="686"/>
      <c r="H186" s="686"/>
      <c r="I186" s="686"/>
      <c r="J186" s="686"/>
      <c r="K186" s="686"/>
      <c r="L186" s="686"/>
      <c r="M186" s="686"/>
      <c r="N186" s="686"/>
      <c r="O186" s="679">
        <f t="shared" si="68"/>
        <v>0</v>
      </c>
      <c r="P186" s="680" t="e">
        <f t="shared" si="69"/>
        <v>#DIV/0!</v>
      </c>
    </row>
    <row r="187" spans="2:17" hidden="1" outlineLevel="1">
      <c r="B187" s="685">
        <f t="shared" si="67"/>
        <v>0</v>
      </c>
      <c r="C187" s="686"/>
      <c r="D187" s="686"/>
      <c r="E187" s="686"/>
      <c r="F187" s="686"/>
      <c r="G187" s="686"/>
      <c r="H187" s="686"/>
      <c r="I187" s="686"/>
      <c r="J187" s="686"/>
      <c r="K187" s="686"/>
      <c r="L187" s="686"/>
      <c r="M187" s="686"/>
      <c r="N187" s="686"/>
      <c r="O187" s="679">
        <f t="shared" si="68"/>
        <v>0</v>
      </c>
      <c r="P187" s="680" t="e">
        <f t="shared" si="69"/>
        <v>#DIV/0!</v>
      </c>
    </row>
    <row r="188" spans="2:17" hidden="1" outlineLevel="1">
      <c r="B188" s="685">
        <f t="shared" si="67"/>
        <v>0</v>
      </c>
      <c r="C188" s="686"/>
      <c r="D188" s="686"/>
      <c r="E188" s="686"/>
      <c r="F188" s="686"/>
      <c r="G188" s="686"/>
      <c r="H188" s="686"/>
      <c r="I188" s="686"/>
      <c r="J188" s="686"/>
      <c r="K188" s="686"/>
      <c r="L188" s="686"/>
      <c r="M188" s="686"/>
      <c r="N188" s="686"/>
      <c r="O188" s="679">
        <f t="shared" si="68"/>
        <v>0</v>
      </c>
      <c r="P188" s="680" t="e">
        <f t="shared" si="69"/>
        <v>#DIV/0!</v>
      </c>
    </row>
    <row r="189" spans="2:17" hidden="1" outlineLevel="1">
      <c r="B189" s="685">
        <f t="shared" si="67"/>
        <v>0</v>
      </c>
      <c r="C189" s="686"/>
      <c r="D189" s="686"/>
      <c r="E189" s="686"/>
      <c r="F189" s="686"/>
      <c r="G189" s="686"/>
      <c r="H189" s="686"/>
      <c r="I189" s="686"/>
      <c r="J189" s="686"/>
      <c r="K189" s="686"/>
      <c r="L189" s="686"/>
      <c r="M189" s="686"/>
      <c r="N189" s="686"/>
      <c r="O189" s="679">
        <f t="shared" si="68"/>
        <v>0</v>
      </c>
      <c r="P189" s="680" t="e">
        <f t="shared" si="69"/>
        <v>#DIV/0!</v>
      </c>
    </row>
    <row r="190" spans="2:17" hidden="1" outlineLevel="1">
      <c r="B190" s="685">
        <f t="shared" si="67"/>
        <v>0</v>
      </c>
      <c r="C190" s="686"/>
      <c r="D190" s="686"/>
      <c r="E190" s="686"/>
      <c r="F190" s="686"/>
      <c r="G190" s="686"/>
      <c r="H190" s="686"/>
      <c r="I190" s="686"/>
      <c r="J190" s="686"/>
      <c r="K190" s="686"/>
      <c r="L190" s="686"/>
      <c r="M190" s="686"/>
      <c r="N190" s="686"/>
      <c r="O190" s="679">
        <f t="shared" si="68"/>
        <v>0</v>
      </c>
      <c r="P190" s="680" t="e">
        <f t="shared" si="69"/>
        <v>#DIV/0!</v>
      </c>
    </row>
    <row r="191" spans="2:17" hidden="1" outlineLevel="1">
      <c r="B191" s="685">
        <f t="shared" si="67"/>
        <v>0</v>
      </c>
      <c r="C191" s="686"/>
      <c r="D191" s="686"/>
      <c r="E191" s="686"/>
      <c r="F191" s="686"/>
      <c r="G191" s="686"/>
      <c r="H191" s="686"/>
      <c r="I191" s="686"/>
      <c r="J191" s="686"/>
      <c r="K191" s="686"/>
      <c r="L191" s="686"/>
      <c r="M191" s="686"/>
      <c r="N191" s="686"/>
      <c r="O191" s="679">
        <f t="shared" ref="O191:O198" si="70">SUM(C191:N191)</f>
        <v>0</v>
      </c>
      <c r="P191" s="680" t="e">
        <f t="shared" si="69"/>
        <v>#DIV/0!</v>
      </c>
    </row>
    <row r="192" spans="2:17" hidden="1" outlineLevel="1">
      <c r="B192" s="685">
        <f t="shared" si="67"/>
        <v>0</v>
      </c>
      <c r="C192" s="686"/>
      <c r="D192" s="686"/>
      <c r="E192" s="686"/>
      <c r="F192" s="686"/>
      <c r="G192" s="686"/>
      <c r="H192" s="686"/>
      <c r="I192" s="686"/>
      <c r="J192" s="686"/>
      <c r="K192" s="686"/>
      <c r="L192" s="686"/>
      <c r="M192" s="686"/>
      <c r="N192" s="686"/>
      <c r="O192" s="679">
        <f t="shared" si="70"/>
        <v>0</v>
      </c>
      <c r="P192" s="680" t="e">
        <f t="shared" si="69"/>
        <v>#DIV/0!</v>
      </c>
    </row>
    <row r="193" spans="2:16" hidden="1" outlineLevel="1">
      <c r="B193" s="685">
        <f t="shared" si="67"/>
        <v>0</v>
      </c>
      <c r="C193" s="686"/>
      <c r="D193" s="686"/>
      <c r="E193" s="686"/>
      <c r="F193" s="686"/>
      <c r="G193" s="686"/>
      <c r="H193" s="686"/>
      <c r="I193" s="686"/>
      <c r="J193" s="686"/>
      <c r="K193" s="686"/>
      <c r="L193" s="686"/>
      <c r="M193" s="686"/>
      <c r="N193" s="686"/>
      <c r="O193" s="679">
        <f t="shared" si="70"/>
        <v>0</v>
      </c>
      <c r="P193" s="680" t="e">
        <f t="shared" si="69"/>
        <v>#DIV/0!</v>
      </c>
    </row>
    <row r="194" spans="2:16" hidden="1" outlineLevel="1">
      <c r="B194" s="685">
        <f t="shared" si="67"/>
        <v>0</v>
      </c>
      <c r="C194" s="686"/>
      <c r="D194" s="686"/>
      <c r="E194" s="686"/>
      <c r="F194" s="686"/>
      <c r="G194" s="686"/>
      <c r="H194" s="686"/>
      <c r="I194" s="686"/>
      <c r="J194" s="686"/>
      <c r="K194" s="686"/>
      <c r="L194" s="686"/>
      <c r="M194" s="686"/>
      <c r="N194" s="686"/>
      <c r="O194" s="679">
        <f t="shared" si="70"/>
        <v>0</v>
      </c>
      <c r="P194" s="680" t="e">
        <f t="shared" si="69"/>
        <v>#DIV/0!</v>
      </c>
    </row>
    <row r="195" spans="2:16" hidden="1" outlineLevel="1">
      <c r="B195" s="685">
        <f t="shared" si="67"/>
        <v>0</v>
      </c>
      <c r="C195" s="686"/>
      <c r="D195" s="686"/>
      <c r="E195" s="686"/>
      <c r="F195" s="686"/>
      <c r="G195" s="686"/>
      <c r="H195" s="686"/>
      <c r="I195" s="686"/>
      <c r="J195" s="686"/>
      <c r="K195" s="686"/>
      <c r="L195" s="686"/>
      <c r="M195" s="686"/>
      <c r="N195" s="686"/>
      <c r="O195" s="679">
        <f t="shared" si="70"/>
        <v>0</v>
      </c>
      <c r="P195" s="680" t="e">
        <f t="shared" si="69"/>
        <v>#DIV/0!</v>
      </c>
    </row>
    <row r="196" spans="2:16" hidden="1" outlineLevel="1">
      <c r="B196" s="685">
        <f t="shared" si="67"/>
        <v>0</v>
      </c>
      <c r="C196" s="686"/>
      <c r="D196" s="686"/>
      <c r="E196" s="686"/>
      <c r="F196" s="686"/>
      <c r="G196" s="686"/>
      <c r="H196" s="686"/>
      <c r="I196" s="686"/>
      <c r="J196" s="686"/>
      <c r="K196" s="686"/>
      <c r="L196" s="686"/>
      <c r="M196" s="686"/>
      <c r="N196" s="686"/>
      <c r="O196" s="679">
        <f t="shared" si="70"/>
        <v>0</v>
      </c>
      <c r="P196" s="680" t="e">
        <f t="shared" si="69"/>
        <v>#DIV/0!</v>
      </c>
    </row>
    <row r="197" spans="2:16" hidden="1" outlineLevel="1">
      <c r="B197" s="685">
        <f t="shared" si="67"/>
        <v>0</v>
      </c>
      <c r="C197" s="686"/>
      <c r="D197" s="686"/>
      <c r="E197" s="686"/>
      <c r="F197" s="686"/>
      <c r="G197" s="686"/>
      <c r="H197" s="686"/>
      <c r="I197" s="686"/>
      <c r="J197" s="686"/>
      <c r="K197" s="686"/>
      <c r="L197" s="686"/>
      <c r="M197" s="686"/>
      <c r="N197" s="686"/>
      <c r="O197" s="679">
        <f t="shared" si="70"/>
        <v>0</v>
      </c>
      <c r="P197" s="680" t="e">
        <f t="shared" si="69"/>
        <v>#DIV/0!</v>
      </c>
    </row>
    <row r="198" spans="2:16" hidden="1" outlineLevel="1">
      <c r="B198" s="685">
        <f t="shared" si="67"/>
        <v>0</v>
      </c>
      <c r="C198" s="686"/>
      <c r="D198" s="686"/>
      <c r="E198" s="686"/>
      <c r="F198" s="686"/>
      <c r="G198" s="686"/>
      <c r="H198" s="686"/>
      <c r="I198" s="686"/>
      <c r="J198" s="686"/>
      <c r="K198" s="686"/>
      <c r="L198" s="686"/>
      <c r="M198" s="686"/>
      <c r="N198" s="686"/>
      <c r="O198" s="679">
        <f t="shared" si="70"/>
        <v>0</v>
      </c>
      <c r="P198" s="680" t="e">
        <f t="shared" si="69"/>
        <v>#DIV/0!</v>
      </c>
    </row>
    <row r="199" spans="2:16" hidden="1" outlineLevel="1">
      <c r="B199" s="685">
        <f t="shared" si="67"/>
        <v>0</v>
      </c>
      <c r="C199" s="686"/>
      <c r="D199" s="686"/>
      <c r="E199" s="686"/>
      <c r="F199" s="686"/>
      <c r="G199" s="686"/>
      <c r="H199" s="686"/>
      <c r="I199" s="686"/>
      <c r="J199" s="686"/>
      <c r="K199" s="686"/>
      <c r="L199" s="686"/>
      <c r="M199" s="686"/>
      <c r="N199" s="686"/>
      <c r="O199" s="679">
        <f t="shared" si="68"/>
        <v>0</v>
      </c>
      <c r="P199" s="680" t="e">
        <f t="shared" si="69"/>
        <v>#DIV/0!</v>
      </c>
    </row>
    <row r="200" spans="2:16" hidden="1" outlineLevel="1">
      <c r="B200" s="685">
        <f t="shared" si="67"/>
        <v>0</v>
      </c>
      <c r="C200" s="686"/>
      <c r="D200" s="686"/>
      <c r="E200" s="686"/>
      <c r="F200" s="686"/>
      <c r="G200" s="686"/>
      <c r="H200" s="686"/>
      <c r="I200" s="686"/>
      <c r="J200" s="686"/>
      <c r="K200" s="686"/>
      <c r="L200" s="686"/>
      <c r="M200" s="686"/>
      <c r="N200" s="686"/>
      <c r="O200" s="679">
        <f t="shared" si="68"/>
        <v>0</v>
      </c>
      <c r="P200" s="680" t="e">
        <f t="shared" si="69"/>
        <v>#DIV/0!</v>
      </c>
    </row>
    <row r="201" spans="2:16" hidden="1" outlineLevel="1">
      <c r="B201" s="685">
        <f t="shared" si="67"/>
        <v>0</v>
      </c>
      <c r="C201" s="686"/>
      <c r="D201" s="686"/>
      <c r="E201" s="686"/>
      <c r="F201" s="686"/>
      <c r="G201" s="686"/>
      <c r="H201" s="686"/>
      <c r="I201" s="686"/>
      <c r="J201" s="686"/>
      <c r="K201" s="686"/>
      <c r="L201" s="686"/>
      <c r="M201" s="686"/>
      <c r="N201" s="686"/>
      <c r="O201" s="679">
        <f>SUM(C201:N201)</f>
        <v>0</v>
      </c>
      <c r="P201" s="680" t="e">
        <f t="shared" si="69"/>
        <v>#DIV/0!</v>
      </c>
    </row>
    <row r="202" spans="2:16" hidden="1" outlineLevel="1">
      <c r="B202" s="685">
        <f t="shared" si="67"/>
        <v>0</v>
      </c>
      <c r="C202" s="686"/>
      <c r="D202" s="686"/>
      <c r="E202" s="686"/>
      <c r="F202" s="686"/>
      <c r="G202" s="686"/>
      <c r="H202" s="686"/>
      <c r="I202" s="686"/>
      <c r="J202" s="686"/>
      <c r="K202" s="686"/>
      <c r="L202" s="686"/>
      <c r="M202" s="686"/>
      <c r="N202" s="686"/>
      <c r="O202" s="679">
        <f>SUM(C202:N202)</f>
        <v>0</v>
      </c>
      <c r="P202" s="680" t="e">
        <f t="shared" si="69"/>
        <v>#DIV/0!</v>
      </c>
    </row>
    <row r="203" spans="2:16" hidden="1" outlineLevel="1">
      <c r="B203" s="685">
        <f t="shared" si="67"/>
        <v>0</v>
      </c>
      <c r="C203" s="686"/>
      <c r="D203" s="686"/>
      <c r="E203" s="686"/>
      <c r="F203" s="686"/>
      <c r="G203" s="686"/>
      <c r="H203" s="686"/>
      <c r="I203" s="686"/>
      <c r="J203" s="686"/>
      <c r="K203" s="686"/>
      <c r="L203" s="686"/>
      <c r="M203" s="686"/>
      <c r="N203" s="686"/>
      <c r="O203" s="679">
        <f t="shared" si="68"/>
        <v>0</v>
      </c>
      <c r="P203" s="680" t="e">
        <f t="shared" si="69"/>
        <v>#DIV/0!</v>
      </c>
    </row>
    <row r="204" spans="2:16" hidden="1" outlineLevel="1">
      <c r="B204" s="685">
        <f t="shared" si="67"/>
        <v>0</v>
      </c>
      <c r="C204" s="686"/>
      <c r="D204" s="686"/>
      <c r="E204" s="686"/>
      <c r="F204" s="686"/>
      <c r="G204" s="686"/>
      <c r="H204" s="686"/>
      <c r="I204" s="686"/>
      <c r="J204" s="686"/>
      <c r="K204" s="686"/>
      <c r="L204" s="686"/>
      <c r="M204" s="686"/>
      <c r="N204" s="686"/>
      <c r="O204" s="679">
        <f t="shared" si="68"/>
        <v>0</v>
      </c>
      <c r="P204" s="680" t="e">
        <f t="shared" si="69"/>
        <v>#DIV/0!</v>
      </c>
    </row>
    <row r="205" spans="2:16" hidden="1" outlineLevel="1">
      <c r="B205" s="685">
        <f t="shared" si="67"/>
        <v>0</v>
      </c>
      <c r="C205" s="686"/>
      <c r="D205" s="686"/>
      <c r="E205" s="686"/>
      <c r="F205" s="686"/>
      <c r="G205" s="686"/>
      <c r="H205" s="686"/>
      <c r="I205" s="686"/>
      <c r="J205" s="686"/>
      <c r="K205" s="686"/>
      <c r="L205" s="686"/>
      <c r="M205" s="686"/>
      <c r="N205" s="686"/>
      <c r="O205" s="679">
        <f t="shared" si="68"/>
        <v>0</v>
      </c>
      <c r="P205" s="680" t="e">
        <f t="shared" si="69"/>
        <v>#DIV/0!</v>
      </c>
    </row>
    <row r="206" spans="2:16" hidden="1" outlineLevel="1">
      <c r="B206" s="685">
        <f t="shared" si="67"/>
        <v>0</v>
      </c>
      <c r="C206" s="686"/>
      <c r="D206" s="686"/>
      <c r="E206" s="686"/>
      <c r="F206" s="686"/>
      <c r="G206" s="686"/>
      <c r="H206" s="686"/>
      <c r="I206" s="686"/>
      <c r="J206" s="686"/>
      <c r="K206" s="686"/>
      <c r="L206" s="686"/>
      <c r="M206" s="686"/>
      <c r="N206" s="686"/>
      <c r="O206" s="679">
        <f t="shared" si="68"/>
        <v>0</v>
      </c>
      <c r="P206" s="680" t="e">
        <f t="shared" si="69"/>
        <v>#DIV/0!</v>
      </c>
    </row>
    <row r="207" spans="2:16" hidden="1" outlineLevel="1">
      <c r="B207" s="685">
        <f t="shared" si="67"/>
        <v>0</v>
      </c>
      <c r="C207" s="686"/>
      <c r="D207" s="686"/>
      <c r="E207" s="686"/>
      <c r="F207" s="686"/>
      <c r="G207" s="686"/>
      <c r="H207" s="686"/>
      <c r="I207" s="686"/>
      <c r="J207" s="686"/>
      <c r="K207" s="686"/>
      <c r="L207" s="686"/>
      <c r="M207" s="686"/>
      <c r="N207" s="686"/>
      <c r="O207" s="679">
        <f t="shared" si="68"/>
        <v>0</v>
      </c>
      <c r="P207" s="680" t="e">
        <f t="shared" si="69"/>
        <v>#DIV/0!</v>
      </c>
    </row>
    <row r="208" spans="2:16" hidden="1" outlineLevel="1">
      <c r="B208" s="685">
        <f t="shared" si="67"/>
        <v>0</v>
      </c>
      <c r="C208" s="686"/>
      <c r="D208" s="686"/>
      <c r="E208" s="686"/>
      <c r="F208" s="686"/>
      <c r="G208" s="686"/>
      <c r="H208" s="686"/>
      <c r="I208" s="686"/>
      <c r="J208" s="686"/>
      <c r="K208" s="686"/>
      <c r="L208" s="686"/>
      <c r="M208" s="686"/>
      <c r="N208" s="686"/>
      <c r="O208" s="679">
        <f t="shared" si="68"/>
        <v>0</v>
      </c>
      <c r="P208" s="680" t="e">
        <f t="shared" si="69"/>
        <v>#DIV/0!</v>
      </c>
    </row>
    <row r="209" spans="2:28" hidden="1" outlineLevel="1">
      <c r="B209" s="685">
        <f t="shared" si="67"/>
        <v>0</v>
      </c>
      <c r="C209" s="686"/>
      <c r="D209" s="686"/>
      <c r="E209" s="686"/>
      <c r="F209" s="686"/>
      <c r="G209" s="686"/>
      <c r="H209" s="686"/>
      <c r="I209" s="686"/>
      <c r="J209" s="686"/>
      <c r="K209" s="686"/>
      <c r="L209" s="686"/>
      <c r="M209" s="686"/>
      <c r="N209" s="686"/>
      <c r="O209" s="679">
        <f t="shared" si="68"/>
        <v>0</v>
      </c>
      <c r="P209" s="680" t="e">
        <f t="shared" si="69"/>
        <v>#DIV/0!</v>
      </c>
    </row>
    <row r="210" spans="2:28" hidden="1" outlineLevel="1">
      <c r="B210" s="685">
        <f t="shared" si="67"/>
        <v>0</v>
      </c>
      <c r="C210" s="686"/>
      <c r="D210" s="686"/>
      <c r="E210" s="686"/>
      <c r="F210" s="686"/>
      <c r="G210" s="686"/>
      <c r="H210" s="686"/>
      <c r="I210" s="686"/>
      <c r="J210" s="686"/>
      <c r="K210" s="686"/>
      <c r="L210" s="686"/>
      <c r="M210" s="686"/>
      <c r="N210" s="686"/>
      <c r="O210" s="679">
        <f t="shared" si="68"/>
        <v>0</v>
      </c>
      <c r="P210" s="680" t="e">
        <f t="shared" si="69"/>
        <v>#DIV/0!</v>
      </c>
    </row>
    <row r="211" spans="2:28" hidden="1" outlineLevel="1">
      <c r="B211" s="685">
        <f t="shared" si="67"/>
        <v>0</v>
      </c>
      <c r="C211" s="686"/>
      <c r="D211" s="686"/>
      <c r="E211" s="686"/>
      <c r="F211" s="686"/>
      <c r="G211" s="686"/>
      <c r="H211" s="686"/>
      <c r="I211" s="686"/>
      <c r="J211" s="686"/>
      <c r="K211" s="686"/>
      <c r="L211" s="686"/>
      <c r="M211" s="686"/>
      <c r="N211" s="686"/>
      <c r="O211" s="679">
        <f t="shared" si="68"/>
        <v>0</v>
      </c>
      <c r="P211" s="680" t="e">
        <f t="shared" si="69"/>
        <v>#DIV/0!</v>
      </c>
    </row>
    <row r="212" spans="2:28" hidden="1" outlineLevel="1">
      <c r="B212" s="685">
        <f t="shared" si="67"/>
        <v>0</v>
      </c>
      <c r="C212" s="686"/>
      <c r="D212" s="686"/>
      <c r="E212" s="686"/>
      <c r="F212" s="686"/>
      <c r="G212" s="686"/>
      <c r="H212" s="686"/>
      <c r="I212" s="686"/>
      <c r="J212" s="686"/>
      <c r="K212" s="686"/>
      <c r="L212" s="686"/>
      <c r="M212" s="686"/>
      <c r="N212" s="686"/>
      <c r="O212" s="679">
        <f t="shared" si="68"/>
        <v>0</v>
      </c>
      <c r="P212" s="680" t="e">
        <f t="shared" si="69"/>
        <v>#DIV/0!</v>
      </c>
    </row>
    <row r="213" spans="2:28" hidden="1" outlineLevel="1">
      <c r="B213" s="685">
        <f t="shared" si="67"/>
        <v>0</v>
      </c>
      <c r="C213" s="686"/>
      <c r="D213" s="686"/>
      <c r="E213" s="686"/>
      <c r="F213" s="686"/>
      <c r="G213" s="686"/>
      <c r="H213" s="686"/>
      <c r="I213" s="686"/>
      <c r="J213" s="686"/>
      <c r="K213" s="686"/>
      <c r="L213" s="686"/>
      <c r="M213" s="686"/>
      <c r="N213" s="686"/>
      <c r="O213" s="679">
        <f t="shared" si="68"/>
        <v>0</v>
      </c>
      <c r="P213" s="680" t="e">
        <f t="shared" si="69"/>
        <v>#DIV/0!</v>
      </c>
    </row>
    <row r="214" spans="2:28" hidden="1" outlineLevel="1">
      <c r="B214" s="685">
        <f t="shared" si="67"/>
        <v>0</v>
      </c>
      <c r="C214" s="686"/>
      <c r="D214" s="686"/>
      <c r="E214" s="686"/>
      <c r="F214" s="686"/>
      <c r="G214" s="686"/>
      <c r="H214" s="686"/>
      <c r="I214" s="686"/>
      <c r="J214" s="686"/>
      <c r="K214" s="686"/>
      <c r="L214" s="686"/>
      <c r="M214" s="686"/>
      <c r="N214" s="686"/>
      <c r="O214" s="679">
        <f t="shared" si="68"/>
        <v>0</v>
      </c>
      <c r="P214" s="680" t="e">
        <f t="shared" si="69"/>
        <v>#DIV/0!</v>
      </c>
    </row>
    <row r="215" spans="2:28" hidden="1" outlineLevel="1">
      <c r="B215" s="685">
        <f t="shared" si="67"/>
        <v>0</v>
      </c>
      <c r="C215" s="686"/>
      <c r="D215" s="686"/>
      <c r="E215" s="686"/>
      <c r="F215" s="686"/>
      <c r="G215" s="686"/>
      <c r="H215" s="686"/>
      <c r="I215" s="686"/>
      <c r="J215" s="686"/>
      <c r="K215" s="686"/>
      <c r="L215" s="686"/>
      <c r="M215" s="686"/>
      <c r="N215" s="686"/>
      <c r="O215" s="679">
        <f t="shared" si="68"/>
        <v>0</v>
      </c>
      <c r="P215" s="680" t="e">
        <f t="shared" si="69"/>
        <v>#DIV/0!</v>
      </c>
    </row>
    <row r="216" spans="2:28" hidden="1" outlineLevel="1">
      <c r="B216" s="685" t="str">
        <f t="shared" si="67"/>
        <v>Peaking purchases</v>
      </c>
      <c r="C216" s="686"/>
      <c r="D216" s="686"/>
      <c r="E216" s="686"/>
      <c r="F216" s="686"/>
      <c r="G216" s="686"/>
      <c r="H216" s="686"/>
      <c r="I216" s="686"/>
      <c r="J216" s="686"/>
      <c r="K216" s="686"/>
      <c r="L216" s="686"/>
      <c r="M216" s="686"/>
      <c r="N216" s="686"/>
      <c r="O216" s="679">
        <f t="shared" si="68"/>
        <v>0</v>
      </c>
      <c r="P216" s="680" t="e">
        <f t="shared" si="69"/>
        <v>#DIV/0!</v>
      </c>
    </row>
    <row r="217" spans="2:28" hidden="1" outlineLevel="1">
      <c r="B217" s="685">
        <f t="shared" si="67"/>
        <v>0</v>
      </c>
      <c r="C217" s="686"/>
      <c r="D217" s="686"/>
      <c r="E217" s="686"/>
      <c r="F217" s="686"/>
      <c r="G217" s="686"/>
      <c r="H217" s="686"/>
      <c r="I217" s="686"/>
      <c r="J217" s="686"/>
      <c r="K217" s="686"/>
      <c r="L217" s="686"/>
      <c r="M217" s="686"/>
      <c r="N217" s="686"/>
      <c r="O217" s="679">
        <f t="shared" si="68"/>
        <v>0</v>
      </c>
      <c r="P217" s="680" t="e">
        <f t="shared" si="69"/>
        <v>#DIV/0!</v>
      </c>
    </row>
    <row r="218" spans="2:28" hidden="1" outlineLevel="1">
      <c r="B218" s="685" t="s">
        <v>505</v>
      </c>
      <c r="C218" s="686"/>
      <c r="D218" s="686"/>
      <c r="E218" s="686"/>
      <c r="F218" s="686"/>
      <c r="G218" s="686"/>
      <c r="H218" s="686"/>
      <c r="I218" s="686"/>
      <c r="J218" s="686"/>
      <c r="K218" s="686"/>
      <c r="L218" s="686"/>
      <c r="M218" s="686"/>
      <c r="N218" s="686"/>
      <c r="O218" s="679">
        <f t="shared" si="68"/>
        <v>0</v>
      </c>
      <c r="P218" s="680" t="e">
        <f t="shared" si="69"/>
        <v>#DIV/0!</v>
      </c>
    </row>
    <row r="219" spans="2:28" hidden="1" outlineLevel="1">
      <c r="B219" s="685" t="s">
        <v>504</v>
      </c>
      <c r="C219" s="687">
        <f>IF(C119=0,0,C221/C119)</f>
        <v>0</v>
      </c>
      <c r="D219" s="687">
        <f t="shared" ref="D219:N219" si="71">IF(D119=0,0,D221/D119)</f>
        <v>0</v>
      </c>
      <c r="E219" s="687">
        <f t="shared" si="71"/>
        <v>0</v>
      </c>
      <c r="F219" s="687">
        <f t="shared" si="71"/>
        <v>0</v>
      </c>
      <c r="G219" s="687">
        <f t="shared" si="71"/>
        <v>0</v>
      </c>
      <c r="H219" s="687">
        <f t="shared" si="71"/>
        <v>0</v>
      </c>
      <c r="I219" s="687">
        <f t="shared" si="71"/>
        <v>0</v>
      </c>
      <c r="J219" s="687">
        <f t="shared" si="71"/>
        <v>0</v>
      </c>
      <c r="K219" s="687">
        <f t="shared" si="71"/>
        <v>0</v>
      </c>
      <c r="L219" s="687">
        <f t="shared" si="71"/>
        <v>0</v>
      </c>
      <c r="M219" s="687">
        <f t="shared" si="71"/>
        <v>0</v>
      </c>
      <c r="N219" s="687">
        <f t="shared" si="71"/>
        <v>0</v>
      </c>
      <c r="O219" s="679"/>
      <c r="P219" s="680" t="e">
        <f t="shared" si="69"/>
        <v>#DIV/0!</v>
      </c>
      <c r="R219" s="646"/>
      <c r="S219" s="713"/>
    </row>
    <row r="220" spans="2:28" ht="15" collapsed="1">
      <c r="B220" s="676" t="s">
        <v>506</v>
      </c>
      <c r="C220" s="688">
        <f>SUM(C122:C181)</f>
        <v>0</v>
      </c>
      <c r="D220" s="688">
        <f t="shared" ref="D220:N220" si="72">SUM(D122:D181)</f>
        <v>0</v>
      </c>
      <c r="E220" s="688">
        <f t="shared" si="72"/>
        <v>0</v>
      </c>
      <c r="F220" s="688">
        <f t="shared" si="72"/>
        <v>0</v>
      </c>
      <c r="G220" s="688">
        <f t="shared" si="72"/>
        <v>0</v>
      </c>
      <c r="H220" s="688">
        <f t="shared" si="72"/>
        <v>0</v>
      </c>
      <c r="I220" s="688">
        <f t="shared" si="72"/>
        <v>0</v>
      </c>
      <c r="J220" s="688">
        <f t="shared" si="72"/>
        <v>0</v>
      </c>
      <c r="K220" s="688">
        <f t="shared" si="72"/>
        <v>0</v>
      </c>
      <c r="L220" s="688">
        <f t="shared" si="72"/>
        <v>0</v>
      </c>
      <c r="M220" s="688">
        <f t="shared" si="72"/>
        <v>0</v>
      </c>
      <c r="N220" s="688">
        <f t="shared" si="72"/>
        <v>0</v>
      </c>
      <c r="O220" s="688">
        <f>SUM(O122:O181)</f>
        <v>0</v>
      </c>
      <c r="P220" s="680">
        <f t="shared" si="69"/>
        <v>0</v>
      </c>
      <c r="Q220" s="652"/>
      <c r="S220" s="679"/>
      <c r="T220" s="689" t="e">
        <f>(C220+D220+E220)/(C118+D118+E118)</f>
        <v>#DIV/0!</v>
      </c>
      <c r="Z220" s="628" t="s">
        <v>507</v>
      </c>
    </row>
    <row r="221" spans="2:28" ht="15">
      <c r="B221" s="672" t="s">
        <v>508</v>
      </c>
      <c r="C221" s="690">
        <f>SUM(C183:C218)</f>
        <v>0</v>
      </c>
      <c r="D221" s="690">
        <f t="shared" ref="D221:N221" si="73">SUM(D183:D218)</f>
        <v>0</v>
      </c>
      <c r="E221" s="690">
        <f t="shared" si="73"/>
        <v>0</v>
      </c>
      <c r="F221" s="690">
        <f t="shared" si="73"/>
        <v>0</v>
      </c>
      <c r="G221" s="690">
        <f t="shared" si="73"/>
        <v>0</v>
      </c>
      <c r="H221" s="690">
        <f t="shared" si="73"/>
        <v>0</v>
      </c>
      <c r="I221" s="690">
        <f t="shared" si="73"/>
        <v>0</v>
      </c>
      <c r="J221" s="690">
        <f t="shared" si="73"/>
        <v>0</v>
      </c>
      <c r="K221" s="690">
        <f t="shared" si="73"/>
        <v>0</v>
      </c>
      <c r="L221" s="690">
        <f t="shared" si="73"/>
        <v>0</v>
      </c>
      <c r="M221" s="690">
        <f t="shared" si="73"/>
        <v>0</v>
      </c>
      <c r="N221" s="690">
        <f t="shared" si="73"/>
        <v>0</v>
      </c>
      <c r="O221" s="825">
        <f>SUM(O183:O218)</f>
        <v>0</v>
      </c>
      <c r="P221" s="680" t="e">
        <f t="shared" si="69"/>
        <v>#DIV/0!</v>
      </c>
      <c r="Q221" s="691">
        <f>SUM(C221:N221)</f>
        <v>0</v>
      </c>
      <c r="T221" s="628">
        <f>6.32891-6.31107</f>
        <v>1.7839999999999634E-2</v>
      </c>
    </row>
    <row r="222" spans="2:28">
      <c r="B222" s="628" t="s">
        <v>509</v>
      </c>
      <c r="C222" s="679">
        <f>C220+C221</f>
        <v>0</v>
      </c>
      <c r="D222" s="679">
        <f t="shared" ref="D222:N222" si="74">D220+D221</f>
        <v>0</v>
      </c>
      <c r="E222" s="679">
        <f t="shared" si="74"/>
        <v>0</v>
      </c>
      <c r="F222" s="679">
        <f t="shared" si="74"/>
        <v>0</v>
      </c>
      <c r="G222" s="679">
        <f t="shared" si="74"/>
        <v>0</v>
      </c>
      <c r="H222" s="679">
        <f t="shared" si="74"/>
        <v>0</v>
      </c>
      <c r="I222" s="679">
        <f t="shared" si="74"/>
        <v>0</v>
      </c>
      <c r="J222" s="679">
        <f t="shared" si="74"/>
        <v>0</v>
      </c>
      <c r="K222" s="679">
        <f t="shared" si="74"/>
        <v>0</v>
      </c>
      <c r="L222" s="679">
        <f t="shared" si="74"/>
        <v>0</v>
      </c>
      <c r="M222" s="679">
        <f t="shared" si="74"/>
        <v>0</v>
      </c>
      <c r="N222" s="679">
        <f t="shared" si="74"/>
        <v>0</v>
      </c>
      <c r="O222" s="825">
        <f>E8</f>
        <v>95684681</v>
      </c>
      <c r="P222" s="680">
        <f>O222/SUM(C118:N119)</f>
        <v>5.1637712358337833</v>
      </c>
      <c r="S222" s="628">
        <f>130191195-130190730</f>
        <v>465</v>
      </c>
    </row>
    <row r="223" spans="2:28">
      <c r="B223" s="628" t="s">
        <v>510</v>
      </c>
      <c r="O223" s="825">
        <f>E10</f>
        <v>0</v>
      </c>
    </row>
    <row r="224" spans="2:28" ht="15">
      <c r="B224" s="628" t="s">
        <v>367</v>
      </c>
      <c r="O224" s="728"/>
      <c r="Z224" s="628" t="s">
        <v>511</v>
      </c>
      <c r="AA224" s="628" t="s">
        <v>102</v>
      </c>
      <c r="AB224" s="628" t="s">
        <v>19</v>
      </c>
    </row>
    <row r="225" spans="2:29">
      <c r="B225" s="628" t="s">
        <v>512</v>
      </c>
      <c r="N225" s="824">
        <f>D8</f>
        <v>18530000</v>
      </c>
      <c r="O225" s="825">
        <f>O222+O223+O224</f>
        <v>95684681</v>
      </c>
      <c r="P225" s="695">
        <f>O225/N225</f>
        <v>5.1637712358337833</v>
      </c>
      <c r="Q225" s="628">
        <f>106206352-106207010</f>
        <v>-658</v>
      </c>
      <c r="Z225" s="628" t="s">
        <v>513</v>
      </c>
      <c r="AA225" s="651">
        <f>SUM(AA20:AA43)</f>
        <v>0</v>
      </c>
      <c r="AB225" s="730">
        <f>SUM(O122:O134)</f>
        <v>0</v>
      </c>
      <c r="AC225" s="714" t="e">
        <f>AB225/AA225</f>
        <v>#DIV/0!</v>
      </c>
    </row>
    <row r="226" spans="2:29">
      <c r="P226" s="695"/>
      <c r="Z226" s="628" t="s">
        <v>514</v>
      </c>
      <c r="AA226" s="697">
        <f>SUM(AA59:AA63)</f>
        <v>0</v>
      </c>
      <c r="AB226" s="698">
        <f>O161+O162+O163</f>
        <v>0</v>
      </c>
      <c r="AC226" s="731" t="e">
        <f>AB226/AA226</f>
        <v>#DIV/0!</v>
      </c>
    </row>
    <row r="227" spans="2:29">
      <c r="B227" s="628" t="s">
        <v>515</v>
      </c>
      <c r="N227" s="824">
        <f>D12</f>
        <v>23899544</v>
      </c>
      <c r="O227" s="825">
        <f>E12</f>
        <v>111003232</v>
      </c>
      <c r="P227" s="695">
        <f>O227/N227</f>
        <v>4.6445753107255934</v>
      </c>
      <c r="Q227" s="628">
        <v>4.790873799245797</v>
      </c>
      <c r="R227" s="682">
        <v>22268947</v>
      </c>
      <c r="S227" s="732">
        <v>4162781</v>
      </c>
      <c r="T227" s="682">
        <v>28503067</v>
      </c>
      <c r="AA227" s="651">
        <f>AA225+AA226</f>
        <v>0</v>
      </c>
      <c r="AB227" s="730">
        <f>AB225+AB226</f>
        <v>0</v>
      </c>
      <c r="AC227" s="714" t="e">
        <f>AB227/AA227</f>
        <v>#DIV/0!</v>
      </c>
    </row>
    <row r="228" spans="2:29">
      <c r="N228" s="729"/>
      <c r="O228" s="694"/>
      <c r="P228" s="695"/>
    </row>
    <row r="229" spans="2:29">
      <c r="B229" s="628" t="s">
        <v>516</v>
      </c>
      <c r="N229" s="824">
        <f>D14</f>
        <v>0</v>
      </c>
      <c r="O229" s="825">
        <f>E14</f>
        <v>0</v>
      </c>
      <c r="P229" s="695" t="e">
        <f>O229/N229</f>
        <v>#DIV/0!</v>
      </c>
      <c r="R229" s="628">
        <v>95344092</v>
      </c>
      <c r="S229" s="732">
        <v>11255314</v>
      </c>
      <c r="T229" s="682">
        <v>79419045</v>
      </c>
      <c r="Z229" s="628" t="s">
        <v>517</v>
      </c>
    </row>
    <row r="230" spans="2:29">
      <c r="P230" s="675"/>
      <c r="Z230" s="628" t="s">
        <v>370</v>
      </c>
      <c r="AB230" s="682">
        <f>O221-AB231</f>
        <v>0</v>
      </c>
    </row>
    <row r="231" spans="2:29">
      <c r="B231" s="628" t="s">
        <v>518</v>
      </c>
      <c r="N231" s="842">
        <f>N225+N227+N229</f>
        <v>42429544</v>
      </c>
      <c r="O231" s="748">
        <f>O225+O227+O229</f>
        <v>206687913</v>
      </c>
      <c r="P231" s="695">
        <f>O231/N231</f>
        <v>4.8713206297951261</v>
      </c>
      <c r="Z231" s="628" t="s">
        <v>519</v>
      </c>
      <c r="AA231" s="697">
        <f>O119</f>
        <v>0</v>
      </c>
      <c r="AB231" s="698">
        <f>G183+G185+G187+G198+G199+H187+H196+H197+H198+I187+I196+I197+I198+J183+J184+J185+J186+J187+J188+J189+J190+J191+J192+J193+J194+J195+J196+J197+J198+J199+K198</f>
        <v>0</v>
      </c>
      <c r="AC231" s="731" t="e">
        <f>AB231/AA231</f>
        <v>#DIV/0!</v>
      </c>
    </row>
    <row r="232" spans="2:29">
      <c r="AA232" s="651">
        <f>AA231</f>
        <v>0</v>
      </c>
      <c r="AB232" s="682">
        <f>AB230+AB231</f>
        <v>0</v>
      </c>
      <c r="AC232" s="628" t="e">
        <f>AB232/AA232</f>
        <v>#DIV/0!</v>
      </c>
    </row>
    <row r="233" spans="2:29">
      <c r="B233" s="628" t="s">
        <v>549</v>
      </c>
      <c r="O233" s="682"/>
      <c r="P233" s="689"/>
    </row>
    <row r="234" spans="2:29">
      <c r="B234" s="628" t="s">
        <v>522</v>
      </c>
      <c r="C234" s="704">
        <f>IF(C118=0,C220,C220/C118)</f>
        <v>0</v>
      </c>
      <c r="D234" s="704">
        <f t="shared" ref="D234:N234" si="75">IF(D118=0,D220,D220/D118)</f>
        <v>0</v>
      </c>
      <c r="E234" s="704">
        <f t="shared" si="75"/>
        <v>0</v>
      </c>
      <c r="F234" s="704">
        <f t="shared" si="75"/>
        <v>0</v>
      </c>
      <c r="G234" s="704">
        <f t="shared" si="75"/>
        <v>0</v>
      </c>
      <c r="H234" s="704">
        <f t="shared" si="75"/>
        <v>0</v>
      </c>
      <c r="I234" s="704">
        <f t="shared" si="75"/>
        <v>0</v>
      </c>
      <c r="J234" s="704">
        <f t="shared" si="75"/>
        <v>0</v>
      </c>
      <c r="K234" s="704">
        <f t="shared" si="75"/>
        <v>0</v>
      </c>
      <c r="L234" s="704">
        <f t="shared" si="75"/>
        <v>0</v>
      </c>
      <c r="M234" s="704">
        <f t="shared" si="75"/>
        <v>0</v>
      </c>
      <c r="N234" s="704">
        <f t="shared" si="75"/>
        <v>0</v>
      </c>
      <c r="O234" s="662" t="e">
        <f>SUM(C234:N234)/COUNTIF(C234:N234,"&lt;&gt;0")</f>
        <v>#DIV/0!</v>
      </c>
    </row>
    <row r="235" spans="2:29">
      <c r="B235" s="628" t="s">
        <v>523</v>
      </c>
      <c r="C235" s="704">
        <f>IF(C119=0,C221,C221/C119)</f>
        <v>0</v>
      </c>
      <c r="D235" s="704">
        <f t="shared" ref="D235:N235" si="76">IF(D119=0,D221,D221/D119)</f>
        <v>0</v>
      </c>
      <c r="E235" s="704">
        <f t="shared" si="76"/>
        <v>0</v>
      </c>
      <c r="F235" s="704">
        <f t="shared" si="76"/>
        <v>0</v>
      </c>
      <c r="G235" s="704">
        <f t="shared" si="76"/>
        <v>0</v>
      </c>
      <c r="H235" s="704">
        <f t="shared" si="76"/>
        <v>0</v>
      </c>
      <c r="I235" s="704">
        <f t="shared" si="76"/>
        <v>0</v>
      </c>
      <c r="J235" s="704">
        <f t="shared" si="76"/>
        <v>0</v>
      </c>
      <c r="K235" s="704">
        <f t="shared" si="76"/>
        <v>0</v>
      </c>
      <c r="L235" s="704">
        <f t="shared" si="76"/>
        <v>0</v>
      </c>
      <c r="M235" s="704">
        <f t="shared" si="76"/>
        <v>0</v>
      </c>
      <c r="N235" s="704">
        <f t="shared" si="76"/>
        <v>0</v>
      </c>
      <c r="O235" s="662" t="e">
        <f>SUM(C235:N235)/COUNTIF(C235:N235,"&lt;&gt;0")</f>
        <v>#DIV/0!</v>
      </c>
      <c r="P235" s="689"/>
    </row>
    <row r="236" spans="2:29">
      <c r="B236" s="656" t="str">
        <f>'[5]Gas Balance'!B28</f>
        <v xml:space="preserve">PREVIOUS </v>
      </c>
    </row>
    <row r="241" spans="2:27">
      <c r="C241" s="658"/>
      <c r="D241" s="658"/>
      <c r="E241" s="658"/>
      <c r="F241" s="658"/>
      <c r="G241" s="658"/>
      <c r="H241" s="658"/>
      <c r="I241" s="658"/>
      <c r="J241" s="658"/>
      <c r="K241" s="658"/>
      <c r="L241" s="658"/>
      <c r="M241" s="658"/>
      <c r="N241" s="658"/>
      <c r="O241" s="656"/>
      <c r="P241" s="656"/>
      <c r="Q241" s="656"/>
      <c r="R241" s="656"/>
      <c r="S241" s="656"/>
      <c r="T241" s="656"/>
      <c r="U241" s="656"/>
      <c r="V241" s="656"/>
      <c r="W241" s="656"/>
      <c r="X241" s="656"/>
      <c r="Y241" s="656"/>
      <c r="Z241" s="656"/>
    </row>
    <row r="242" spans="2:27">
      <c r="B242" s="676"/>
      <c r="C242" s="660"/>
      <c r="D242" s="660"/>
      <c r="E242" s="660"/>
      <c r="F242" s="660"/>
      <c r="G242" s="660"/>
      <c r="H242" s="660"/>
      <c r="I242" s="660"/>
      <c r="J242" s="660"/>
      <c r="K242" s="660"/>
      <c r="L242" s="660"/>
      <c r="M242" s="660"/>
      <c r="N242" s="660"/>
      <c r="O242" s="706"/>
      <c r="P242" s="706"/>
      <c r="Q242" s="706"/>
      <c r="R242" s="706"/>
      <c r="S242" s="706"/>
      <c r="T242" s="706"/>
      <c r="U242" s="706"/>
      <c r="V242" s="706"/>
      <c r="W242" s="706"/>
      <c r="X242" s="706"/>
      <c r="Y242" s="706"/>
      <c r="Z242" s="706"/>
      <c r="AA242" s="651"/>
    </row>
    <row r="243" spans="2:27">
      <c r="B243" s="676"/>
      <c r="C243" s="660"/>
      <c r="D243" s="660"/>
      <c r="E243" s="660"/>
      <c r="F243" s="660"/>
      <c r="G243" s="660"/>
      <c r="H243" s="660"/>
      <c r="I243" s="660"/>
      <c r="J243" s="660"/>
      <c r="K243" s="660"/>
      <c r="L243" s="660"/>
      <c r="M243" s="660"/>
      <c r="N243" s="660"/>
      <c r="O243" s="706"/>
      <c r="P243" s="706"/>
      <c r="Q243" s="706"/>
      <c r="R243" s="706"/>
      <c r="S243" s="706"/>
      <c r="T243" s="706"/>
      <c r="U243" s="706"/>
      <c r="V243" s="706"/>
      <c r="W243" s="706"/>
      <c r="X243" s="706"/>
      <c r="Y243" s="706"/>
      <c r="Z243" s="706"/>
      <c r="AA243" s="651"/>
    </row>
    <row r="244" spans="2:27">
      <c r="B244" s="676"/>
      <c r="C244" s="660"/>
      <c r="D244" s="660"/>
      <c r="E244" s="660"/>
      <c r="F244" s="660"/>
      <c r="G244" s="660"/>
      <c r="H244" s="660"/>
      <c r="I244" s="660"/>
      <c r="J244" s="660"/>
      <c r="K244" s="660"/>
      <c r="L244" s="660"/>
      <c r="M244" s="660"/>
      <c r="N244" s="660"/>
      <c r="O244" s="706"/>
      <c r="P244" s="706"/>
      <c r="Q244" s="706"/>
      <c r="R244" s="706"/>
      <c r="S244" s="706"/>
      <c r="T244" s="706"/>
      <c r="U244" s="706"/>
      <c r="V244" s="706"/>
      <c r="W244" s="706"/>
      <c r="X244" s="706"/>
      <c r="Y244" s="706"/>
      <c r="Z244" s="706"/>
      <c r="AA244" s="651"/>
    </row>
    <row r="245" spans="2:27">
      <c r="B245" s="676"/>
      <c r="C245" s="660"/>
      <c r="D245" s="660"/>
      <c r="E245" s="660"/>
      <c r="F245" s="660"/>
      <c r="G245" s="660"/>
      <c r="H245" s="660"/>
      <c r="I245" s="660"/>
      <c r="J245" s="660"/>
      <c r="K245" s="660"/>
      <c r="L245" s="660"/>
      <c r="M245" s="660"/>
      <c r="N245" s="660"/>
      <c r="O245" s="706"/>
      <c r="P245" s="706"/>
      <c r="Q245" s="706"/>
      <c r="R245" s="706"/>
      <c r="S245" s="706"/>
      <c r="T245" s="706"/>
      <c r="U245" s="706"/>
      <c r="V245" s="706"/>
      <c r="W245" s="706"/>
      <c r="X245" s="706"/>
      <c r="Y245" s="706"/>
      <c r="Z245" s="706"/>
      <c r="AA245" s="651"/>
    </row>
    <row r="246" spans="2:27">
      <c r="B246" s="707"/>
      <c r="C246" s="660"/>
      <c r="D246" s="660"/>
      <c r="E246" s="660"/>
      <c r="F246" s="660"/>
      <c r="G246" s="660"/>
      <c r="H246" s="660"/>
      <c r="I246" s="660"/>
      <c r="J246" s="660"/>
      <c r="K246" s="660"/>
      <c r="L246" s="660"/>
      <c r="M246" s="660"/>
      <c r="N246" s="660"/>
      <c r="O246" s="706"/>
      <c r="P246" s="706"/>
      <c r="Q246" s="706"/>
      <c r="R246" s="706"/>
      <c r="S246" s="706"/>
      <c r="T246" s="706"/>
      <c r="U246" s="706"/>
      <c r="V246" s="706"/>
      <c r="W246" s="706"/>
      <c r="X246" s="706"/>
      <c r="Y246" s="706"/>
      <c r="Z246" s="706"/>
      <c r="AA246" s="651"/>
    </row>
    <row r="247" spans="2:27">
      <c r="B247" s="707"/>
      <c r="C247" s="660"/>
      <c r="D247" s="660"/>
      <c r="E247" s="660"/>
      <c r="F247" s="660"/>
      <c r="G247" s="660"/>
      <c r="H247" s="660"/>
      <c r="I247" s="660"/>
      <c r="J247" s="660"/>
      <c r="K247" s="660"/>
      <c r="L247" s="660"/>
      <c r="M247" s="660"/>
      <c r="N247" s="660"/>
      <c r="O247" s="706"/>
      <c r="P247" s="706"/>
      <c r="Q247" s="706"/>
      <c r="R247" s="706"/>
      <c r="S247" s="706"/>
      <c r="T247" s="706"/>
      <c r="U247" s="706"/>
      <c r="V247" s="706"/>
      <c r="W247" s="706"/>
      <c r="X247" s="706"/>
      <c r="Y247" s="706"/>
      <c r="Z247" s="706"/>
      <c r="AA247" s="651"/>
    </row>
    <row r="248" spans="2:27">
      <c r="B248" s="676"/>
      <c r="C248" s="660"/>
      <c r="D248" s="660"/>
      <c r="E248" s="660"/>
      <c r="F248" s="660"/>
      <c r="G248" s="660"/>
      <c r="H248" s="660"/>
      <c r="I248" s="660"/>
      <c r="J248" s="660"/>
      <c r="K248" s="660"/>
      <c r="L248" s="660"/>
      <c r="M248" s="660"/>
      <c r="N248" s="660"/>
      <c r="O248" s="706"/>
      <c r="P248" s="706"/>
      <c r="Q248" s="706"/>
      <c r="R248" s="706"/>
      <c r="S248" s="706"/>
      <c r="T248" s="706"/>
      <c r="U248" s="706"/>
      <c r="V248" s="706"/>
      <c r="W248" s="706"/>
      <c r="X248" s="706"/>
      <c r="Y248" s="706"/>
      <c r="Z248" s="706"/>
      <c r="AA248" s="651"/>
    </row>
    <row r="249" spans="2:27">
      <c r="B249" s="707"/>
      <c r="C249" s="660"/>
      <c r="D249" s="660"/>
      <c r="E249" s="660"/>
      <c r="F249" s="660"/>
      <c r="G249" s="660"/>
      <c r="H249" s="660"/>
      <c r="I249" s="660"/>
      <c r="J249" s="660"/>
      <c r="K249" s="660"/>
      <c r="L249" s="660"/>
      <c r="M249" s="660"/>
      <c r="N249" s="660"/>
      <c r="O249" s="706"/>
      <c r="P249" s="706"/>
      <c r="Q249" s="706"/>
      <c r="R249" s="706"/>
      <c r="S249" s="706"/>
      <c r="T249" s="706"/>
      <c r="U249" s="706"/>
      <c r="V249" s="706"/>
      <c r="W249" s="706"/>
      <c r="X249" s="706"/>
      <c r="Y249" s="706"/>
      <c r="Z249" s="706"/>
      <c r="AA249" s="651"/>
    </row>
    <row r="250" spans="2:27">
      <c r="B250" s="707"/>
      <c r="C250" s="660"/>
      <c r="D250" s="660"/>
      <c r="E250" s="660"/>
      <c r="F250" s="660"/>
      <c r="G250" s="660"/>
      <c r="H250" s="660"/>
      <c r="I250" s="660"/>
      <c r="J250" s="660"/>
      <c r="K250" s="660"/>
      <c r="L250" s="660"/>
      <c r="M250" s="660"/>
      <c r="N250" s="660"/>
      <c r="O250" s="706"/>
      <c r="P250" s="706"/>
      <c r="Q250" s="706"/>
      <c r="R250" s="706"/>
      <c r="S250" s="706"/>
      <c r="T250" s="706"/>
      <c r="U250" s="706"/>
      <c r="V250" s="706"/>
      <c r="W250" s="706"/>
      <c r="X250" s="706"/>
      <c r="Y250" s="706"/>
      <c r="Z250" s="706"/>
      <c r="AA250" s="651"/>
    </row>
    <row r="251" spans="2:27">
      <c r="B251" s="707"/>
      <c r="C251" s="660"/>
      <c r="D251" s="660"/>
      <c r="E251" s="660"/>
      <c r="F251" s="660"/>
      <c r="G251" s="660"/>
      <c r="H251" s="660"/>
      <c r="I251" s="660"/>
      <c r="J251" s="660"/>
      <c r="K251" s="660"/>
      <c r="L251" s="660"/>
      <c r="M251" s="660"/>
      <c r="N251" s="660"/>
      <c r="O251" s="706"/>
      <c r="P251" s="706"/>
      <c r="Q251" s="706"/>
      <c r="R251" s="706"/>
      <c r="S251" s="706"/>
      <c r="T251" s="706"/>
      <c r="U251" s="706"/>
      <c r="V251" s="706"/>
      <c r="W251" s="706"/>
      <c r="X251" s="706"/>
      <c r="Y251" s="706"/>
      <c r="Z251" s="706"/>
      <c r="AA251" s="651"/>
    </row>
    <row r="252" spans="2:27">
      <c r="B252" s="707"/>
      <c r="C252" s="660"/>
      <c r="D252" s="660"/>
      <c r="E252" s="660"/>
      <c r="F252" s="660"/>
      <c r="G252" s="660"/>
      <c r="H252" s="660"/>
      <c r="I252" s="660"/>
      <c r="J252" s="660"/>
      <c r="K252" s="660"/>
      <c r="L252" s="660"/>
      <c r="M252" s="660"/>
      <c r="N252" s="660"/>
      <c r="O252" s="706"/>
      <c r="P252" s="706"/>
      <c r="Q252" s="706"/>
      <c r="R252" s="706"/>
      <c r="S252" s="706"/>
      <c r="T252" s="706"/>
      <c r="U252" s="706"/>
      <c r="V252" s="706"/>
      <c r="W252" s="706"/>
      <c r="X252" s="706"/>
      <c r="Y252" s="706"/>
      <c r="Z252" s="706"/>
      <c r="AA252" s="651"/>
    </row>
    <row r="253" spans="2:27">
      <c r="B253" s="707"/>
      <c r="C253" s="660"/>
      <c r="D253" s="660"/>
      <c r="E253" s="660"/>
      <c r="F253" s="660"/>
      <c r="G253" s="660"/>
      <c r="H253" s="660"/>
      <c r="I253" s="660"/>
      <c r="J253" s="660"/>
      <c r="K253" s="660"/>
      <c r="L253" s="660"/>
      <c r="M253" s="660"/>
      <c r="N253" s="660"/>
      <c r="O253" s="706"/>
      <c r="P253" s="706"/>
      <c r="Q253" s="706"/>
      <c r="R253" s="706"/>
      <c r="S253" s="706"/>
      <c r="T253" s="706"/>
      <c r="U253" s="706"/>
      <c r="V253" s="706"/>
      <c r="W253" s="706"/>
      <c r="X253" s="706"/>
      <c r="Y253" s="706"/>
      <c r="Z253" s="706"/>
      <c r="AA253" s="651"/>
    </row>
    <row r="254" spans="2:27">
      <c r="B254" s="707"/>
      <c r="C254" s="660"/>
      <c r="D254" s="660"/>
      <c r="E254" s="660"/>
      <c r="F254" s="660"/>
      <c r="G254" s="660"/>
      <c r="H254" s="660"/>
      <c r="I254" s="660"/>
      <c r="J254" s="660"/>
      <c r="K254" s="660"/>
      <c r="L254" s="660"/>
      <c r="M254" s="660"/>
      <c r="N254" s="660"/>
      <c r="O254" s="706"/>
      <c r="P254" s="706"/>
      <c r="Q254" s="706"/>
      <c r="R254" s="706"/>
      <c r="S254" s="706"/>
      <c r="T254" s="706"/>
      <c r="U254" s="706"/>
      <c r="V254" s="706"/>
      <c r="W254" s="706"/>
      <c r="X254" s="706"/>
      <c r="Y254" s="706"/>
      <c r="Z254" s="706"/>
      <c r="AA254" s="651"/>
    </row>
    <row r="255" spans="2:27">
      <c r="B255" s="707"/>
      <c r="C255" s="660"/>
      <c r="D255" s="660"/>
      <c r="E255" s="660"/>
      <c r="F255" s="660"/>
      <c r="G255" s="660"/>
      <c r="H255" s="660"/>
      <c r="I255" s="660"/>
      <c r="J255" s="660"/>
      <c r="K255" s="660"/>
      <c r="L255" s="660"/>
      <c r="M255" s="660"/>
      <c r="N255" s="660"/>
      <c r="O255" s="706"/>
      <c r="P255" s="706"/>
      <c r="Q255" s="706"/>
      <c r="R255" s="706"/>
      <c r="S255" s="706"/>
      <c r="T255" s="706"/>
      <c r="U255" s="706"/>
      <c r="V255" s="706"/>
      <c r="W255" s="706"/>
      <c r="X255" s="706"/>
      <c r="Y255" s="706"/>
      <c r="Z255" s="706"/>
      <c r="AA255" s="651"/>
    </row>
    <row r="256" spans="2:27">
      <c r="B256" s="707"/>
      <c r="C256" s="660"/>
      <c r="D256" s="660"/>
      <c r="E256" s="660"/>
      <c r="F256" s="660"/>
      <c r="G256" s="660"/>
      <c r="H256" s="660"/>
      <c r="I256" s="660"/>
      <c r="J256" s="660"/>
      <c r="K256" s="660"/>
      <c r="L256" s="660"/>
      <c r="M256" s="660"/>
      <c r="N256" s="660"/>
      <c r="O256" s="706"/>
      <c r="P256" s="706"/>
      <c r="Q256" s="706"/>
      <c r="R256" s="706"/>
      <c r="S256" s="706"/>
      <c r="T256" s="706"/>
      <c r="U256" s="706"/>
      <c r="V256" s="706"/>
      <c r="W256" s="706"/>
      <c r="X256" s="706"/>
      <c r="Y256" s="706"/>
      <c r="Z256" s="706"/>
      <c r="AA256" s="651"/>
    </row>
    <row r="257" spans="2:27">
      <c r="B257" s="707"/>
      <c r="C257" s="660"/>
      <c r="D257" s="660"/>
      <c r="E257" s="660"/>
      <c r="F257" s="660"/>
      <c r="G257" s="660"/>
      <c r="H257" s="660"/>
      <c r="I257" s="660"/>
      <c r="J257" s="660"/>
      <c r="K257" s="660"/>
      <c r="L257" s="660"/>
      <c r="M257" s="660"/>
      <c r="N257" s="660"/>
      <c r="O257" s="706"/>
      <c r="P257" s="706"/>
      <c r="Q257" s="706"/>
      <c r="R257" s="706"/>
      <c r="S257" s="706"/>
      <c r="T257" s="706"/>
      <c r="U257" s="706"/>
      <c r="V257" s="706"/>
      <c r="W257" s="706"/>
      <c r="X257" s="706"/>
      <c r="Y257" s="706"/>
      <c r="Z257" s="706"/>
      <c r="AA257" s="651"/>
    </row>
    <row r="258" spans="2:27">
      <c r="B258" s="707"/>
      <c r="C258" s="660"/>
      <c r="D258" s="660"/>
      <c r="E258" s="660"/>
      <c r="F258" s="660"/>
      <c r="G258" s="660"/>
      <c r="H258" s="660"/>
      <c r="I258" s="660"/>
      <c r="J258" s="660"/>
      <c r="K258" s="660"/>
      <c r="L258" s="660"/>
      <c r="M258" s="660"/>
      <c r="N258" s="660"/>
      <c r="O258" s="706"/>
      <c r="P258" s="706"/>
      <c r="Q258" s="706"/>
      <c r="R258" s="706"/>
      <c r="S258" s="706"/>
      <c r="T258" s="706"/>
      <c r="U258" s="706"/>
      <c r="V258" s="706"/>
      <c r="W258" s="706"/>
      <c r="X258" s="706"/>
      <c r="Y258" s="706"/>
      <c r="Z258" s="706"/>
      <c r="AA258" s="651"/>
    </row>
    <row r="259" spans="2:27">
      <c r="B259" s="707"/>
      <c r="C259" s="660"/>
      <c r="D259" s="660"/>
      <c r="E259" s="660"/>
      <c r="F259" s="660"/>
      <c r="G259" s="660"/>
      <c r="H259" s="660"/>
      <c r="I259" s="660"/>
      <c r="J259" s="660"/>
      <c r="K259" s="660"/>
      <c r="L259" s="660"/>
      <c r="M259" s="660"/>
      <c r="N259" s="660"/>
      <c r="O259" s="706"/>
      <c r="P259" s="706"/>
      <c r="Q259" s="706"/>
      <c r="R259" s="706"/>
      <c r="S259" s="706"/>
      <c r="T259" s="706"/>
      <c r="U259" s="706"/>
      <c r="V259" s="706"/>
      <c r="W259" s="706"/>
      <c r="X259" s="706"/>
      <c r="Y259" s="706"/>
      <c r="Z259" s="706"/>
      <c r="AA259" s="651"/>
    </row>
    <row r="260" spans="2:27">
      <c r="B260" s="707"/>
      <c r="C260" s="660"/>
      <c r="D260" s="660"/>
      <c r="E260" s="660"/>
      <c r="F260" s="660"/>
      <c r="G260" s="660"/>
      <c r="H260" s="660"/>
      <c r="I260" s="660"/>
      <c r="J260" s="660"/>
      <c r="K260" s="660"/>
      <c r="L260" s="660"/>
      <c r="M260" s="660"/>
      <c r="N260" s="660"/>
      <c r="O260" s="706"/>
      <c r="P260" s="706"/>
      <c r="Q260" s="706"/>
      <c r="R260" s="706"/>
      <c r="S260" s="706"/>
      <c r="T260" s="706"/>
      <c r="U260" s="706"/>
      <c r="V260" s="706"/>
      <c r="W260" s="706"/>
      <c r="X260" s="706"/>
      <c r="Y260" s="706"/>
      <c r="Z260" s="706"/>
      <c r="AA260" s="651"/>
    </row>
    <row r="261" spans="2:27">
      <c r="B261" s="707"/>
      <c r="C261" s="660"/>
      <c r="D261" s="660"/>
      <c r="E261" s="660"/>
      <c r="F261" s="660"/>
      <c r="G261" s="660"/>
      <c r="H261" s="660"/>
      <c r="I261" s="660"/>
      <c r="J261" s="660"/>
      <c r="K261" s="660"/>
      <c r="L261" s="660"/>
      <c r="M261" s="660"/>
      <c r="N261" s="660"/>
      <c r="O261" s="706"/>
      <c r="P261" s="706"/>
      <c r="Q261" s="706"/>
      <c r="R261" s="706"/>
      <c r="S261" s="706"/>
      <c r="T261" s="706"/>
      <c r="U261" s="706"/>
      <c r="V261" s="706"/>
      <c r="W261" s="706"/>
      <c r="X261" s="706"/>
      <c r="Y261" s="706"/>
      <c r="Z261" s="706"/>
      <c r="AA261" s="651"/>
    </row>
    <row r="262" spans="2:27">
      <c r="B262" s="707"/>
      <c r="C262" s="660"/>
      <c r="D262" s="660"/>
      <c r="E262" s="660"/>
      <c r="F262" s="660"/>
      <c r="G262" s="660"/>
      <c r="H262" s="660"/>
      <c r="I262" s="660"/>
      <c r="J262" s="660"/>
      <c r="K262" s="660"/>
      <c r="L262" s="660"/>
      <c r="M262" s="660"/>
      <c r="N262" s="660"/>
      <c r="O262" s="706"/>
      <c r="P262" s="706"/>
      <c r="Q262" s="706"/>
      <c r="R262" s="706"/>
      <c r="S262" s="706"/>
      <c r="T262" s="706"/>
      <c r="U262" s="706"/>
      <c r="V262" s="706"/>
      <c r="W262" s="706"/>
      <c r="X262" s="706"/>
      <c r="Y262" s="706"/>
      <c r="Z262" s="706"/>
      <c r="AA262" s="651"/>
    </row>
    <row r="263" spans="2:27">
      <c r="B263" s="707"/>
      <c r="C263" s="660"/>
      <c r="D263" s="660"/>
      <c r="E263" s="660"/>
      <c r="F263" s="660"/>
      <c r="G263" s="660"/>
      <c r="H263" s="660"/>
      <c r="I263" s="660"/>
      <c r="J263" s="660"/>
      <c r="K263" s="660"/>
      <c r="L263" s="660"/>
      <c r="M263" s="660"/>
      <c r="N263" s="660"/>
      <c r="O263" s="706"/>
      <c r="P263" s="706"/>
      <c r="Q263" s="706"/>
      <c r="R263" s="706"/>
      <c r="S263" s="706"/>
      <c r="T263" s="706"/>
      <c r="U263" s="706"/>
      <c r="V263" s="706"/>
      <c r="W263" s="706"/>
      <c r="X263" s="706"/>
      <c r="Y263" s="706"/>
      <c r="Z263" s="706"/>
      <c r="AA263" s="651"/>
    </row>
    <row r="264" spans="2:27">
      <c r="B264" s="707"/>
      <c r="C264" s="660"/>
      <c r="D264" s="660"/>
      <c r="E264" s="660"/>
      <c r="F264" s="660"/>
      <c r="G264" s="660"/>
      <c r="H264" s="660"/>
      <c r="I264" s="660"/>
      <c r="J264" s="660"/>
      <c r="K264" s="660"/>
      <c r="L264" s="660"/>
      <c r="M264" s="660"/>
      <c r="N264" s="660"/>
      <c r="O264" s="706"/>
      <c r="P264" s="706"/>
      <c r="Q264" s="706"/>
      <c r="R264" s="706"/>
      <c r="S264" s="706"/>
      <c r="T264" s="706"/>
      <c r="U264" s="706"/>
      <c r="V264" s="706"/>
      <c r="W264" s="706"/>
      <c r="X264" s="706"/>
      <c r="Y264" s="706"/>
      <c r="Z264" s="706"/>
      <c r="AA264" s="651"/>
    </row>
    <row r="265" spans="2:27">
      <c r="B265" s="707"/>
      <c r="C265" s="660"/>
      <c r="D265" s="660"/>
      <c r="E265" s="660"/>
      <c r="F265" s="660"/>
      <c r="G265" s="660"/>
      <c r="H265" s="660"/>
      <c r="I265" s="660"/>
      <c r="J265" s="660"/>
      <c r="K265" s="660"/>
      <c r="L265" s="660"/>
      <c r="M265" s="660"/>
      <c r="N265" s="660"/>
      <c r="O265" s="706"/>
      <c r="P265" s="706"/>
      <c r="Q265" s="706"/>
      <c r="R265" s="706"/>
      <c r="S265" s="706"/>
      <c r="T265" s="706"/>
      <c r="U265" s="706"/>
      <c r="V265" s="706"/>
      <c r="W265" s="706"/>
      <c r="X265" s="706"/>
      <c r="Y265" s="706"/>
      <c r="Z265" s="706"/>
      <c r="AA265" s="651"/>
    </row>
    <row r="266" spans="2:27">
      <c r="B266" s="707"/>
      <c r="C266" s="660"/>
      <c r="D266" s="660"/>
      <c r="E266" s="660"/>
      <c r="F266" s="660"/>
      <c r="G266" s="660"/>
      <c r="H266" s="660"/>
      <c r="I266" s="660"/>
      <c r="J266" s="660"/>
      <c r="K266" s="660"/>
      <c r="L266" s="660"/>
      <c r="M266" s="660"/>
      <c r="N266" s="660"/>
      <c r="O266" s="706"/>
      <c r="P266" s="706"/>
      <c r="Q266" s="706"/>
      <c r="R266" s="706"/>
      <c r="S266" s="706"/>
      <c r="T266" s="706"/>
      <c r="U266" s="706"/>
      <c r="V266" s="706"/>
      <c r="W266" s="706"/>
      <c r="X266" s="706"/>
      <c r="Y266" s="706"/>
      <c r="Z266" s="706"/>
      <c r="AA266" s="651"/>
    </row>
    <row r="267" spans="2:27">
      <c r="B267" s="707"/>
      <c r="C267" s="660"/>
      <c r="D267" s="660"/>
      <c r="E267" s="660"/>
      <c r="F267" s="660"/>
      <c r="G267" s="660"/>
      <c r="H267" s="660"/>
      <c r="I267" s="660"/>
      <c r="J267" s="660"/>
      <c r="K267" s="660"/>
      <c r="L267" s="660"/>
      <c r="M267" s="660"/>
      <c r="N267" s="660"/>
      <c r="O267" s="706"/>
      <c r="P267" s="706"/>
      <c r="Q267" s="706"/>
      <c r="R267" s="706"/>
      <c r="S267" s="706"/>
      <c r="T267" s="706"/>
      <c r="U267" s="706"/>
      <c r="V267" s="706"/>
      <c r="W267" s="706"/>
      <c r="X267" s="706"/>
      <c r="Y267" s="706"/>
      <c r="Z267" s="706"/>
      <c r="AA267" s="651"/>
    </row>
    <row r="268" spans="2:27">
      <c r="B268" s="707"/>
      <c r="C268" s="660"/>
      <c r="D268" s="660"/>
      <c r="E268" s="660"/>
      <c r="F268" s="660"/>
      <c r="G268" s="660"/>
      <c r="H268" s="660"/>
      <c r="I268" s="660"/>
      <c r="J268" s="660"/>
      <c r="K268" s="660"/>
      <c r="L268" s="660"/>
      <c r="M268" s="660"/>
      <c r="N268" s="660"/>
      <c r="O268" s="706"/>
      <c r="P268" s="706"/>
      <c r="Q268" s="706"/>
      <c r="R268" s="706"/>
      <c r="S268" s="706"/>
      <c r="T268" s="706"/>
      <c r="U268" s="706"/>
      <c r="V268" s="706"/>
      <c r="W268" s="706"/>
      <c r="X268" s="706"/>
      <c r="Y268" s="706"/>
      <c r="Z268" s="706"/>
      <c r="AA268" s="651"/>
    </row>
    <row r="269" spans="2:27">
      <c r="B269" s="707"/>
      <c r="C269" s="660"/>
      <c r="D269" s="660"/>
      <c r="E269" s="660"/>
      <c r="F269" s="660"/>
      <c r="G269" s="660"/>
      <c r="H269" s="660"/>
      <c r="I269" s="660"/>
      <c r="J269" s="660"/>
      <c r="K269" s="660"/>
      <c r="L269" s="660"/>
      <c r="M269" s="660"/>
      <c r="N269" s="660"/>
      <c r="O269" s="706"/>
      <c r="P269" s="706"/>
      <c r="Q269" s="706"/>
      <c r="R269" s="706"/>
      <c r="S269" s="706"/>
      <c r="T269" s="706"/>
      <c r="U269" s="706"/>
      <c r="V269" s="706"/>
      <c r="W269" s="706"/>
      <c r="X269" s="706"/>
      <c r="Y269" s="706"/>
      <c r="Z269" s="706"/>
      <c r="AA269" s="651"/>
    </row>
    <row r="270" spans="2:27">
      <c r="B270" s="707"/>
      <c r="C270" s="660"/>
      <c r="D270" s="660"/>
      <c r="E270" s="660"/>
      <c r="F270" s="660"/>
      <c r="G270" s="660"/>
      <c r="H270" s="660"/>
      <c r="I270" s="660"/>
      <c r="J270" s="660"/>
      <c r="K270" s="660"/>
      <c r="L270" s="660"/>
      <c r="M270" s="660"/>
      <c r="N270" s="660"/>
      <c r="O270" s="706"/>
      <c r="P270" s="706"/>
      <c r="Q270" s="706"/>
      <c r="R270" s="706"/>
      <c r="S270" s="706"/>
      <c r="T270" s="706"/>
      <c r="U270" s="706"/>
      <c r="V270" s="706"/>
      <c r="W270" s="706"/>
      <c r="X270" s="706"/>
      <c r="Y270" s="706"/>
      <c r="Z270" s="706"/>
      <c r="AA270" s="651"/>
    </row>
    <row r="271" spans="2:27">
      <c r="B271" s="707"/>
      <c r="C271" s="660"/>
      <c r="D271" s="660"/>
      <c r="E271" s="660"/>
      <c r="F271" s="660"/>
      <c r="G271" s="660"/>
      <c r="H271" s="660"/>
      <c r="I271" s="660"/>
      <c r="J271" s="660"/>
      <c r="K271" s="660"/>
      <c r="L271" s="660"/>
      <c r="M271" s="660"/>
      <c r="N271" s="660"/>
      <c r="O271" s="706"/>
      <c r="P271" s="706"/>
      <c r="Q271" s="706"/>
      <c r="R271" s="706"/>
      <c r="S271" s="706"/>
      <c r="T271" s="706"/>
      <c r="U271" s="706"/>
      <c r="V271" s="706"/>
      <c r="W271" s="706"/>
      <c r="X271" s="706"/>
      <c r="Y271" s="706"/>
      <c r="Z271" s="706"/>
      <c r="AA271" s="651"/>
    </row>
    <row r="272" spans="2:27">
      <c r="B272" s="707"/>
      <c r="C272" s="660"/>
      <c r="D272" s="660"/>
      <c r="E272" s="660"/>
      <c r="F272" s="660"/>
      <c r="G272" s="660"/>
      <c r="H272" s="660"/>
      <c r="I272" s="660"/>
      <c r="J272" s="660"/>
      <c r="K272" s="660"/>
      <c r="L272" s="660"/>
      <c r="M272" s="660"/>
      <c r="N272" s="660"/>
      <c r="O272" s="706"/>
      <c r="P272" s="706"/>
      <c r="Q272" s="706"/>
      <c r="R272" s="706"/>
      <c r="S272" s="706"/>
      <c r="T272" s="706"/>
      <c r="U272" s="706"/>
      <c r="V272" s="706"/>
      <c r="W272" s="706"/>
      <c r="X272" s="706"/>
      <c r="Y272" s="706"/>
      <c r="Z272" s="706"/>
      <c r="AA272" s="651"/>
    </row>
    <row r="273" spans="2:27">
      <c r="B273" s="707"/>
      <c r="C273" s="660"/>
      <c r="D273" s="660"/>
      <c r="E273" s="660"/>
      <c r="F273" s="660"/>
      <c r="G273" s="660"/>
      <c r="H273" s="660"/>
      <c r="I273" s="660"/>
      <c r="J273" s="660"/>
      <c r="K273" s="660"/>
      <c r="L273" s="660"/>
      <c r="M273" s="660"/>
      <c r="N273" s="660"/>
      <c r="O273" s="706"/>
      <c r="P273" s="706"/>
      <c r="Q273" s="706"/>
      <c r="R273" s="706"/>
      <c r="S273" s="706"/>
      <c r="T273" s="706"/>
      <c r="U273" s="706"/>
      <c r="V273" s="706"/>
      <c r="W273" s="706"/>
      <c r="X273" s="706"/>
      <c r="Y273" s="706"/>
      <c r="Z273" s="706"/>
      <c r="AA273" s="651"/>
    </row>
    <row r="274" spans="2:27">
      <c r="B274" s="707"/>
      <c r="C274" s="660"/>
      <c r="D274" s="660"/>
      <c r="E274" s="660"/>
      <c r="F274" s="660"/>
      <c r="G274" s="660"/>
      <c r="H274" s="660"/>
      <c r="I274" s="660"/>
      <c r="J274" s="660"/>
      <c r="K274" s="660"/>
      <c r="L274" s="660"/>
      <c r="M274" s="660"/>
      <c r="N274" s="660"/>
      <c r="O274" s="706"/>
      <c r="P274" s="706"/>
      <c r="Q274" s="706"/>
      <c r="R274" s="706"/>
      <c r="S274" s="706"/>
      <c r="T274" s="706"/>
      <c r="U274" s="706"/>
      <c r="V274" s="706"/>
      <c r="W274" s="706"/>
      <c r="X274" s="706"/>
      <c r="Y274" s="706"/>
      <c r="Z274" s="706"/>
      <c r="AA274" s="651"/>
    </row>
    <row r="275" spans="2:27">
      <c r="B275" s="707"/>
      <c r="C275" s="660"/>
      <c r="D275" s="660"/>
      <c r="E275" s="660"/>
      <c r="F275" s="660"/>
      <c r="G275" s="660"/>
      <c r="H275" s="660"/>
      <c r="I275" s="660"/>
      <c r="J275" s="660"/>
      <c r="K275" s="660"/>
      <c r="L275" s="660"/>
      <c r="M275" s="660"/>
      <c r="N275" s="660"/>
      <c r="O275" s="706"/>
      <c r="P275" s="706"/>
      <c r="Q275" s="706"/>
      <c r="R275" s="706"/>
      <c r="S275" s="706"/>
      <c r="T275" s="706"/>
      <c r="U275" s="706"/>
      <c r="V275" s="706"/>
      <c r="W275" s="706"/>
      <c r="X275" s="706"/>
      <c r="Y275" s="706"/>
      <c r="Z275" s="706"/>
      <c r="AA275" s="651"/>
    </row>
    <row r="276" spans="2:27">
      <c r="B276" s="707"/>
      <c r="C276" s="660"/>
      <c r="D276" s="660"/>
      <c r="E276" s="660"/>
      <c r="F276" s="660"/>
      <c r="G276" s="660"/>
      <c r="H276" s="660"/>
      <c r="I276" s="660"/>
      <c r="J276" s="660"/>
      <c r="K276" s="660"/>
      <c r="L276" s="660"/>
      <c r="M276" s="660"/>
      <c r="N276" s="660"/>
      <c r="O276" s="706"/>
      <c r="P276" s="706"/>
      <c r="Q276" s="706"/>
      <c r="R276" s="706"/>
      <c r="S276" s="706"/>
      <c r="T276" s="706"/>
      <c r="U276" s="706"/>
      <c r="V276" s="706"/>
      <c r="W276" s="706"/>
      <c r="X276" s="706"/>
      <c r="Y276" s="706"/>
      <c r="Z276" s="706"/>
      <c r="AA276" s="651"/>
    </row>
    <row r="277" spans="2:27">
      <c r="B277" s="707"/>
      <c r="C277" s="660"/>
      <c r="D277" s="660"/>
      <c r="E277" s="660"/>
      <c r="F277" s="660"/>
      <c r="G277" s="660"/>
      <c r="H277" s="660"/>
      <c r="I277" s="660"/>
      <c r="J277" s="660"/>
      <c r="K277" s="660"/>
      <c r="L277" s="660"/>
      <c r="M277" s="660"/>
      <c r="N277" s="660"/>
      <c r="O277" s="706"/>
      <c r="P277" s="706"/>
      <c r="Q277" s="706"/>
      <c r="R277" s="706"/>
      <c r="S277" s="706"/>
      <c r="T277" s="706"/>
      <c r="U277" s="706"/>
      <c r="V277" s="706"/>
      <c r="W277" s="706"/>
      <c r="X277" s="706"/>
      <c r="Y277" s="706"/>
      <c r="Z277" s="706"/>
      <c r="AA277" s="651"/>
    </row>
    <row r="278" spans="2:27">
      <c r="B278" s="707"/>
      <c r="C278" s="660"/>
      <c r="D278" s="660"/>
      <c r="E278" s="660"/>
      <c r="F278" s="660"/>
      <c r="G278" s="660"/>
      <c r="H278" s="660"/>
      <c r="I278" s="660"/>
      <c r="J278" s="660"/>
      <c r="K278" s="660"/>
      <c r="L278" s="660"/>
      <c r="M278" s="660"/>
      <c r="N278" s="660"/>
      <c r="O278" s="706"/>
      <c r="P278" s="706"/>
      <c r="Q278" s="706"/>
      <c r="R278" s="706"/>
      <c r="S278" s="706"/>
      <c r="T278" s="706"/>
      <c r="U278" s="706"/>
      <c r="V278" s="706"/>
      <c r="W278" s="706"/>
      <c r="X278" s="706"/>
      <c r="Y278" s="706"/>
      <c r="Z278" s="706"/>
      <c r="AA278" s="651"/>
    </row>
    <row r="279" spans="2:27">
      <c r="B279" s="707"/>
      <c r="C279" s="660"/>
      <c r="D279" s="660"/>
      <c r="E279" s="660"/>
      <c r="F279" s="660"/>
      <c r="G279" s="660"/>
      <c r="H279" s="660"/>
      <c r="I279" s="660"/>
      <c r="J279" s="660"/>
      <c r="K279" s="660"/>
      <c r="L279" s="660"/>
      <c r="M279" s="660"/>
      <c r="N279" s="660"/>
      <c r="O279" s="706"/>
      <c r="P279" s="706"/>
      <c r="Q279" s="706"/>
      <c r="R279" s="706"/>
      <c r="S279" s="706"/>
      <c r="T279" s="706"/>
      <c r="U279" s="706"/>
      <c r="V279" s="706"/>
      <c r="W279" s="706"/>
      <c r="X279" s="706"/>
      <c r="Y279" s="706"/>
      <c r="Z279" s="706"/>
      <c r="AA279" s="651"/>
    </row>
    <row r="280" spans="2:27">
      <c r="B280" s="707"/>
      <c r="C280" s="660"/>
      <c r="D280" s="660"/>
      <c r="E280" s="660"/>
      <c r="F280" s="660"/>
      <c r="G280" s="660"/>
      <c r="H280" s="660"/>
      <c r="I280" s="660"/>
      <c r="J280" s="660"/>
      <c r="K280" s="660"/>
      <c r="L280" s="660"/>
      <c r="M280" s="660"/>
      <c r="N280" s="660"/>
      <c r="O280" s="706"/>
      <c r="P280" s="706"/>
      <c r="Q280" s="706"/>
      <c r="R280" s="706"/>
      <c r="S280" s="706"/>
      <c r="T280" s="706"/>
      <c r="U280" s="706"/>
      <c r="V280" s="706"/>
      <c r="W280" s="706"/>
      <c r="X280" s="706"/>
      <c r="Y280" s="706"/>
      <c r="Z280" s="706"/>
      <c r="AA280" s="651"/>
    </row>
    <row r="281" spans="2:27">
      <c r="B281" s="672"/>
      <c r="C281" s="660"/>
      <c r="D281" s="660"/>
      <c r="E281" s="660"/>
      <c r="F281" s="660"/>
      <c r="G281" s="660"/>
      <c r="H281" s="660"/>
      <c r="I281" s="660"/>
      <c r="J281" s="660"/>
      <c r="K281" s="660"/>
      <c r="L281" s="660"/>
      <c r="M281" s="660"/>
      <c r="N281" s="660"/>
      <c r="O281" s="673"/>
      <c r="P281" s="673"/>
      <c r="Q281" s="673"/>
      <c r="R281" s="673"/>
      <c r="S281" s="673"/>
      <c r="T281" s="673"/>
      <c r="U281" s="673"/>
      <c r="V281" s="673"/>
      <c r="W281" s="673"/>
      <c r="X281" s="673"/>
      <c r="Y281" s="673"/>
      <c r="Z281" s="673"/>
    </row>
    <row r="282" spans="2:27">
      <c r="B282" s="672"/>
      <c r="C282" s="660"/>
      <c r="D282" s="660"/>
      <c r="E282" s="660"/>
      <c r="F282" s="660"/>
      <c r="G282" s="660"/>
      <c r="H282" s="660"/>
      <c r="I282" s="660"/>
      <c r="J282" s="660"/>
      <c r="K282" s="660"/>
      <c r="L282" s="660"/>
      <c r="M282" s="660"/>
      <c r="N282" s="660"/>
      <c r="O282" s="673"/>
      <c r="P282" s="673"/>
      <c r="Q282" s="673"/>
      <c r="R282" s="673"/>
      <c r="S282" s="673"/>
      <c r="T282" s="673"/>
      <c r="U282" s="673"/>
      <c r="V282" s="673"/>
      <c r="W282" s="673"/>
      <c r="X282" s="673"/>
      <c r="Y282" s="673"/>
      <c r="Z282" s="673"/>
    </row>
    <row r="283" spans="2:27">
      <c r="B283" s="672"/>
      <c r="C283" s="660"/>
      <c r="D283" s="660"/>
      <c r="E283" s="660"/>
      <c r="F283" s="660"/>
      <c r="G283" s="660"/>
      <c r="H283" s="660"/>
      <c r="I283" s="660"/>
      <c r="J283" s="660"/>
      <c r="K283" s="660"/>
      <c r="L283" s="660"/>
      <c r="M283" s="660"/>
      <c r="N283" s="660"/>
      <c r="O283" s="673"/>
      <c r="P283" s="673"/>
      <c r="Q283" s="673"/>
      <c r="R283" s="673"/>
      <c r="S283" s="673"/>
      <c r="T283" s="673"/>
      <c r="U283" s="673"/>
      <c r="V283" s="673"/>
      <c r="W283" s="673"/>
      <c r="X283" s="673"/>
      <c r="Y283" s="673"/>
      <c r="Z283" s="673"/>
    </row>
    <row r="284" spans="2:27">
      <c r="B284" s="672"/>
      <c r="C284" s="660"/>
      <c r="D284" s="660"/>
      <c r="E284" s="660"/>
      <c r="F284" s="660"/>
      <c r="G284" s="660"/>
      <c r="H284" s="660"/>
      <c r="I284" s="660"/>
      <c r="J284" s="660"/>
      <c r="K284" s="660"/>
      <c r="L284" s="660"/>
      <c r="M284" s="660"/>
      <c r="N284" s="660"/>
      <c r="O284" s="673"/>
      <c r="P284" s="673"/>
      <c r="Q284" s="673"/>
      <c r="R284" s="673"/>
      <c r="S284" s="673"/>
      <c r="T284" s="673"/>
      <c r="U284" s="673"/>
      <c r="V284" s="673"/>
      <c r="W284" s="673"/>
      <c r="X284" s="673"/>
      <c r="Y284" s="673"/>
      <c r="Z284" s="673"/>
    </row>
    <row r="285" spans="2:27">
      <c r="B285" s="672"/>
      <c r="C285" s="660"/>
      <c r="D285" s="660"/>
      <c r="E285" s="660"/>
      <c r="F285" s="660"/>
      <c r="G285" s="660"/>
      <c r="H285" s="660"/>
      <c r="I285" s="660"/>
      <c r="J285" s="660"/>
      <c r="K285" s="660"/>
      <c r="L285" s="660"/>
      <c r="M285" s="660"/>
      <c r="N285" s="660"/>
      <c r="O285" s="673"/>
      <c r="P285" s="673"/>
      <c r="Q285" s="673"/>
      <c r="R285" s="673"/>
      <c r="S285" s="673"/>
      <c r="T285" s="673"/>
      <c r="U285" s="673"/>
      <c r="V285" s="673"/>
      <c r="W285" s="673"/>
      <c r="X285" s="673"/>
      <c r="Y285" s="673"/>
      <c r="Z285" s="673"/>
    </row>
    <row r="286" spans="2:27">
      <c r="B286" s="672"/>
      <c r="C286" s="660"/>
      <c r="D286" s="660"/>
      <c r="E286" s="660"/>
      <c r="F286" s="660"/>
      <c r="G286" s="660"/>
      <c r="H286" s="660"/>
      <c r="I286" s="660"/>
      <c r="J286" s="660"/>
      <c r="K286" s="660"/>
      <c r="L286" s="660"/>
      <c r="M286" s="660"/>
      <c r="N286" s="660"/>
      <c r="O286" s="673"/>
      <c r="P286" s="673"/>
      <c r="Q286" s="673"/>
      <c r="R286" s="673"/>
      <c r="S286" s="673"/>
      <c r="T286" s="673"/>
      <c r="U286" s="673"/>
      <c r="V286" s="673"/>
      <c r="W286" s="673"/>
      <c r="X286" s="673"/>
      <c r="Y286" s="673"/>
      <c r="Z286" s="673"/>
    </row>
    <row r="287" spans="2:27">
      <c r="B287" s="672"/>
      <c r="C287" s="660"/>
      <c r="D287" s="660"/>
      <c r="E287" s="660"/>
      <c r="F287" s="660"/>
      <c r="G287" s="660"/>
      <c r="H287" s="660"/>
      <c r="I287" s="660"/>
      <c r="J287" s="660"/>
      <c r="K287" s="660"/>
      <c r="L287" s="660"/>
      <c r="M287" s="660"/>
      <c r="N287" s="660"/>
      <c r="O287" s="673"/>
      <c r="P287" s="673"/>
      <c r="Q287" s="673"/>
      <c r="R287" s="673"/>
      <c r="S287" s="673"/>
      <c r="T287" s="673"/>
      <c r="U287" s="673"/>
      <c r="V287" s="673"/>
      <c r="W287" s="673"/>
      <c r="X287" s="673"/>
      <c r="Y287" s="673"/>
      <c r="Z287" s="673"/>
    </row>
    <row r="288" spans="2:27">
      <c r="B288" s="672"/>
      <c r="C288" s="660"/>
      <c r="D288" s="660"/>
      <c r="E288" s="660"/>
      <c r="F288" s="660"/>
      <c r="G288" s="660"/>
      <c r="H288" s="660"/>
      <c r="I288" s="660"/>
      <c r="J288" s="660"/>
      <c r="K288" s="660"/>
      <c r="L288" s="660"/>
      <c r="M288" s="660"/>
      <c r="N288" s="660"/>
      <c r="O288" s="673"/>
      <c r="P288" s="673"/>
      <c r="Q288" s="673"/>
      <c r="R288" s="673"/>
      <c r="S288" s="673"/>
      <c r="T288" s="673"/>
      <c r="U288" s="673"/>
      <c r="V288" s="673"/>
      <c r="W288" s="673"/>
      <c r="X288" s="673"/>
      <c r="Y288" s="673"/>
      <c r="Z288" s="673"/>
    </row>
    <row r="289" spans="2:26">
      <c r="B289" s="672"/>
      <c r="C289" s="660"/>
      <c r="D289" s="660"/>
      <c r="E289" s="660"/>
      <c r="F289" s="660"/>
      <c r="G289" s="660"/>
      <c r="H289" s="660"/>
      <c r="I289" s="660"/>
      <c r="J289" s="660"/>
      <c r="K289" s="660"/>
      <c r="L289" s="660"/>
      <c r="M289" s="660"/>
      <c r="N289" s="660"/>
      <c r="O289" s="673"/>
      <c r="P289" s="673"/>
      <c r="Q289" s="673"/>
      <c r="R289" s="673"/>
      <c r="S289" s="673"/>
      <c r="T289" s="673"/>
      <c r="U289" s="673"/>
      <c r="V289" s="673"/>
      <c r="W289" s="673"/>
      <c r="X289" s="673"/>
      <c r="Y289" s="673"/>
      <c r="Z289" s="673"/>
    </row>
    <row r="290" spans="2:26">
      <c r="B290" s="672"/>
      <c r="C290" s="660"/>
      <c r="D290" s="660"/>
      <c r="E290" s="660"/>
      <c r="F290" s="660"/>
      <c r="G290" s="660"/>
      <c r="H290" s="660"/>
      <c r="I290" s="660"/>
      <c r="J290" s="660"/>
      <c r="K290" s="660"/>
      <c r="L290" s="660"/>
      <c r="M290" s="660"/>
      <c r="N290" s="660"/>
      <c r="O290" s="673"/>
      <c r="P290" s="673"/>
      <c r="Q290" s="673"/>
      <c r="R290" s="673"/>
      <c r="S290" s="673"/>
      <c r="T290" s="673"/>
      <c r="U290" s="673"/>
      <c r="V290" s="673"/>
      <c r="W290" s="673"/>
      <c r="X290" s="673"/>
      <c r="Y290" s="673"/>
      <c r="Z290" s="673"/>
    </row>
    <row r="291" spans="2:26">
      <c r="B291" s="672"/>
      <c r="C291" s="660"/>
      <c r="D291" s="660"/>
      <c r="E291" s="660"/>
      <c r="F291" s="660"/>
      <c r="G291" s="660"/>
      <c r="H291" s="660"/>
      <c r="I291" s="660"/>
      <c r="J291" s="660"/>
      <c r="K291" s="660"/>
      <c r="L291" s="660"/>
      <c r="M291" s="660"/>
      <c r="N291" s="660"/>
      <c r="O291" s="673"/>
      <c r="P291" s="673"/>
      <c r="Q291" s="673"/>
      <c r="R291" s="673"/>
      <c r="S291" s="673"/>
      <c r="T291" s="673"/>
      <c r="U291" s="673"/>
      <c r="V291" s="673"/>
      <c r="W291" s="673"/>
      <c r="X291" s="673"/>
      <c r="Y291" s="673"/>
      <c r="Z291" s="673"/>
    </row>
    <row r="292" spans="2:26">
      <c r="B292" s="672"/>
      <c r="C292" s="660"/>
      <c r="D292" s="660"/>
      <c r="E292" s="660"/>
      <c r="F292" s="660"/>
      <c r="G292" s="660"/>
      <c r="H292" s="660"/>
      <c r="I292" s="660"/>
      <c r="J292" s="660"/>
      <c r="K292" s="660"/>
      <c r="L292" s="660"/>
      <c r="M292" s="660"/>
      <c r="N292" s="660"/>
      <c r="O292" s="673"/>
      <c r="P292" s="673"/>
      <c r="Q292" s="673"/>
      <c r="R292" s="673"/>
      <c r="S292" s="673"/>
      <c r="T292" s="673"/>
      <c r="U292" s="673"/>
      <c r="V292" s="673"/>
      <c r="W292" s="673"/>
      <c r="X292" s="673"/>
      <c r="Y292" s="673"/>
      <c r="Z292" s="673"/>
    </row>
    <row r="293" spans="2:26">
      <c r="B293" s="672"/>
      <c r="C293" s="660"/>
      <c r="D293" s="660"/>
      <c r="E293" s="660"/>
      <c r="F293" s="660"/>
      <c r="G293" s="660"/>
      <c r="H293" s="660"/>
      <c r="I293" s="660"/>
      <c r="J293" s="660"/>
      <c r="K293" s="660"/>
      <c r="L293" s="660"/>
      <c r="M293" s="660"/>
      <c r="N293" s="660"/>
      <c r="O293" s="673"/>
      <c r="P293" s="673"/>
      <c r="Q293" s="673"/>
      <c r="R293" s="673"/>
      <c r="S293" s="673"/>
      <c r="T293" s="673"/>
      <c r="U293" s="673"/>
      <c r="V293" s="673"/>
      <c r="W293" s="673"/>
      <c r="X293" s="673"/>
      <c r="Y293" s="673"/>
      <c r="Z293" s="673"/>
    </row>
    <row r="294" spans="2:26">
      <c r="B294" s="672"/>
      <c r="C294" s="660"/>
      <c r="D294" s="660"/>
      <c r="E294" s="660"/>
      <c r="F294" s="660"/>
      <c r="G294" s="660"/>
      <c r="H294" s="660"/>
      <c r="I294" s="660"/>
      <c r="J294" s="660"/>
      <c r="K294" s="660"/>
      <c r="L294" s="660"/>
      <c r="M294" s="660"/>
      <c r="N294" s="660"/>
      <c r="O294" s="673"/>
      <c r="P294" s="673"/>
      <c r="Q294" s="673"/>
      <c r="R294" s="673"/>
      <c r="S294" s="673"/>
      <c r="T294" s="673"/>
      <c r="U294" s="673"/>
      <c r="V294" s="673"/>
      <c r="W294" s="673"/>
      <c r="X294" s="673"/>
      <c r="Y294" s="673"/>
      <c r="Z294" s="673"/>
    </row>
    <row r="295" spans="2:26">
      <c r="B295" s="672"/>
      <c r="C295" s="660"/>
      <c r="D295" s="660"/>
      <c r="E295" s="660"/>
      <c r="F295" s="660"/>
      <c r="G295" s="660"/>
      <c r="H295" s="660"/>
      <c r="I295" s="660"/>
      <c r="J295" s="660"/>
      <c r="K295" s="660"/>
      <c r="L295" s="660"/>
      <c r="M295" s="660"/>
      <c r="N295" s="660"/>
      <c r="O295" s="673"/>
      <c r="P295" s="673"/>
      <c r="Q295" s="673"/>
      <c r="R295" s="673"/>
      <c r="S295" s="673"/>
      <c r="T295" s="673"/>
      <c r="U295" s="673"/>
      <c r="V295" s="673"/>
      <c r="W295" s="673"/>
      <c r="X295" s="673"/>
      <c r="Y295" s="673"/>
      <c r="Z295" s="673"/>
    </row>
    <row r="296" spans="2:26">
      <c r="B296" s="672"/>
      <c r="C296" s="660"/>
      <c r="D296" s="660"/>
      <c r="E296" s="660"/>
      <c r="F296" s="660"/>
      <c r="G296" s="660"/>
      <c r="H296" s="660"/>
      <c r="I296" s="660"/>
      <c r="J296" s="660"/>
      <c r="K296" s="660"/>
      <c r="L296" s="660"/>
      <c r="M296" s="660"/>
      <c r="N296" s="660"/>
      <c r="O296" s="673"/>
      <c r="P296" s="673"/>
      <c r="Q296" s="673"/>
      <c r="R296" s="673"/>
      <c r="S296" s="673"/>
      <c r="T296" s="673"/>
      <c r="U296" s="673"/>
      <c r="V296" s="673"/>
      <c r="W296" s="673"/>
      <c r="X296" s="673"/>
      <c r="Y296" s="673"/>
      <c r="Z296" s="673"/>
    </row>
    <row r="297" spans="2:26">
      <c r="B297" s="672"/>
      <c r="C297" s="660"/>
      <c r="D297" s="660"/>
      <c r="E297" s="660"/>
      <c r="F297" s="660"/>
      <c r="G297" s="660"/>
      <c r="H297" s="660"/>
      <c r="I297" s="660"/>
      <c r="J297" s="660"/>
      <c r="K297" s="660"/>
      <c r="L297" s="660"/>
      <c r="M297" s="660"/>
      <c r="N297" s="660"/>
      <c r="O297" s="673"/>
      <c r="P297" s="673"/>
      <c r="Q297" s="673"/>
      <c r="R297" s="673"/>
      <c r="S297" s="673"/>
      <c r="T297" s="673"/>
      <c r="U297" s="673"/>
      <c r="V297" s="673"/>
      <c r="W297" s="673"/>
      <c r="X297" s="673"/>
      <c r="Y297" s="673"/>
      <c r="Z297" s="673"/>
    </row>
    <row r="298" spans="2:26">
      <c r="B298" s="672"/>
      <c r="C298" s="660"/>
      <c r="D298" s="660"/>
      <c r="E298" s="660"/>
      <c r="F298" s="660"/>
      <c r="G298" s="660"/>
      <c r="H298" s="660"/>
      <c r="I298" s="660"/>
      <c r="J298" s="660"/>
      <c r="K298" s="660"/>
      <c r="L298" s="660"/>
      <c r="M298" s="660"/>
      <c r="N298" s="660"/>
      <c r="O298" s="673"/>
      <c r="P298" s="673"/>
      <c r="Q298" s="673"/>
      <c r="R298" s="673"/>
      <c r="S298" s="673"/>
      <c r="T298" s="673"/>
      <c r="U298" s="673"/>
      <c r="V298" s="673"/>
      <c r="W298" s="673"/>
      <c r="X298" s="673"/>
      <c r="Y298" s="673"/>
      <c r="Z298" s="673"/>
    </row>
    <row r="299" spans="2:26">
      <c r="B299" s="672"/>
      <c r="C299" s="660"/>
      <c r="D299" s="660"/>
      <c r="E299" s="660"/>
      <c r="F299" s="660"/>
      <c r="G299" s="660"/>
      <c r="H299" s="660"/>
      <c r="I299" s="660"/>
      <c r="J299" s="660"/>
      <c r="K299" s="660"/>
      <c r="L299" s="660"/>
      <c r="M299" s="660"/>
      <c r="N299" s="660"/>
      <c r="O299" s="673"/>
      <c r="P299" s="673"/>
      <c r="Q299" s="673"/>
      <c r="R299" s="673"/>
      <c r="S299" s="673"/>
      <c r="T299" s="673"/>
      <c r="U299" s="673"/>
      <c r="V299" s="673"/>
      <c r="W299" s="673"/>
      <c r="X299" s="673"/>
      <c r="Y299" s="673"/>
      <c r="Z299" s="673"/>
    </row>
    <row r="300" spans="2:26">
      <c r="B300" s="672"/>
      <c r="C300" s="660"/>
      <c r="D300" s="660"/>
      <c r="E300" s="660"/>
      <c r="F300" s="660"/>
      <c r="G300" s="660"/>
      <c r="H300" s="660"/>
      <c r="I300" s="660"/>
      <c r="J300" s="660"/>
      <c r="K300" s="660"/>
      <c r="L300" s="660"/>
      <c r="M300" s="660"/>
      <c r="N300" s="660"/>
      <c r="O300" s="673"/>
      <c r="P300" s="673"/>
      <c r="Q300" s="673"/>
      <c r="R300" s="673"/>
      <c r="S300" s="673"/>
      <c r="T300" s="673"/>
      <c r="U300" s="673"/>
      <c r="V300" s="673"/>
      <c r="W300" s="673"/>
      <c r="X300" s="673"/>
      <c r="Y300" s="673"/>
      <c r="Z300" s="673"/>
    </row>
    <row r="301" spans="2:26">
      <c r="B301" s="672"/>
      <c r="C301" s="660"/>
      <c r="D301" s="660"/>
      <c r="E301" s="660"/>
      <c r="F301" s="660"/>
      <c r="G301" s="660"/>
      <c r="H301" s="660"/>
      <c r="I301" s="660"/>
      <c r="J301" s="660"/>
      <c r="K301" s="660"/>
      <c r="L301" s="660"/>
      <c r="M301" s="660"/>
      <c r="N301" s="660"/>
      <c r="O301" s="673"/>
      <c r="P301" s="673"/>
      <c r="Q301" s="673"/>
      <c r="R301" s="673"/>
      <c r="S301" s="673"/>
      <c r="T301" s="673"/>
      <c r="U301" s="673"/>
      <c r="V301" s="673"/>
      <c r="W301" s="673"/>
      <c r="X301" s="673"/>
      <c r="Y301" s="673"/>
      <c r="Z301" s="673"/>
    </row>
    <row r="302" spans="2:26">
      <c r="B302" s="672"/>
      <c r="C302" s="660"/>
      <c r="D302" s="660"/>
      <c r="E302" s="660"/>
      <c r="F302" s="660"/>
      <c r="G302" s="660"/>
      <c r="H302" s="660"/>
      <c r="I302" s="660"/>
      <c r="J302" s="660"/>
      <c r="K302" s="660"/>
      <c r="L302" s="660"/>
      <c r="M302" s="660"/>
      <c r="N302" s="660"/>
      <c r="O302" s="673"/>
      <c r="P302" s="673"/>
      <c r="Q302" s="673"/>
      <c r="R302" s="673"/>
      <c r="S302" s="673"/>
      <c r="T302" s="673"/>
      <c r="U302" s="673"/>
      <c r="V302" s="673"/>
      <c r="W302" s="673"/>
      <c r="X302" s="673"/>
      <c r="Y302" s="673"/>
      <c r="Z302" s="673"/>
    </row>
    <row r="303" spans="2:26">
      <c r="B303" s="672"/>
      <c r="C303" s="660"/>
      <c r="D303" s="660"/>
      <c r="E303" s="660"/>
      <c r="F303" s="660"/>
      <c r="G303" s="660"/>
      <c r="H303" s="660"/>
      <c r="I303" s="660"/>
      <c r="J303" s="660"/>
      <c r="K303" s="660"/>
      <c r="L303" s="660"/>
      <c r="M303" s="660"/>
      <c r="N303" s="660"/>
      <c r="O303" s="673"/>
      <c r="P303" s="673"/>
      <c r="Q303" s="673"/>
      <c r="R303" s="673"/>
      <c r="S303" s="673"/>
      <c r="T303" s="673"/>
      <c r="U303" s="673"/>
      <c r="V303" s="673"/>
      <c r="W303" s="673"/>
      <c r="X303" s="673"/>
      <c r="Y303" s="673"/>
      <c r="Z303" s="673"/>
    </row>
    <row r="304" spans="2:26">
      <c r="B304" s="672"/>
      <c r="C304" s="660"/>
      <c r="D304" s="660"/>
      <c r="E304" s="660"/>
      <c r="F304" s="660"/>
      <c r="G304" s="660"/>
      <c r="H304" s="660"/>
      <c r="I304" s="660"/>
      <c r="J304" s="660"/>
      <c r="K304" s="660"/>
      <c r="L304" s="660"/>
      <c r="M304" s="660"/>
      <c r="N304" s="660"/>
      <c r="O304" s="673"/>
      <c r="P304" s="673"/>
      <c r="Q304" s="673"/>
      <c r="R304" s="673"/>
      <c r="S304" s="673"/>
      <c r="T304" s="673"/>
      <c r="U304" s="673"/>
      <c r="V304" s="673"/>
      <c r="W304" s="673"/>
      <c r="X304" s="673"/>
      <c r="Y304" s="673"/>
      <c r="Z304" s="673"/>
    </row>
    <row r="305" spans="2:26">
      <c r="B305" s="672"/>
      <c r="C305" s="660"/>
      <c r="D305" s="660"/>
      <c r="E305" s="660"/>
      <c r="F305" s="660"/>
      <c r="G305" s="660"/>
      <c r="H305" s="660"/>
      <c r="I305" s="660"/>
      <c r="J305" s="660"/>
      <c r="K305" s="660"/>
      <c r="L305" s="660"/>
      <c r="M305" s="660"/>
      <c r="N305" s="660"/>
      <c r="O305" s="673"/>
      <c r="P305" s="673"/>
      <c r="Q305" s="673"/>
      <c r="R305" s="673"/>
      <c r="S305" s="673"/>
      <c r="T305" s="673"/>
      <c r="U305" s="673"/>
      <c r="V305" s="673"/>
      <c r="W305" s="673"/>
      <c r="X305" s="673"/>
      <c r="Y305" s="673"/>
      <c r="Z305" s="673"/>
    </row>
    <row r="306" spans="2:26">
      <c r="B306" s="672"/>
      <c r="C306" s="660"/>
      <c r="D306" s="660"/>
      <c r="E306" s="660"/>
      <c r="F306" s="660"/>
      <c r="G306" s="660"/>
      <c r="H306" s="660"/>
      <c r="I306" s="660"/>
      <c r="J306" s="660"/>
      <c r="K306" s="660"/>
      <c r="L306" s="660"/>
      <c r="M306" s="660"/>
      <c r="N306" s="660"/>
      <c r="O306" s="673"/>
      <c r="P306" s="673"/>
      <c r="Q306" s="673"/>
      <c r="R306" s="673"/>
      <c r="S306" s="673"/>
      <c r="T306" s="673"/>
      <c r="U306" s="673"/>
      <c r="V306" s="673"/>
      <c r="W306" s="673"/>
      <c r="X306" s="673"/>
      <c r="Y306" s="673"/>
      <c r="Z306" s="673"/>
    </row>
    <row r="307" spans="2:26">
      <c r="B307" s="672"/>
      <c r="C307" s="660"/>
      <c r="D307" s="660"/>
      <c r="E307" s="660"/>
      <c r="F307" s="660"/>
      <c r="G307" s="660"/>
      <c r="H307" s="660"/>
      <c r="I307" s="660"/>
      <c r="J307" s="660"/>
      <c r="K307" s="660"/>
      <c r="L307" s="660"/>
      <c r="M307" s="660"/>
      <c r="N307" s="660"/>
      <c r="O307" s="673"/>
      <c r="P307" s="673"/>
      <c r="Q307" s="673"/>
      <c r="R307" s="673"/>
      <c r="S307" s="673"/>
      <c r="T307" s="673"/>
      <c r="U307" s="673"/>
      <c r="V307" s="673"/>
      <c r="W307" s="673"/>
      <c r="X307" s="673"/>
      <c r="Y307" s="673"/>
      <c r="Z307" s="673"/>
    </row>
    <row r="308" spans="2:26">
      <c r="B308" s="672"/>
      <c r="C308" s="660"/>
      <c r="D308" s="660"/>
      <c r="E308" s="660"/>
      <c r="F308" s="660"/>
      <c r="G308" s="660"/>
      <c r="H308" s="660"/>
      <c r="I308" s="660"/>
      <c r="J308" s="660"/>
      <c r="K308" s="660"/>
      <c r="L308" s="660"/>
      <c r="M308" s="660"/>
      <c r="N308" s="660"/>
      <c r="O308" s="673"/>
      <c r="P308" s="673"/>
      <c r="Q308" s="673"/>
      <c r="R308" s="673"/>
      <c r="S308" s="673"/>
      <c r="T308" s="673"/>
      <c r="U308" s="673"/>
      <c r="V308" s="673"/>
      <c r="W308" s="673"/>
      <c r="X308" s="673"/>
      <c r="Y308" s="673"/>
      <c r="Z308" s="673"/>
    </row>
    <row r="309" spans="2:26">
      <c r="B309" s="672"/>
      <c r="C309" s="660"/>
      <c r="D309" s="660"/>
      <c r="E309" s="660"/>
      <c r="F309" s="660"/>
      <c r="G309" s="660"/>
      <c r="H309" s="660"/>
      <c r="I309" s="660"/>
      <c r="J309" s="660"/>
      <c r="K309" s="660"/>
      <c r="L309" s="660"/>
      <c r="M309" s="660"/>
      <c r="N309" s="660"/>
      <c r="O309" s="673"/>
      <c r="P309" s="673"/>
      <c r="Q309" s="673"/>
      <c r="R309" s="673"/>
      <c r="S309" s="673"/>
      <c r="T309" s="673"/>
      <c r="U309" s="673"/>
      <c r="V309" s="673"/>
      <c r="W309" s="673"/>
      <c r="X309" s="673"/>
      <c r="Y309" s="673"/>
      <c r="Z309" s="673"/>
    </row>
    <row r="310" spans="2:26">
      <c r="B310" s="672"/>
      <c r="C310" s="660"/>
      <c r="D310" s="660"/>
      <c r="E310" s="660"/>
      <c r="F310" s="660"/>
      <c r="G310" s="660"/>
      <c r="H310" s="660"/>
      <c r="I310" s="660"/>
      <c r="J310" s="660"/>
      <c r="K310" s="660"/>
      <c r="L310" s="660"/>
      <c r="M310" s="660"/>
      <c r="N310" s="660"/>
      <c r="O310" s="673"/>
      <c r="P310" s="673"/>
      <c r="Q310" s="673"/>
      <c r="R310" s="673"/>
      <c r="S310" s="673"/>
      <c r="T310" s="673"/>
      <c r="U310" s="673"/>
      <c r="V310" s="673"/>
      <c r="W310" s="673"/>
      <c r="X310" s="673"/>
      <c r="Y310" s="673"/>
      <c r="Z310" s="673"/>
    </row>
    <row r="311" spans="2:26">
      <c r="B311" s="672"/>
      <c r="C311" s="660"/>
      <c r="D311" s="660"/>
      <c r="E311" s="660"/>
      <c r="F311" s="660"/>
      <c r="G311" s="660"/>
      <c r="H311" s="660"/>
      <c r="I311" s="660"/>
      <c r="J311" s="660"/>
      <c r="K311" s="660"/>
      <c r="L311" s="660"/>
      <c r="M311" s="660"/>
      <c r="N311" s="660"/>
      <c r="O311" s="673"/>
      <c r="P311" s="673"/>
      <c r="Q311" s="673"/>
      <c r="R311" s="673"/>
      <c r="S311" s="673"/>
      <c r="T311" s="673"/>
      <c r="U311" s="673"/>
      <c r="V311" s="673"/>
      <c r="W311" s="673"/>
      <c r="X311" s="673"/>
      <c r="Y311" s="673"/>
      <c r="Z311" s="673"/>
    </row>
    <row r="312" spans="2:26">
      <c r="B312" s="672"/>
      <c r="C312" s="660"/>
      <c r="D312" s="660"/>
      <c r="E312" s="660"/>
      <c r="F312" s="660"/>
      <c r="G312" s="660"/>
      <c r="H312" s="660"/>
      <c r="I312" s="660"/>
      <c r="J312" s="660"/>
      <c r="K312" s="660"/>
      <c r="L312" s="660"/>
      <c r="M312" s="660"/>
      <c r="N312" s="660"/>
      <c r="O312" s="673"/>
      <c r="P312" s="673"/>
      <c r="Q312" s="673"/>
      <c r="R312" s="673"/>
      <c r="S312" s="673"/>
      <c r="T312" s="673"/>
      <c r="U312" s="673"/>
      <c r="V312" s="673"/>
      <c r="W312" s="673"/>
      <c r="X312" s="673"/>
      <c r="Y312" s="673"/>
      <c r="Z312" s="673"/>
    </row>
    <row r="313" spans="2:26">
      <c r="B313" s="672"/>
      <c r="C313" s="660"/>
      <c r="D313" s="660"/>
      <c r="E313" s="660"/>
      <c r="F313" s="660"/>
      <c r="G313" s="660"/>
      <c r="H313" s="660"/>
      <c r="I313" s="660"/>
      <c r="J313" s="660"/>
      <c r="K313" s="660"/>
      <c r="L313" s="660"/>
      <c r="M313" s="660"/>
      <c r="N313" s="660"/>
      <c r="O313" s="673"/>
      <c r="P313" s="673"/>
      <c r="Q313" s="673"/>
      <c r="R313" s="673"/>
      <c r="S313" s="673"/>
      <c r="T313" s="673"/>
      <c r="U313" s="673"/>
      <c r="V313" s="673"/>
      <c r="W313" s="673"/>
      <c r="X313" s="673"/>
      <c r="Y313" s="673"/>
      <c r="Z313" s="673"/>
    </row>
    <row r="314" spans="2:26">
      <c r="B314" s="672"/>
      <c r="C314" s="660"/>
      <c r="D314" s="660"/>
      <c r="E314" s="660"/>
      <c r="F314" s="660"/>
      <c r="G314" s="660"/>
      <c r="H314" s="660"/>
      <c r="I314" s="660"/>
      <c r="J314" s="660"/>
      <c r="K314" s="660"/>
      <c r="L314" s="660"/>
      <c r="M314" s="660"/>
      <c r="N314" s="660"/>
      <c r="O314" s="673"/>
      <c r="P314" s="673"/>
      <c r="Q314" s="673"/>
      <c r="R314" s="673"/>
      <c r="S314" s="673"/>
      <c r="T314" s="673"/>
      <c r="U314" s="673"/>
      <c r="V314" s="673"/>
      <c r="W314" s="673"/>
      <c r="X314" s="673"/>
      <c r="Y314" s="673"/>
      <c r="Z314" s="673"/>
    </row>
    <row r="315" spans="2:26">
      <c r="B315" s="672"/>
      <c r="C315" s="660"/>
      <c r="D315" s="660"/>
      <c r="E315" s="660"/>
      <c r="F315" s="660"/>
      <c r="G315" s="660"/>
      <c r="H315" s="660"/>
      <c r="I315" s="660"/>
      <c r="J315" s="660"/>
      <c r="K315" s="660"/>
      <c r="L315" s="660"/>
      <c r="M315" s="660"/>
      <c r="N315" s="660"/>
      <c r="O315" s="673"/>
      <c r="P315" s="673"/>
      <c r="Q315" s="673"/>
      <c r="R315" s="673"/>
      <c r="S315" s="673"/>
      <c r="T315" s="673"/>
      <c r="U315" s="673"/>
      <c r="V315" s="673"/>
      <c r="W315" s="673"/>
      <c r="X315" s="673"/>
      <c r="Y315" s="673"/>
      <c r="Z315" s="673"/>
    </row>
    <row r="316" spans="2:26">
      <c r="B316" s="672"/>
      <c r="C316" s="660"/>
      <c r="D316" s="660"/>
      <c r="E316" s="660"/>
      <c r="F316" s="660"/>
      <c r="G316" s="660"/>
      <c r="H316" s="660"/>
      <c r="I316" s="660"/>
      <c r="J316" s="660"/>
      <c r="K316" s="660"/>
      <c r="L316" s="660"/>
      <c r="M316" s="660"/>
      <c r="N316" s="660"/>
      <c r="O316" s="673"/>
      <c r="P316" s="673"/>
      <c r="Q316" s="673"/>
      <c r="R316" s="673"/>
      <c r="S316" s="673"/>
      <c r="T316" s="673"/>
      <c r="U316" s="673"/>
      <c r="V316" s="673"/>
      <c r="W316" s="673"/>
      <c r="X316" s="673"/>
      <c r="Y316" s="673"/>
      <c r="Z316" s="673"/>
    </row>
    <row r="317" spans="2:26">
      <c r="B317" s="672"/>
      <c r="C317" s="660"/>
      <c r="D317" s="660"/>
      <c r="E317" s="660"/>
      <c r="F317" s="660"/>
      <c r="G317" s="660"/>
      <c r="H317" s="660"/>
      <c r="I317" s="660"/>
      <c r="J317" s="660"/>
      <c r="K317" s="660"/>
      <c r="L317" s="660"/>
      <c r="M317" s="660"/>
      <c r="N317" s="660"/>
      <c r="O317" s="673"/>
      <c r="P317" s="673"/>
      <c r="Q317" s="673"/>
      <c r="R317" s="673"/>
      <c r="S317" s="673"/>
      <c r="T317" s="673"/>
      <c r="U317" s="673"/>
      <c r="V317" s="673"/>
      <c r="W317" s="673"/>
      <c r="X317" s="673"/>
      <c r="Y317" s="673"/>
      <c r="Z317" s="673"/>
    </row>
    <row r="318" spans="2:26">
      <c r="B318" s="672"/>
      <c r="C318" s="660"/>
      <c r="D318" s="660"/>
      <c r="E318" s="660"/>
      <c r="F318" s="660"/>
      <c r="G318" s="660"/>
      <c r="H318" s="660"/>
      <c r="I318" s="660"/>
      <c r="J318" s="660"/>
      <c r="K318" s="660"/>
      <c r="L318" s="660"/>
      <c r="M318" s="660"/>
      <c r="N318" s="660"/>
      <c r="O318" s="673"/>
      <c r="P318" s="673"/>
      <c r="Q318" s="673"/>
      <c r="R318" s="673"/>
      <c r="S318" s="673"/>
      <c r="T318" s="673"/>
      <c r="U318" s="673"/>
      <c r="V318" s="673"/>
      <c r="W318" s="673"/>
      <c r="X318" s="673"/>
      <c r="Y318" s="673"/>
      <c r="Z318" s="673"/>
    </row>
    <row r="319" spans="2:26">
      <c r="B319" s="676"/>
      <c r="C319" s="651"/>
      <c r="D319" s="651"/>
      <c r="E319" s="651"/>
      <c r="F319" s="651"/>
      <c r="G319" s="651"/>
      <c r="H319" s="651"/>
      <c r="I319" s="651"/>
      <c r="J319" s="651"/>
      <c r="K319" s="651"/>
      <c r="L319" s="651"/>
      <c r="M319" s="651"/>
      <c r="N319" s="651"/>
    </row>
    <row r="320" spans="2:26">
      <c r="B320" s="672"/>
      <c r="C320" s="651"/>
      <c r="D320" s="651"/>
      <c r="E320" s="651"/>
      <c r="F320" s="651"/>
      <c r="G320" s="651"/>
      <c r="H320" s="651"/>
      <c r="I320" s="651"/>
      <c r="J320" s="651"/>
      <c r="K320" s="651"/>
      <c r="L320" s="651"/>
      <c r="M320" s="651"/>
      <c r="N320" s="651"/>
    </row>
    <row r="321" spans="2:16">
      <c r="C321" s="660"/>
      <c r="D321" s="660"/>
      <c r="E321" s="660"/>
      <c r="F321" s="660"/>
      <c r="G321" s="660"/>
      <c r="H321" s="660"/>
      <c r="I321" s="660"/>
      <c r="J321" s="660"/>
      <c r="K321" s="660"/>
      <c r="L321" s="660"/>
      <c r="M321" s="660"/>
      <c r="N321" s="660"/>
    </row>
    <row r="323" spans="2:16">
      <c r="B323" s="678"/>
      <c r="C323" s="679"/>
      <c r="D323" s="679"/>
      <c r="E323" s="679"/>
      <c r="F323" s="679"/>
      <c r="G323" s="679"/>
      <c r="H323" s="679"/>
      <c r="I323" s="679"/>
      <c r="J323" s="679"/>
      <c r="K323" s="679"/>
      <c r="L323" s="679"/>
      <c r="M323" s="679"/>
      <c r="N323" s="679"/>
      <c r="O323" s="679"/>
      <c r="P323" s="680"/>
    </row>
    <row r="324" spans="2:16">
      <c r="B324" s="678"/>
      <c r="C324" s="679"/>
      <c r="D324" s="679"/>
      <c r="E324" s="679"/>
      <c r="F324" s="679"/>
      <c r="G324" s="679"/>
      <c r="H324" s="679"/>
      <c r="I324" s="679"/>
      <c r="J324" s="679"/>
      <c r="K324" s="679"/>
      <c r="L324" s="679"/>
      <c r="M324" s="679"/>
      <c r="N324" s="679"/>
      <c r="O324" s="679"/>
      <c r="P324" s="680"/>
    </row>
    <row r="325" spans="2:16">
      <c r="B325" s="678"/>
      <c r="C325" s="679"/>
      <c r="D325" s="679"/>
      <c r="E325" s="679"/>
      <c r="F325" s="679"/>
      <c r="G325" s="679"/>
      <c r="H325" s="679"/>
      <c r="I325" s="679"/>
      <c r="J325" s="679"/>
      <c r="K325" s="679"/>
      <c r="L325" s="679"/>
      <c r="M325" s="679"/>
      <c r="N325" s="679"/>
      <c r="O325" s="679"/>
      <c r="P325" s="680"/>
    </row>
    <row r="326" spans="2:16">
      <c r="B326" s="678"/>
      <c r="C326" s="679"/>
      <c r="D326" s="679"/>
      <c r="E326" s="679"/>
      <c r="F326" s="679"/>
      <c r="G326" s="679"/>
      <c r="H326" s="679"/>
      <c r="I326" s="679"/>
      <c r="J326" s="679"/>
      <c r="K326" s="679"/>
      <c r="L326" s="679"/>
      <c r="M326" s="679"/>
      <c r="N326" s="679"/>
      <c r="O326" s="679"/>
      <c r="P326" s="680"/>
    </row>
    <row r="327" spans="2:16">
      <c r="B327" s="678"/>
      <c r="C327" s="679"/>
      <c r="D327" s="679"/>
      <c r="E327" s="679"/>
      <c r="F327" s="679"/>
      <c r="G327" s="679"/>
      <c r="H327" s="679"/>
      <c r="I327" s="679"/>
      <c r="J327" s="679"/>
      <c r="K327" s="679"/>
      <c r="L327" s="679"/>
      <c r="M327" s="679"/>
      <c r="N327" s="679"/>
      <c r="O327" s="679"/>
      <c r="P327" s="680"/>
    </row>
    <row r="328" spans="2:16">
      <c r="B328" s="678"/>
      <c r="C328" s="679"/>
      <c r="D328" s="679"/>
      <c r="E328" s="679"/>
      <c r="F328" s="679"/>
      <c r="G328" s="679"/>
      <c r="H328" s="679"/>
      <c r="I328" s="679"/>
      <c r="J328" s="679"/>
      <c r="K328" s="679"/>
      <c r="L328" s="679"/>
      <c r="M328" s="679"/>
      <c r="N328" s="679"/>
      <c r="O328" s="679"/>
      <c r="P328" s="680"/>
    </row>
    <row r="329" spans="2:16">
      <c r="B329" s="678"/>
      <c r="C329" s="679"/>
      <c r="D329" s="679"/>
      <c r="E329" s="679"/>
      <c r="F329" s="679"/>
      <c r="G329" s="679"/>
      <c r="H329" s="679"/>
      <c r="I329" s="679"/>
      <c r="J329" s="679"/>
      <c r="K329" s="679"/>
      <c r="L329" s="679"/>
      <c r="M329" s="679"/>
      <c r="N329" s="679"/>
      <c r="O329" s="679"/>
      <c r="P329" s="680"/>
    </row>
    <row r="330" spans="2:16">
      <c r="B330" s="678"/>
      <c r="C330" s="679"/>
      <c r="D330" s="679"/>
      <c r="E330" s="679"/>
      <c r="F330" s="679"/>
      <c r="G330" s="679"/>
      <c r="H330" s="679"/>
      <c r="I330" s="679"/>
      <c r="J330" s="679"/>
      <c r="K330" s="679"/>
      <c r="L330" s="679"/>
      <c r="M330" s="679"/>
      <c r="N330" s="679"/>
      <c r="O330" s="679"/>
      <c r="P330" s="680"/>
    </row>
    <row r="331" spans="2:16">
      <c r="B331" s="678"/>
      <c r="C331" s="679"/>
      <c r="D331" s="679"/>
      <c r="E331" s="679"/>
      <c r="F331" s="679"/>
      <c r="G331" s="679"/>
      <c r="H331" s="679"/>
      <c r="I331" s="679"/>
      <c r="J331" s="679"/>
      <c r="K331" s="679"/>
      <c r="L331" s="679"/>
      <c r="M331" s="679"/>
      <c r="N331" s="679"/>
      <c r="O331" s="679"/>
      <c r="P331" s="680"/>
    </row>
    <row r="332" spans="2:16">
      <c r="B332" s="678"/>
      <c r="C332" s="679"/>
      <c r="D332" s="679"/>
      <c r="E332" s="679"/>
      <c r="F332" s="679"/>
      <c r="G332" s="679"/>
      <c r="H332" s="679"/>
      <c r="I332" s="679"/>
      <c r="J332" s="679"/>
      <c r="K332" s="679"/>
      <c r="L332" s="679"/>
      <c r="M332" s="679"/>
      <c r="N332" s="679"/>
      <c r="O332" s="679"/>
      <c r="P332" s="680"/>
    </row>
    <row r="333" spans="2:16">
      <c r="B333" s="678"/>
      <c r="C333" s="679"/>
      <c r="D333" s="679"/>
      <c r="E333" s="679"/>
      <c r="F333" s="679"/>
      <c r="G333" s="679"/>
      <c r="H333" s="679"/>
      <c r="I333" s="679"/>
      <c r="J333" s="679"/>
      <c r="K333" s="679"/>
      <c r="L333" s="679"/>
      <c r="M333" s="679"/>
      <c r="N333" s="679"/>
      <c r="O333" s="679"/>
      <c r="P333" s="680"/>
    </row>
    <row r="334" spans="2:16">
      <c r="B334" s="678"/>
      <c r="C334" s="679"/>
      <c r="D334" s="679"/>
      <c r="E334" s="679"/>
      <c r="F334" s="679"/>
      <c r="G334" s="679"/>
      <c r="H334" s="679"/>
      <c r="I334" s="679"/>
      <c r="J334" s="679"/>
      <c r="K334" s="679"/>
      <c r="L334" s="679"/>
      <c r="M334" s="679"/>
      <c r="N334" s="679"/>
      <c r="O334" s="679"/>
      <c r="P334" s="680"/>
    </row>
    <row r="335" spans="2:16">
      <c r="B335" s="678"/>
      <c r="C335" s="679"/>
      <c r="D335" s="679"/>
      <c r="E335" s="679"/>
      <c r="F335" s="679"/>
      <c r="G335" s="679"/>
      <c r="H335" s="679"/>
      <c r="I335" s="679"/>
      <c r="J335" s="679"/>
      <c r="K335" s="679"/>
      <c r="L335" s="679"/>
      <c r="M335" s="679"/>
      <c r="N335" s="679"/>
      <c r="O335" s="679"/>
      <c r="P335" s="680"/>
    </row>
    <row r="336" spans="2:16">
      <c r="B336" s="678"/>
      <c r="C336" s="679"/>
      <c r="D336" s="679"/>
      <c r="E336" s="679"/>
      <c r="F336" s="679"/>
      <c r="G336" s="679"/>
      <c r="H336" s="679"/>
      <c r="I336" s="679"/>
      <c r="J336" s="679"/>
      <c r="K336" s="679"/>
      <c r="L336" s="679"/>
      <c r="M336" s="679"/>
      <c r="N336" s="679"/>
      <c r="O336" s="679"/>
      <c r="P336" s="680"/>
    </row>
    <row r="337" spans="2:19">
      <c r="B337" s="678"/>
      <c r="C337" s="679"/>
      <c r="D337" s="679"/>
      <c r="E337" s="679"/>
      <c r="F337" s="679"/>
      <c r="G337" s="679"/>
      <c r="H337" s="679"/>
      <c r="I337" s="679"/>
      <c r="J337" s="679"/>
      <c r="K337" s="679"/>
      <c r="L337" s="679"/>
      <c r="M337" s="679"/>
      <c r="N337" s="679"/>
      <c r="O337" s="679"/>
      <c r="P337" s="680"/>
      <c r="R337" s="682"/>
    </row>
    <row r="338" spans="2:19">
      <c r="B338" s="678"/>
      <c r="C338" s="679"/>
      <c r="D338" s="679"/>
      <c r="E338" s="679"/>
      <c r="F338" s="679"/>
      <c r="G338" s="679"/>
      <c r="H338" s="679"/>
      <c r="I338" s="679"/>
      <c r="J338" s="679"/>
      <c r="K338" s="679"/>
      <c r="L338" s="679"/>
      <c r="M338" s="679"/>
      <c r="N338" s="679"/>
      <c r="O338" s="679"/>
      <c r="P338" s="680"/>
    </row>
    <row r="339" spans="2:19">
      <c r="B339" s="678"/>
      <c r="C339" s="679"/>
      <c r="D339" s="679"/>
      <c r="E339" s="679"/>
      <c r="F339" s="679"/>
      <c r="G339" s="679"/>
      <c r="H339" s="679"/>
      <c r="I339" s="679"/>
      <c r="J339" s="679"/>
      <c r="K339" s="679"/>
      <c r="L339" s="679"/>
      <c r="M339" s="679"/>
      <c r="N339" s="679"/>
      <c r="O339" s="679"/>
      <c r="P339" s="680"/>
    </row>
    <row r="340" spans="2:19">
      <c r="B340" s="678"/>
      <c r="C340" s="679"/>
      <c r="D340" s="679"/>
      <c r="E340" s="679"/>
      <c r="F340" s="679"/>
      <c r="G340" s="679"/>
      <c r="H340" s="679"/>
      <c r="I340" s="679"/>
      <c r="J340" s="679"/>
      <c r="K340" s="679"/>
      <c r="L340" s="679"/>
      <c r="M340" s="679"/>
      <c r="N340" s="679"/>
      <c r="O340" s="679"/>
      <c r="P340" s="680"/>
    </row>
    <row r="341" spans="2:19">
      <c r="B341" s="678"/>
      <c r="C341" s="679"/>
      <c r="D341" s="679"/>
      <c r="E341" s="679"/>
      <c r="F341" s="679"/>
      <c r="G341" s="679"/>
      <c r="H341" s="679"/>
      <c r="I341" s="679"/>
      <c r="J341" s="679"/>
      <c r="K341" s="679"/>
      <c r="L341" s="679"/>
      <c r="M341" s="679"/>
      <c r="N341" s="679"/>
      <c r="O341" s="679"/>
      <c r="P341" s="680"/>
    </row>
    <row r="342" spans="2:19">
      <c r="B342" s="678"/>
      <c r="C342" s="679"/>
      <c r="D342" s="679"/>
      <c r="E342" s="679"/>
      <c r="F342" s="679"/>
      <c r="G342" s="679"/>
      <c r="H342" s="679"/>
      <c r="I342" s="679"/>
      <c r="J342" s="679"/>
      <c r="K342" s="679"/>
      <c r="L342" s="679"/>
      <c r="M342" s="679"/>
      <c r="N342" s="679"/>
      <c r="O342" s="679"/>
      <c r="P342" s="680"/>
    </row>
    <row r="343" spans="2:19">
      <c r="B343" s="678"/>
      <c r="C343" s="679"/>
      <c r="D343" s="679"/>
      <c r="E343" s="679"/>
      <c r="F343" s="679"/>
      <c r="G343" s="679"/>
      <c r="H343" s="679"/>
      <c r="I343" s="679"/>
      <c r="J343" s="679"/>
      <c r="K343" s="679"/>
      <c r="L343" s="679"/>
      <c r="M343" s="679"/>
      <c r="N343" s="679"/>
      <c r="O343" s="679"/>
      <c r="P343" s="680"/>
      <c r="S343" s="682"/>
    </row>
    <row r="344" spans="2:19">
      <c r="B344" s="678"/>
      <c r="C344" s="679"/>
      <c r="D344" s="679"/>
      <c r="E344" s="679"/>
      <c r="F344" s="679"/>
      <c r="G344" s="679"/>
      <c r="H344" s="679"/>
      <c r="I344" s="679"/>
      <c r="J344" s="679"/>
      <c r="K344" s="679"/>
      <c r="L344" s="679"/>
      <c r="M344" s="679"/>
      <c r="N344" s="679"/>
      <c r="O344" s="679"/>
      <c r="P344" s="680"/>
    </row>
    <row r="345" spans="2:19">
      <c r="B345" s="678"/>
      <c r="C345" s="679"/>
      <c r="D345" s="679"/>
      <c r="E345" s="679"/>
      <c r="F345" s="679"/>
      <c r="G345" s="679"/>
      <c r="H345" s="679"/>
      <c r="I345" s="679"/>
      <c r="J345" s="679"/>
      <c r="K345" s="679"/>
      <c r="L345" s="679"/>
      <c r="M345" s="679"/>
      <c r="N345" s="679"/>
      <c r="O345" s="679"/>
      <c r="P345" s="680"/>
    </row>
    <row r="346" spans="2:19">
      <c r="B346" s="678"/>
      <c r="C346" s="679"/>
      <c r="D346" s="679"/>
      <c r="E346" s="679"/>
      <c r="F346" s="679"/>
      <c r="G346" s="679"/>
      <c r="H346" s="679"/>
      <c r="I346" s="679"/>
      <c r="J346" s="679"/>
      <c r="K346" s="679"/>
      <c r="L346" s="679"/>
      <c r="M346" s="679"/>
      <c r="N346" s="679"/>
      <c r="O346" s="679"/>
      <c r="P346" s="680"/>
    </row>
    <row r="347" spans="2:19">
      <c r="B347" s="678"/>
      <c r="C347" s="679"/>
      <c r="D347" s="679"/>
      <c r="E347" s="679"/>
      <c r="F347" s="679"/>
      <c r="G347" s="679"/>
      <c r="H347" s="679"/>
      <c r="I347" s="679"/>
      <c r="J347" s="679"/>
      <c r="K347" s="679"/>
      <c r="L347" s="679"/>
      <c r="M347" s="679"/>
      <c r="N347" s="679"/>
      <c r="O347" s="679"/>
      <c r="P347" s="680"/>
    </row>
    <row r="348" spans="2:19">
      <c r="B348" s="678"/>
      <c r="C348" s="679"/>
      <c r="D348" s="679"/>
      <c r="E348" s="679"/>
      <c r="F348" s="679"/>
      <c r="G348" s="679"/>
      <c r="H348" s="679"/>
      <c r="I348" s="679"/>
      <c r="J348" s="679"/>
      <c r="K348" s="679"/>
      <c r="L348" s="679"/>
      <c r="M348" s="679"/>
      <c r="N348" s="679"/>
      <c r="O348" s="679"/>
      <c r="P348" s="680"/>
    </row>
    <row r="349" spans="2:19">
      <c r="B349" s="678"/>
      <c r="C349" s="679"/>
      <c r="D349" s="679"/>
      <c r="E349" s="679"/>
      <c r="F349" s="679"/>
      <c r="G349" s="679"/>
      <c r="H349" s="679"/>
      <c r="I349" s="679"/>
      <c r="J349" s="679"/>
      <c r="K349" s="679"/>
      <c r="L349" s="679"/>
      <c r="M349" s="679"/>
      <c r="N349" s="679"/>
      <c r="O349" s="679"/>
      <c r="P349" s="680"/>
    </row>
    <row r="350" spans="2:19">
      <c r="B350" s="678"/>
      <c r="C350" s="679"/>
      <c r="D350" s="679"/>
      <c r="E350" s="679"/>
      <c r="F350" s="679"/>
      <c r="G350" s="679"/>
      <c r="H350" s="679"/>
      <c r="I350" s="679"/>
      <c r="J350" s="679"/>
      <c r="K350" s="679"/>
      <c r="L350" s="679"/>
      <c r="M350" s="679"/>
      <c r="N350" s="679"/>
      <c r="O350" s="679"/>
      <c r="P350" s="680"/>
    </row>
    <row r="351" spans="2:19">
      <c r="B351" s="678"/>
      <c r="C351" s="679"/>
      <c r="D351" s="679"/>
      <c r="E351" s="679"/>
      <c r="F351" s="679"/>
      <c r="G351" s="679"/>
      <c r="H351" s="679"/>
      <c r="I351" s="679"/>
      <c r="J351" s="679"/>
      <c r="K351" s="679"/>
      <c r="L351" s="679"/>
      <c r="M351" s="679"/>
      <c r="N351" s="679"/>
      <c r="O351" s="679"/>
      <c r="P351" s="680"/>
    </row>
    <row r="352" spans="2:19">
      <c r="B352" s="678"/>
      <c r="C352" s="679"/>
      <c r="D352" s="679"/>
      <c r="E352" s="679"/>
      <c r="F352" s="679"/>
      <c r="G352" s="679"/>
      <c r="H352" s="679"/>
      <c r="I352" s="679"/>
      <c r="J352" s="679"/>
      <c r="K352" s="679"/>
      <c r="L352" s="679"/>
      <c r="M352" s="679"/>
      <c r="N352" s="679"/>
      <c r="O352" s="679"/>
      <c r="P352" s="680"/>
    </row>
    <row r="353" spans="2:16">
      <c r="B353" s="678"/>
      <c r="C353" s="679"/>
      <c r="D353" s="679"/>
      <c r="E353" s="679"/>
      <c r="F353" s="679"/>
      <c r="G353" s="679"/>
      <c r="H353" s="679"/>
      <c r="I353" s="679"/>
      <c r="J353" s="679"/>
      <c r="K353" s="679"/>
      <c r="L353" s="679"/>
      <c r="M353" s="679"/>
      <c r="N353" s="679"/>
      <c r="O353" s="679"/>
      <c r="P353" s="680"/>
    </row>
    <row r="354" spans="2:16">
      <c r="B354" s="678"/>
      <c r="C354" s="679"/>
      <c r="D354" s="679"/>
      <c r="E354" s="679"/>
      <c r="F354" s="679"/>
      <c r="G354" s="679"/>
      <c r="H354" s="679"/>
      <c r="I354" s="679"/>
      <c r="J354" s="679"/>
      <c r="K354" s="679"/>
      <c r="L354" s="679"/>
      <c r="M354" s="679"/>
      <c r="N354" s="679"/>
      <c r="O354" s="679"/>
      <c r="P354" s="680"/>
    </row>
    <row r="355" spans="2:16">
      <c r="B355" s="678"/>
      <c r="C355" s="679"/>
      <c r="D355" s="679"/>
      <c r="E355" s="679"/>
      <c r="F355" s="679"/>
      <c r="G355" s="679"/>
      <c r="H355" s="679"/>
      <c r="I355" s="679"/>
      <c r="J355" s="679"/>
      <c r="K355" s="679"/>
      <c r="L355" s="679"/>
      <c r="M355" s="679"/>
      <c r="N355" s="679"/>
      <c r="O355" s="679"/>
      <c r="P355" s="680"/>
    </row>
    <row r="356" spans="2:16">
      <c r="B356" s="678"/>
      <c r="C356" s="679"/>
      <c r="D356" s="679"/>
      <c r="E356" s="679"/>
      <c r="F356" s="679"/>
      <c r="G356" s="679"/>
      <c r="H356" s="679"/>
      <c r="I356" s="679"/>
      <c r="J356" s="679"/>
      <c r="K356" s="679"/>
      <c r="L356" s="679"/>
      <c r="M356" s="679"/>
      <c r="N356" s="679"/>
      <c r="O356" s="679"/>
      <c r="P356" s="680"/>
    </row>
    <row r="357" spans="2:16">
      <c r="B357" s="678"/>
      <c r="C357" s="679"/>
      <c r="D357" s="679"/>
      <c r="E357" s="679"/>
      <c r="F357" s="679"/>
      <c r="G357" s="679"/>
      <c r="H357" s="679"/>
      <c r="I357" s="679"/>
      <c r="J357" s="679"/>
      <c r="K357" s="679"/>
      <c r="L357" s="679"/>
      <c r="M357" s="679"/>
      <c r="N357" s="679"/>
      <c r="O357" s="679"/>
      <c r="P357" s="680"/>
    </row>
    <row r="358" spans="2:16">
      <c r="B358" s="678"/>
      <c r="C358" s="679"/>
      <c r="D358" s="679"/>
      <c r="E358" s="679"/>
      <c r="F358" s="679"/>
      <c r="G358" s="679"/>
      <c r="H358" s="679"/>
      <c r="I358" s="679"/>
      <c r="J358" s="679"/>
      <c r="K358" s="679"/>
      <c r="L358" s="679"/>
      <c r="M358" s="679"/>
      <c r="N358" s="679"/>
      <c r="O358" s="679"/>
      <c r="P358" s="680"/>
    </row>
    <row r="359" spans="2:16">
      <c r="B359" s="678"/>
      <c r="C359" s="679"/>
      <c r="D359" s="679"/>
      <c r="E359" s="679"/>
      <c r="F359" s="679"/>
      <c r="G359" s="679"/>
      <c r="H359" s="679"/>
      <c r="I359" s="679"/>
      <c r="J359" s="679"/>
      <c r="K359" s="679"/>
      <c r="L359" s="679"/>
      <c r="M359" s="679"/>
      <c r="N359" s="679"/>
      <c r="O359" s="679"/>
      <c r="P359" s="680"/>
    </row>
    <row r="360" spans="2:16">
      <c r="B360" s="678"/>
      <c r="C360" s="679"/>
      <c r="D360" s="679"/>
      <c r="E360" s="679"/>
      <c r="F360" s="679"/>
      <c r="G360" s="679"/>
      <c r="H360" s="679"/>
      <c r="I360" s="679"/>
      <c r="J360" s="679"/>
      <c r="K360" s="679"/>
      <c r="L360" s="679"/>
      <c r="M360" s="679"/>
      <c r="N360" s="679"/>
      <c r="O360" s="679"/>
      <c r="P360" s="680"/>
    </row>
    <row r="361" spans="2:16">
      <c r="B361" s="678"/>
      <c r="C361" s="679"/>
      <c r="D361" s="679"/>
      <c r="E361" s="679"/>
      <c r="F361" s="679"/>
      <c r="G361" s="679"/>
      <c r="H361" s="679"/>
      <c r="I361" s="679"/>
      <c r="J361" s="679"/>
      <c r="K361" s="679"/>
      <c r="L361" s="679"/>
      <c r="M361" s="679"/>
      <c r="N361" s="679"/>
      <c r="O361" s="679"/>
      <c r="P361" s="680"/>
    </row>
    <row r="362" spans="2:16">
      <c r="B362" s="685"/>
      <c r="C362" s="686"/>
      <c r="D362" s="686"/>
      <c r="E362" s="686"/>
      <c r="F362" s="686"/>
      <c r="G362" s="686"/>
      <c r="H362" s="686"/>
      <c r="I362" s="686"/>
      <c r="J362" s="686"/>
      <c r="K362" s="686"/>
      <c r="L362" s="686"/>
      <c r="M362" s="686"/>
      <c r="N362" s="686"/>
      <c r="O362" s="679"/>
      <c r="P362" s="680"/>
    </row>
    <row r="363" spans="2:16">
      <c r="B363" s="685"/>
      <c r="C363" s="686"/>
      <c r="D363" s="686"/>
      <c r="E363" s="686"/>
      <c r="F363" s="686"/>
      <c r="G363" s="686"/>
      <c r="H363" s="686"/>
      <c r="I363" s="686"/>
      <c r="J363" s="686"/>
      <c r="K363" s="686"/>
      <c r="L363" s="686"/>
      <c r="M363" s="686"/>
      <c r="N363" s="686"/>
      <c r="O363" s="679"/>
      <c r="P363" s="680"/>
    </row>
    <row r="364" spans="2:16">
      <c r="B364" s="685"/>
      <c r="C364" s="686"/>
      <c r="D364" s="686"/>
      <c r="E364" s="686"/>
      <c r="F364" s="686"/>
      <c r="G364" s="686"/>
      <c r="H364" s="686"/>
      <c r="I364" s="686"/>
      <c r="J364" s="686"/>
      <c r="K364" s="686"/>
      <c r="L364" s="686"/>
      <c r="M364" s="686"/>
      <c r="N364" s="686"/>
      <c r="O364" s="679"/>
      <c r="P364" s="680"/>
    </row>
    <row r="365" spans="2:16">
      <c r="B365" s="685"/>
      <c r="C365" s="686"/>
      <c r="D365" s="686"/>
      <c r="E365" s="686"/>
      <c r="F365" s="686"/>
      <c r="G365" s="686"/>
      <c r="H365" s="686"/>
      <c r="I365" s="686"/>
      <c r="J365" s="686"/>
      <c r="K365" s="686"/>
      <c r="L365" s="686"/>
      <c r="M365" s="686"/>
      <c r="N365" s="686"/>
      <c r="O365" s="679"/>
      <c r="P365" s="680"/>
    </row>
    <row r="366" spans="2:16">
      <c r="B366" s="685"/>
      <c r="C366" s="686"/>
      <c r="D366" s="686"/>
      <c r="E366" s="686"/>
      <c r="F366" s="686"/>
      <c r="G366" s="686"/>
      <c r="H366" s="686"/>
      <c r="I366" s="686"/>
      <c r="J366" s="686"/>
      <c r="K366" s="686"/>
      <c r="L366" s="686"/>
      <c r="M366" s="686"/>
      <c r="N366" s="686"/>
      <c r="O366" s="679"/>
      <c r="P366" s="680"/>
    </row>
    <row r="367" spans="2:16">
      <c r="B367" s="685"/>
      <c r="C367" s="686"/>
      <c r="D367" s="686"/>
      <c r="E367" s="686"/>
      <c r="F367" s="686"/>
      <c r="G367" s="686"/>
      <c r="H367" s="686"/>
      <c r="I367" s="686"/>
      <c r="J367" s="686"/>
      <c r="K367" s="686"/>
      <c r="L367" s="686"/>
      <c r="M367" s="686"/>
      <c r="N367" s="686"/>
      <c r="O367" s="679"/>
      <c r="P367" s="680"/>
    </row>
    <row r="368" spans="2:16">
      <c r="B368" s="685"/>
      <c r="C368" s="686"/>
      <c r="D368" s="686"/>
      <c r="E368" s="686"/>
      <c r="F368" s="686"/>
      <c r="G368" s="686"/>
      <c r="H368" s="686"/>
      <c r="I368" s="686"/>
      <c r="J368" s="686"/>
      <c r="K368" s="686"/>
      <c r="L368" s="686"/>
      <c r="M368" s="686"/>
      <c r="N368" s="686"/>
      <c r="O368" s="679"/>
      <c r="P368" s="680"/>
    </row>
    <row r="369" spans="2:16">
      <c r="B369" s="685"/>
      <c r="C369" s="686"/>
      <c r="D369" s="686"/>
      <c r="E369" s="686"/>
      <c r="F369" s="686"/>
      <c r="G369" s="686"/>
      <c r="H369" s="686"/>
      <c r="I369" s="686"/>
      <c r="J369" s="686"/>
      <c r="K369" s="686"/>
      <c r="L369" s="686"/>
      <c r="M369" s="686"/>
      <c r="N369" s="686"/>
      <c r="O369" s="679"/>
      <c r="P369" s="680"/>
    </row>
    <row r="370" spans="2:16">
      <c r="B370" s="685"/>
      <c r="C370" s="686"/>
      <c r="D370" s="686"/>
      <c r="E370" s="686"/>
      <c r="F370" s="686"/>
      <c r="G370" s="686"/>
      <c r="H370" s="686"/>
      <c r="I370" s="686"/>
      <c r="J370" s="686"/>
      <c r="K370" s="686"/>
      <c r="L370" s="686"/>
      <c r="M370" s="686"/>
      <c r="N370" s="686"/>
      <c r="O370" s="679"/>
      <c r="P370" s="680"/>
    </row>
    <row r="371" spans="2:16">
      <c r="B371" s="685"/>
      <c r="C371" s="686"/>
      <c r="D371" s="686"/>
      <c r="E371" s="686"/>
      <c r="F371" s="686"/>
      <c r="G371" s="686"/>
      <c r="H371" s="686"/>
      <c r="I371" s="686"/>
      <c r="J371" s="686"/>
      <c r="K371" s="686"/>
      <c r="L371" s="686"/>
      <c r="M371" s="686"/>
      <c r="N371" s="686"/>
      <c r="O371" s="679"/>
      <c r="P371" s="680"/>
    </row>
    <row r="372" spans="2:16">
      <c r="B372" s="685"/>
      <c r="C372" s="686"/>
      <c r="D372" s="686"/>
      <c r="E372" s="686"/>
      <c r="F372" s="686"/>
      <c r="G372" s="686"/>
      <c r="H372" s="686"/>
      <c r="I372" s="686"/>
      <c r="J372" s="686"/>
      <c r="K372" s="686"/>
      <c r="L372" s="686"/>
      <c r="M372" s="686"/>
      <c r="N372" s="686"/>
      <c r="O372" s="679"/>
      <c r="P372" s="680"/>
    </row>
    <row r="373" spans="2:16">
      <c r="B373" s="685"/>
      <c r="C373" s="686"/>
      <c r="D373" s="686"/>
      <c r="E373" s="686"/>
      <c r="F373" s="686"/>
      <c r="G373" s="686"/>
      <c r="H373" s="686"/>
      <c r="I373" s="686"/>
      <c r="J373" s="686"/>
      <c r="K373" s="686"/>
      <c r="L373" s="686"/>
      <c r="M373" s="686"/>
      <c r="N373" s="686"/>
      <c r="O373" s="679"/>
      <c r="P373" s="680"/>
    </row>
    <row r="374" spans="2:16">
      <c r="B374" s="685"/>
      <c r="C374" s="686"/>
      <c r="D374" s="686"/>
      <c r="E374" s="686"/>
      <c r="F374" s="686"/>
      <c r="G374" s="686"/>
      <c r="H374" s="686"/>
      <c r="I374" s="686"/>
      <c r="J374" s="686"/>
      <c r="K374" s="686"/>
      <c r="L374" s="686"/>
      <c r="M374" s="686"/>
      <c r="N374" s="686"/>
      <c r="O374" s="679"/>
      <c r="P374" s="680"/>
    </row>
    <row r="375" spans="2:16">
      <c r="B375" s="685"/>
      <c r="C375" s="686"/>
      <c r="D375" s="686"/>
      <c r="E375" s="686"/>
      <c r="F375" s="686"/>
      <c r="G375" s="686"/>
      <c r="H375" s="686"/>
      <c r="I375" s="686"/>
      <c r="J375" s="686"/>
      <c r="K375" s="686"/>
      <c r="L375" s="686"/>
      <c r="M375" s="686"/>
      <c r="N375" s="686"/>
      <c r="O375" s="679"/>
      <c r="P375" s="680"/>
    </row>
    <row r="376" spans="2:16">
      <c r="B376" s="685"/>
      <c r="C376" s="686"/>
      <c r="D376" s="686"/>
      <c r="E376" s="686"/>
      <c r="F376" s="686"/>
      <c r="G376" s="686"/>
      <c r="H376" s="686"/>
      <c r="I376" s="686"/>
      <c r="J376" s="686"/>
      <c r="K376" s="686"/>
      <c r="L376" s="686"/>
      <c r="M376" s="686"/>
      <c r="N376" s="686"/>
      <c r="O376" s="679"/>
      <c r="P376" s="680"/>
    </row>
    <row r="377" spans="2:16">
      <c r="B377" s="685"/>
      <c r="C377" s="686"/>
      <c r="D377" s="686"/>
      <c r="E377" s="686"/>
      <c r="F377" s="686"/>
      <c r="G377" s="686"/>
      <c r="H377" s="686"/>
      <c r="I377" s="686"/>
      <c r="J377" s="686"/>
      <c r="K377" s="686"/>
      <c r="L377" s="686"/>
      <c r="M377" s="686"/>
      <c r="N377" s="686"/>
      <c r="O377" s="679"/>
      <c r="P377" s="680"/>
    </row>
    <row r="378" spans="2:16">
      <c r="B378" s="685"/>
      <c r="C378" s="686"/>
      <c r="D378" s="686"/>
      <c r="E378" s="686"/>
      <c r="F378" s="686"/>
      <c r="G378" s="686"/>
      <c r="H378" s="686"/>
      <c r="I378" s="686"/>
      <c r="J378" s="686"/>
      <c r="K378" s="686"/>
      <c r="L378" s="686"/>
      <c r="M378" s="686"/>
      <c r="N378" s="686"/>
      <c r="O378" s="679"/>
      <c r="P378" s="680"/>
    </row>
    <row r="379" spans="2:16">
      <c r="B379" s="685"/>
      <c r="C379" s="686"/>
      <c r="D379" s="686"/>
      <c r="E379" s="686"/>
      <c r="F379" s="686"/>
      <c r="G379" s="686"/>
      <c r="H379" s="686"/>
      <c r="I379" s="686"/>
      <c r="J379" s="686"/>
      <c r="K379" s="686"/>
      <c r="L379" s="686"/>
      <c r="M379" s="686"/>
      <c r="N379" s="686"/>
      <c r="O379" s="679"/>
      <c r="P379" s="680"/>
    </row>
    <row r="380" spans="2:16">
      <c r="B380" s="685"/>
      <c r="C380" s="686"/>
      <c r="D380" s="686"/>
      <c r="E380" s="686"/>
      <c r="F380" s="686"/>
      <c r="G380" s="686"/>
      <c r="H380" s="686"/>
      <c r="I380" s="686"/>
      <c r="J380" s="686"/>
      <c r="K380" s="686"/>
      <c r="L380" s="686"/>
      <c r="M380" s="686"/>
      <c r="N380" s="686"/>
      <c r="O380" s="679"/>
      <c r="P380" s="680"/>
    </row>
    <row r="381" spans="2:16">
      <c r="B381" s="685"/>
      <c r="C381" s="686"/>
      <c r="D381" s="686"/>
      <c r="E381" s="686"/>
      <c r="F381" s="686"/>
      <c r="G381" s="686"/>
      <c r="H381" s="686"/>
      <c r="I381" s="686"/>
      <c r="J381" s="686"/>
      <c r="K381" s="686"/>
      <c r="L381" s="686"/>
      <c r="M381" s="686"/>
      <c r="N381" s="686"/>
      <c r="O381" s="679"/>
      <c r="P381" s="680"/>
    </row>
    <row r="382" spans="2:16">
      <c r="B382" s="685"/>
      <c r="C382" s="686"/>
      <c r="D382" s="686"/>
      <c r="E382" s="686"/>
      <c r="F382" s="686"/>
      <c r="G382" s="686"/>
      <c r="H382" s="686"/>
      <c r="I382" s="686"/>
      <c r="J382" s="686"/>
      <c r="K382" s="686"/>
      <c r="L382" s="686"/>
      <c r="M382" s="686"/>
      <c r="N382" s="686"/>
      <c r="O382" s="679"/>
      <c r="P382" s="680"/>
    </row>
    <row r="383" spans="2:16" ht="15">
      <c r="B383" s="685"/>
      <c r="C383" s="708"/>
      <c r="D383" s="708"/>
      <c r="E383" s="708"/>
      <c r="F383" s="708"/>
      <c r="G383" s="708"/>
      <c r="H383" s="708"/>
      <c r="I383" s="708"/>
      <c r="J383" s="708"/>
      <c r="K383" s="708"/>
      <c r="L383" s="708"/>
      <c r="M383" s="708"/>
      <c r="N383" s="708"/>
      <c r="O383" s="679"/>
      <c r="P383" s="680"/>
    </row>
    <row r="384" spans="2:16" ht="15">
      <c r="B384" s="685"/>
      <c r="C384" s="708"/>
      <c r="D384" s="708"/>
      <c r="E384" s="708"/>
      <c r="F384" s="708"/>
      <c r="G384" s="708"/>
      <c r="H384" s="708"/>
      <c r="I384" s="708"/>
      <c r="J384" s="708"/>
      <c r="K384" s="708"/>
      <c r="L384" s="708"/>
      <c r="M384" s="708"/>
      <c r="N384" s="708"/>
      <c r="O384" s="679"/>
      <c r="P384" s="680"/>
    </row>
    <row r="385" spans="2:20" ht="15">
      <c r="B385" s="685"/>
      <c r="C385" s="708"/>
      <c r="D385" s="708"/>
      <c r="E385" s="708"/>
      <c r="F385" s="708"/>
      <c r="G385" s="708"/>
      <c r="H385" s="708"/>
      <c r="I385" s="708"/>
      <c r="J385" s="708"/>
      <c r="K385" s="708"/>
      <c r="L385" s="708"/>
      <c r="M385" s="708"/>
      <c r="N385" s="708"/>
      <c r="O385" s="679"/>
      <c r="P385" s="680"/>
    </row>
    <row r="386" spans="2:20" ht="15">
      <c r="B386" s="685"/>
      <c r="C386" s="708"/>
      <c r="D386" s="708"/>
      <c r="E386" s="708"/>
      <c r="F386" s="708"/>
      <c r="G386" s="708"/>
      <c r="H386" s="708"/>
      <c r="I386" s="708"/>
      <c r="J386" s="708"/>
      <c r="K386" s="708"/>
      <c r="L386" s="708"/>
      <c r="M386" s="708"/>
      <c r="N386" s="708"/>
      <c r="O386" s="679"/>
      <c r="P386" s="680"/>
    </row>
    <row r="387" spans="2:20" ht="15">
      <c r="B387" s="685"/>
      <c r="C387" s="708"/>
      <c r="D387" s="708"/>
      <c r="E387" s="708"/>
      <c r="F387" s="708"/>
      <c r="G387" s="708"/>
      <c r="H387" s="708"/>
      <c r="I387" s="708"/>
      <c r="J387" s="708"/>
      <c r="K387" s="708"/>
      <c r="L387" s="708"/>
      <c r="M387" s="708"/>
      <c r="N387" s="708"/>
      <c r="O387" s="679"/>
      <c r="P387" s="680"/>
    </row>
    <row r="388" spans="2:20" ht="15">
      <c r="B388" s="685"/>
      <c r="C388" s="708"/>
      <c r="D388" s="708"/>
      <c r="E388" s="708"/>
      <c r="F388" s="708"/>
      <c r="G388" s="708"/>
      <c r="H388" s="708"/>
      <c r="I388" s="708"/>
      <c r="J388" s="708"/>
      <c r="K388" s="708"/>
      <c r="L388" s="708"/>
      <c r="M388" s="708"/>
      <c r="N388" s="708"/>
      <c r="O388" s="679"/>
      <c r="P388" s="680"/>
    </row>
    <row r="389" spans="2:20" ht="15">
      <c r="B389" s="685"/>
      <c r="C389" s="708"/>
      <c r="D389" s="708"/>
      <c r="E389" s="708"/>
      <c r="F389" s="708"/>
      <c r="G389" s="708"/>
      <c r="H389" s="708"/>
      <c r="I389" s="708"/>
      <c r="J389" s="708"/>
      <c r="K389" s="708"/>
      <c r="L389" s="708"/>
      <c r="M389" s="708"/>
      <c r="N389" s="708"/>
      <c r="O389" s="679"/>
      <c r="P389" s="680"/>
    </row>
    <row r="390" spans="2:20" ht="15">
      <c r="B390" s="685"/>
      <c r="C390" s="708"/>
      <c r="D390" s="708"/>
      <c r="E390" s="708"/>
      <c r="F390" s="708"/>
      <c r="G390" s="708"/>
      <c r="H390" s="708"/>
      <c r="I390" s="708"/>
      <c r="J390" s="708"/>
      <c r="K390" s="708"/>
      <c r="L390" s="708"/>
      <c r="M390" s="708"/>
      <c r="N390" s="708"/>
      <c r="O390" s="679"/>
      <c r="P390" s="680"/>
    </row>
    <row r="391" spans="2:20" ht="15">
      <c r="B391" s="685"/>
      <c r="C391" s="708"/>
      <c r="D391" s="708"/>
      <c r="E391" s="708"/>
      <c r="F391" s="708"/>
      <c r="G391" s="708"/>
      <c r="H391" s="708"/>
      <c r="I391" s="708"/>
      <c r="J391" s="708"/>
      <c r="K391" s="708"/>
      <c r="L391" s="708"/>
      <c r="M391" s="708"/>
      <c r="N391" s="708"/>
      <c r="O391" s="679"/>
      <c r="P391" s="680"/>
    </row>
    <row r="392" spans="2:20" ht="15">
      <c r="B392" s="685"/>
      <c r="C392" s="708"/>
      <c r="D392" s="708"/>
      <c r="E392" s="708"/>
      <c r="F392" s="708"/>
      <c r="G392" s="708"/>
      <c r="H392" s="708"/>
      <c r="I392" s="708"/>
      <c r="J392" s="708"/>
      <c r="K392" s="708"/>
      <c r="L392" s="708"/>
      <c r="M392" s="708"/>
      <c r="N392" s="708"/>
      <c r="O392" s="679"/>
      <c r="P392" s="680"/>
    </row>
    <row r="393" spans="2:20" ht="15">
      <c r="B393" s="685"/>
      <c r="C393" s="708"/>
      <c r="D393" s="708"/>
      <c r="E393" s="708"/>
      <c r="F393" s="708"/>
      <c r="G393" s="708"/>
      <c r="H393" s="708"/>
      <c r="I393" s="708"/>
      <c r="J393" s="708"/>
      <c r="K393" s="708"/>
      <c r="L393" s="708"/>
      <c r="M393" s="708"/>
      <c r="N393" s="708"/>
      <c r="O393" s="679"/>
      <c r="P393" s="680"/>
    </row>
    <row r="394" spans="2:20" ht="15">
      <c r="B394" s="685"/>
      <c r="C394" s="708"/>
      <c r="D394" s="708"/>
      <c r="E394" s="708"/>
      <c r="F394" s="708"/>
      <c r="G394" s="708"/>
      <c r="H394" s="708"/>
      <c r="I394" s="708"/>
      <c r="J394" s="708"/>
      <c r="K394" s="708"/>
      <c r="L394" s="708"/>
      <c r="M394" s="708"/>
      <c r="N394" s="708"/>
      <c r="O394" s="679"/>
      <c r="P394" s="680"/>
    </row>
    <row r="395" spans="2:20" ht="15">
      <c r="B395" s="685"/>
      <c r="C395" s="708"/>
      <c r="D395" s="708"/>
      <c r="E395" s="708"/>
      <c r="F395" s="708"/>
      <c r="G395" s="708"/>
      <c r="H395" s="708"/>
      <c r="I395" s="708"/>
      <c r="J395" s="708"/>
      <c r="K395" s="708"/>
      <c r="L395" s="708"/>
      <c r="M395" s="708"/>
      <c r="N395" s="708"/>
      <c r="O395" s="679"/>
      <c r="P395" s="680"/>
    </row>
    <row r="396" spans="2:20" ht="15">
      <c r="B396" s="685"/>
      <c r="C396" s="708"/>
      <c r="D396" s="708"/>
      <c r="E396" s="708"/>
      <c r="F396" s="708"/>
      <c r="G396" s="708"/>
      <c r="H396" s="708"/>
      <c r="I396" s="708"/>
      <c r="J396" s="708"/>
      <c r="K396" s="708"/>
      <c r="L396" s="708"/>
      <c r="M396" s="708"/>
      <c r="N396" s="708"/>
      <c r="O396" s="679"/>
      <c r="P396" s="680"/>
    </row>
    <row r="397" spans="2:20" ht="15">
      <c r="B397" s="685"/>
      <c r="C397" s="708"/>
      <c r="D397" s="708"/>
      <c r="E397" s="708"/>
      <c r="F397" s="708"/>
      <c r="G397" s="708"/>
      <c r="H397" s="708"/>
      <c r="I397" s="708"/>
      <c r="J397" s="708"/>
      <c r="K397" s="708"/>
      <c r="L397" s="708"/>
      <c r="M397" s="708"/>
      <c r="N397" s="708"/>
      <c r="O397" s="679"/>
      <c r="P397" s="680"/>
    </row>
    <row r="398" spans="2:20" ht="15">
      <c r="B398" s="685"/>
      <c r="C398" s="708"/>
      <c r="D398" s="708"/>
      <c r="E398" s="708"/>
      <c r="F398" s="708"/>
      <c r="G398" s="708"/>
      <c r="H398" s="708"/>
      <c r="I398" s="708"/>
      <c r="J398" s="708"/>
      <c r="K398" s="708"/>
      <c r="L398" s="708"/>
      <c r="M398" s="708"/>
      <c r="N398" s="708"/>
      <c r="O398" s="679"/>
      <c r="P398" s="680"/>
    </row>
    <row r="399" spans="2:20" ht="15">
      <c r="B399" s="685"/>
      <c r="C399" s="708"/>
      <c r="D399" s="708"/>
      <c r="E399" s="708"/>
      <c r="F399" s="708"/>
      <c r="G399" s="708"/>
      <c r="H399" s="708"/>
      <c r="I399" s="708"/>
      <c r="J399" s="708"/>
      <c r="K399" s="708"/>
      <c r="L399" s="708"/>
      <c r="M399" s="708"/>
      <c r="N399" s="708"/>
      <c r="O399" s="679"/>
      <c r="P399" s="680"/>
    </row>
    <row r="400" spans="2:20" ht="15">
      <c r="B400" s="676"/>
      <c r="C400" s="688"/>
      <c r="D400" s="688"/>
      <c r="E400" s="688"/>
      <c r="F400" s="688"/>
      <c r="G400" s="688"/>
      <c r="H400" s="688"/>
      <c r="I400" s="688"/>
      <c r="J400" s="688"/>
      <c r="K400" s="688"/>
      <c r="L400" s="688"/>
      <c r="M400" s="688"/>
      <c r="N400" s="688"/>
      <c r="O400" s="688"/>
      <c r="P400" s="680"/>
      <c r="Q400" s="652"/>
      <c r="T400" s="689"/>
    </row>
    <row r="401" spans="2:27" ht="15">
      <c r="B401" s="672"/>
      <c r="C401" s="690"/>
      <c r="D401" s="690"/>
      <c r="E401" s="690"/>
      <c r="F401" s="690"/>
      <c r="G401" s="690"/>
      <c r="H401" s="690"/>
      <c r="I401" s="690"/>
      <c r="J401" s="690"/>
      <c r="K401" s="690"/>
      <c r="L401" s="690"/>
      <c r="M401" s="690"/>
      <c r="N401" s="690"/>
      <c r="O401" s="679"/>
      <c r="P401" s="680"/>
      <c r="Q401" s="691"/>
    </row>
    <row r="402" spans="2:27">
      <c r="C402" s="679"/>
      <c r="D402" s="679"/>
      <c r="E402" s="679"/>
      <c r="F402" s="679"/>
      <c r="G402" s="679"/>
      <c r="H402" s="679"/>
      <c r="I402" s="679"/>
      <c r="J402" s="679"/>
      <c r="K402" s="679"/>
      <c r="L402" s="679"/>
      <c r="M402" s="679"/>
      <c r="N402" s="679"/>
      <c r="O402" s="679"/>
      <c r="P402" s="680"/>
    </row>
    <row r="403" spans="2:27">
      <c r="O403" s="682"/>
    </row>
    <row r="404" spans="2:27" ht="15">
      <c r="O404" s="728"/>
    </row>
    <row r="405" spans="2:27">
      <c r="N405" s="729"/>
      <c r="O405" s="694"/>
      <c r="P405" s="695"/>
      <c r="AA405" s="651"/>
    </row>
    <row r="406" spans="2:27">
      <c r="P406" s="695"/>
    </row>
    <row r="407" spans="2:27">
      <c r="N407" s="732"/>
      <c r="O407" s="682"/>
      <c r="P407" s="695"/>
    </row>
    <row r="408" spans="2:27">
      <c r="P408" s="695"/>
    </row>
    <row r="409" spans="2:27">
      <c r="N409" s="732"/>
      <c r="O409" s="682"/>
      <c r="P409" s="695"/>
    </row>
    <row r="410" spans="2:27">
      <c r="P410" s="675"/>
    </row>
    <row r="411" spans="2:27">
      <c r="N411" s="701"/>
      <c r="O411" s="702"/>
      <c r="P411" s="695"/>
    </row>
    <row r="412" spans="2:27" s="709" customFormat="1"/>
    <row r="413" spans="2:27">
      <c r="C413" s="652"/>
      <c r="D413" s="652"/>
      <c r="E413" s="652"/>
      <c r="F413" s="652"/>
      <c r="G413" s="652"/>
      <c r="H413" s="652"/>
      <c r="I413" s="652"/>
      <c r="J413" s="652"/>
      <c r="K413" s="652"/>
      <c r="L413" s="652"/>
      <c r="M413" s="652"/>
      <c r="N413" s="652"/>
    </row>
    <row r="414" spans="2:27">
      <c r="C414" s="704"/>
      <c r="D414" s="704"/>
      <c r="E414" s="704"/>
      <c r="F414" s="704"/>
      <c r="G414" s="704"/>
      <c r="H414" s="704"/>
      <c r="I414" s="704"/>
      <c r="J414" s="704"/>
      <c r="K414" s="704"/>
      <c r="L414" s="704"/>
      <c r="M414" s="704"/>
      <c r="N414" s="704"/>
    </row>
    <row r="415" spans="2:27">
      <c r="C415" s="704"/>
      <c r="D415" s="704"/>
      <c r="E415" s="704"/>
      <c r="F415" s="704"/>
      <c r="G415" s="704"/>
      <c r="H415" s="704"/>
      <c r="I415" s="704"/>
      <c r="J415" s="704"/>
      <c r="K415" s="704"/>
      <c r="L415" s="704"/>
      <c r="M415" s="704"/>
      <c r="N415" s="704"/>
    </row>
    <row r="418" spans="3:45">
      <c r="G418" s="710"/>
      <c r="H418" s="710"/>
      <c r="I418" s="710"/>
      <c r="J418" s="710"/>
      <c r="K418" s="710"/>
      <c r="L418" s="710"/>
    </row>
    <row r="419" spans="3:45">
      <c r="G419" s="647"/>
      <c r="H419" s="647"/>
      <c r="I419" s="647"/>
      <c r="J419" s="647"/>
      <c r="K419" s="647"/>
      <c r="L419" s="647"/>
    </row>
    <row r="420" spans="3:45">
      <c r="C420" s="711"/>
      <c r="D420" s="711"/>
      <c r="E420" s="711"/>
      <c r="F420" s="711"/>
      <c r="G420" s="711"/>
      <c r="H420" s="711"/>
      <c r="I420" s="711"/>
      <c r="J420" s="711"/>
      <c r="K420" s="711"/>
      <c r="L420" s="711"/>
      <c r="M420" s="711"/>
      <c r="N420" s="711"/>
      <c r="O420" s="711"/>
      <c r="P420" s="711"/>
      <c r="Q420" s="711"/>
      <c r="R420" s="711"/>
      <c r="S420" s="711"/>
      <c r="T420" s="711"/>
      <c r="U420" s="711"/>
      <c r="V420" s="711"/>
      <c r="W420" s="711"/>
      <c r="X420" s="711"/>
      <c r="Y420" s="711"/>
      <c r="Z420" s="711"/>
      <c r="AA420" s="711"/>
      <c r="AB420" s="711"/>
      <c r="AC420" s="711"/>
      <c r="AD420" s="711"/>
      <c r="AE420" s="711"/>
      <c r="AF420" s="711"/>
      <c r="AG420" s="711"/>
      <c r="AH420" s="711"/>
      <c r="AI420" s="711"/>
      <c r="AJ420" s="711"/>
      <c r="AK420" s="711"/>
      <c r="AL420" s="711"/>
      <c r="AM420" s="711"/>
      <c r="AN420" s="711"/>
      <c r="AO420" s="711"/>
      <c r="AP420" s="711"/>
      <c r="AQ420" s="711"/>
      <c r="AR420" s="711"/>
      <c r="AS420" s="711"/>
    </row>
    <row r="440" spans="2:11">
      <c r="C440" s="712"/>
      <c r="D440" s="712"/>
      <c r="E440" s="712"/>
      <c r="F440" s="712"/>
      <c r="H440" s="712"/>
      <c r="I440" s="712"/>
      <c r="J440" s="712"/>
      <c r="K440" s="712"/>
    </row>
    <row r="441" spans="2:11">
      <c r="C441" s="712"/>
      <c r="D441" s="712"/>
      <c r="E441" s="712"/>
      <c r="F441" s="712"/>
      <c r="H441" s="712"/>
      <c r="I441" s="712"/>
      <c r="J441" s="712"/>
      <c r="K441" s="712"/>
    </row>
    <row r="443" spans="2:11">
      <c r="B443" s="710"/>
      <c r="J443" s="717"/>
      <c r="K443" s="717"/>
    </row>
    <row r="444" spans="2:11">
      <c r="B444" s="710"/>
      <c r="J444" s="717"/>
      <c r="K444" s="717"/>
    </row>
    <row r="445" spans="2:11">
      <c r="B445" s="710"/>
      <c r="J445" s="717"/>
      <c r="K445" s="717"/>
    </row>
    <row r="446" spans="2:11">
      <c r="B446" s="710"/>
      <c r="J446" s="717"/>
      <c r="K446" s="717"/>
    </row>
    <row r="447" spans="2:11">
      <c r="B447" s="710"/>
      <c r="J447" s="717"/>
      <c r="K447" s="717"/>
    </row>
    <row r="448" spans="2:11">
      <c r="B448" s="710"/>
      <c r="J448" s="717"/>
      <c r="K448" s="717"/>
    </row>
    <row r="449" spans="2:11">
      <c r="B449" s="710"/>
      <c r="J449" s="717"/>
      <c r="K449" s="717"/>
    </row>
    <row r="450" spans="2:11">
      <c r="B450" s="710"/>
      <c r="J450" s="717"/>
      <c r="K450" s="717"/>
    </row>
    <row r="451" spans="2:11">
      <c r="B451" s="710"/>
      <c r="J451" s="717"/>
      <c r="K451" s="717"/>
    </row>
    <row r="452" spans="2:11">
      <c r="B452" s="710"/>
      <c r="J452" s="717"/>
      <c r="K452" s="717"/>
    </row>
    <row r="453" spans="2:11">
      <c r="B453" s="710"/>
      <c r="J453" s="717"/>
      <c r="K453" s="717"/>
    </row>
    <row r="454" spans="2:11">
      <c r="B454" s="710"/>
      <c r="J454" s="717"/>
      <c r="K454" s="717"/>
    </row>
    <row r="455" spans="2:11">
      <c r="B455" s="710"/>
      <c r="J455" s="717"/>
      <c r="K455" s="717"/>
    </row>
    <row r="456" spans="2:11">
      <c r="B456" s="710"/>
      <c r="D456" s="718"/>
      <c r="F456" s="718"/>
    </row>
    <row r="457" spans="2:11">
      <c r="B457" s="710"/>
    </row>
    <row r="458" spans="2:11">
      <c r="B458" s="710"/>
    </row>
    <row r="459" spans="2:11">
      <c r="B459" s="710"/>
    </row>
    <row r="466" spans="2:56">
      <c r="C466" s="711">
        <v>38168</v>
      </c>
      <c r="D466" s="711">
        <v>38199</v>
      </c>
      <c r="E466" s="711">
        <v>38230</v>
      </c>
      <c r="F466" s="711">
        <v>38260</v>
      </c>
      <c r="G466" s="711">
        <v>38291</v>
      </c>
      <c r="H466" s="711">
        <v>38321</v>
      </c>
      <c r="I466" s="711">
        <v>38352</v>
      </c>
      <c r="J466" s="711">
        <v>38383</v>
      </c>
      <c r="K466" s="711">
        <v>38411</v>
      </c>
      <c r="L466" s="711">
        <v>38442</v>
      </c>
      <c r="M466" s="711">
        <v>38472</v>
      </c>
      <c r="N466" s="711">
        <v>38503</v>
      </c>
      <c r="O466" s="711">
        <v>38533</v>
      </c>
      <c r="P466" s="711">
        <v>38564</v>
      </c>
      <c r="Q466" s="711">
        <v>38595</v>
      </c>
      <c r="R466" s="711">
        <v>38625</v>
      </c>
      <c r="S466" s="711">
        <v>38656</v>
      </c>
      <c r="T466" s="711">
        <v>38686</v>
      </c>
      <c r="U466" s="711">
        <v>38717</v>
      </c>
      <c r="V466" s="711">
        <v>38748</v>
      </c>
      <c r="W466" s="711">
        <v>38776</v>
      </c>
      <c r="X466" s="711">
        <v>38807</v>
      </c>
      <c r="Y466" s="711">
        <v>38837</v>
      </c>
      <c r="Z466" s="711">
        <v>38868</v>
      </c>
      <c r="AA466" s="711">
        <v>38898</v>
      </c>
      <c r="AB466" s="711">
        <v>38929</v>
      </c>
      <c r="AC466" s="711">
        <v>38960</v>
      </c>
      <c r="AD466" s="711">
        <v>38990</v>
      </c>
      <c r="AE466" s="711">
        <v>39021</v>
      </c>
      <c r="AF466" s="711">
        <v>39051</v>
      </c>
      <c r="AG466" s="711">
        <v>39082</v>
      </c>
      <c r="AH466" s="711">
        <v>39113</v>
      </c>
      <c r="AI466" s="711">
        <v>39141</v>
      </c>
      <c r="AJ466" s="711">
        <v>39172</v>
      </c>
      <c r="AK466" s="711">
        <v>39202</v>
      </c>
      <c r="AL466" s="711">
        <v>39233</v>
      </c>
      <c r="AM466" s="711">
        <v>39263</v>
      </c>
      <c r="AN466" s="711">
        <v>39294</v>
      </c>
      <c r="AO466" s="711">
        <v>39325</v>
      </c>
      <c r="AP466" s="711">
        <v>39355</v>
      </c>
      <c r="AQ466" s="711">
        <v>39386</v>
      </c>
      <c r="AR466" s="711">
        <v>39416</v>
      </c>
      <c r="AS466" s="711">
        <v>39447</v>
      </c>
      <c r="AT466" s="711">
        <v>39478</v>
      </c>
      <c r="AU466" s="711">
        <v>39507</v>
      </c>
      <c r="AV466" s="711">
        <v>39538</v>
      </c>
      <c r="AW466" s="711">
        <v>39568</v>
      </c>
      <c r="AX466" s="711">
        <v>39599</v>
      </c>
      <c r="AY466" s="711">
        <v>39629</v>
      </c>
      <c r="AZ466" s="711">
        <v>39660</v>
      </c>
      <c r="BA466" s="711">
        <v>39691</v>
      </c>
      <c r="BB466" s="711">
        <v>39721</v>
      </c>
      <c r="BC466" s="711">
        <v>39752</v>
      </c>
      <c r="BD466" s="711">
        <v>39782</v>
      </c>
    </row>
    <row r="467" spans="2:56">
      <c r="B467" s="628" t="s">
        <v>533</v>
      </c>
      <c r="C467" s="715">
        <v>5.3345454545454549</v>
      </c>
      <c r="D467" s="715">
        <v>5.4133333333333331</v>
      </c>
      <c r="E467" s="715">
        <v>5.0017391304347827</v>
      </c>
      <c r="F467" s="715">
        <v>4.5209523809523811</v>
      </c>
      <c r="G467" s="715">
        <v>5.3547619047619053</v>
      </c>
      <c r="H467" s="715">
        <v>5.918571428571429</v>
      </c>
      <c r="I467" s="715">
        <v>6.0418181818181811</v>
      </c>
      <c r="J467" s="715">
        <v>5.4740000000000002</v>
      </c>
      <c r="K467" s="715">
        <v>5.5468421052631589</v>
      </c>
      <c r="L467" s="715">
        <v>6.285909090909092</v>
      </c>
      <c r="M467" s="715">
        <v>6.4590476190476194</v>
      </c>
      <c r="N467" s="715">
        <v>5.66409090909091</v>
      </c>
      <c r="O467" s="715">
        <v>5.964090909090908</v>
      </c>
      <c r="P467" s="715">
        <v>6.48</v>
      </c>
      <c r="Q467" s="715">
        <v>7.7372727272727255</v>
      </c>
      <c r="R467" s="715">
        <v>9.4171428571428546</v>
      </c>
      <c r="S467" s="715">
        <v>10.638095238095238</v>
      </c>
      <c r="T467" s="715">
        <v>7.5549999999999997</v>
      </c>
      <c r="U467" s="715">
        <v>11.08</v>
      </c>
      <c r="V467" s="714">
        <v>7.3849999999999998</v>
      </c>
      <c r="W467" s="714">
        <v>6.44</v>
      </c>
      <c r="X467" s="714">
        <v>5.7486956521739145</v>
      </c>
      <c r="Y467" s="714">
        <v>5.81</v>
      </c>
      <c r="Z467" s="714">
        <v>5.1349999999999998</v>
      </c>
      <c r="AA467" s="714">
        <v>5.34</v>
      </c>
      <c r="AB467" s="714">
        <v>5.43</v>
      </c>
      <c r="AC467" s="714">
        <v>5.89</v>
      </c>
      <c r="AD467" s="714">
        <v>3.6150000000000002</v>
      </c>
      <c r="AE467" s="714">
        <v>3.49</v>
      </c>
      <c r="AF467" s="714">
        <v>5.99</v>
      </c>
      <c r="AG467" s="714">
        <v>6.85</v>
      </c>
      <c r="AH467" s="714">
        <v>7.38</v>
      </c>
      <c r="AI467" s="714">
        <v>7.24</v>
      </c>
      <c r="AJ467" s="714">
        <v>7.29</v>
      </c>
      <c r="AK467" s="714">
        <v>7.13</v>
      </c>
      <c r="AL467" s="714">
        <v>6.5</v>
      </c>
      <c r="AM467" s="714">
        <v>6.55</v>
      </c>
      <c r="AN467" s="714">
        <v>6.7</v>
      </c>
      <c r="AO467" s="714">
        <v>6.65</v>
      </c>
      <c r="AP467" s="714">
        <v>6.89</v>
      </c>
      <c r="AQ467" s="714">
        <v>7.71</v>
      </c>
      <c r="AR467" s="714">
        <v>3.97</v>
      </c>
      <c r="AS467" s="714">
        <v>5.24</v>
      </c>
      <c r="AT467" s="714">
        <v>5.43</v>
      </c>
      <c r="AU467" s="714">
        <v>5.39</v>
      </c>
      <c r="AV467" s="714">
        <v>5.77</v>
      </c>
      <c r="AW467" s="714">
        <v>5.9</v>
      </c>
      <c r="AX467" s="714">
        <v>5.55</v>
      </c>
      <c r="AY467" s="714">
        <v>5.42</v>
      </c>
      <c r="AZ467" s="714">
        <v>5.55</v>
      </c>
      <c r="BA467" s="714">
        <v>5.39</v>
      </c>
      <c r="BB467" s="714">
        <v>4.93</v>
      </c>
      <c r="BC467" s="714">
        <v>5.07</v>
      </c>
    </row>
    <row r="468" spans="2:56">
      <c r="B468" s="628" t="s">
        <v>534</v>
      </c>
      <c r="C468" s="715">
        <v>5.52</v>
      </c>
      <c r="D468" s="715">
        <v>5.2</v>
      </c>
      <c r="E468" s="715">
        <v>5.22</v>
      </c>
      <c r="F468" s="715">
        <v>4.3899999999999997</v>
      </c>
      <c r="G468" s="715">
        <v>4.42</v>
      </c>
      <c r="H468" s="715">
        <v>6.55</v>
      </c>
      <c r="I468" s="715">
        <v>5.91</v>
      </c>
      <c r="J468" s="715">
        <v>5.47</v>
      </c>
      <c r="K468" s="715">
        <v>5.32</v>
      </c>
      <c r="L468" s="715">
        <v>5.38</v>
      </c>
      <c r="M468" s="715">
        <v>6.02</v>
      </c>
      <c r="N468" s="715">
        <v>6.04</v>
      </c>
      <c r="O468" s="715">
        <v>5.24</v>
      </c>
      <c r="P468" s="715">
        <v>5.74</v>
      </c>
      <c r="Q468" s="715">
        <v>5.75</v>
      </c>
      <c r="R468" s="715">
        <v>7.64</v>
      </c>
      <c r="S468" s="715">
        <v>9.48</v>
      </c>
      <c r="T468" s="715">
        <v>10.210000000000001</v>
      </c>
      <c r="U468" s="715">
        <v>8.4600000000000009</v>
      </c>
      <c r="V468" s="714">
        <v>8.7799999999999994</v>
      </c>
      <c r="W468" s="714">
        <v>6.39</v>
      </c>
      <c r="X468" s="714">
        <v>5.81</v>
      </c>
      <c r="Y468" s="714">
        <v>5.32</v>
      </c>
      <c r="Z468" s="714">
        <v>5.39</v>
      </c>
      <c r="AA468" s="714">
        <v>4.53</v>
      </c>
      <c r="AB468" s="714">
        <v>4.75</v>
      </c>
      <c r="AC468" s="714">
        <v>5.5</v>
      </c>
      <c r="AD468" s="714">
        <v>4.12</v>
      </c>
      <c r="AE468" s="714">
        <v>2.42</v>
      </c>
      <c r="AF468" s="714">
        <v>5.8</v>
      </c>
      <c r="AG468" s="714">
        <v>5.54</v>
      </c>
      <c r="AH468" s="714">
        <v>3.71</v>
      </c>
      <c r="AI468" s="714">
        <v>6</v>
      </c>
      <c r="AJ468" s="714">
        <v>5.79</v>
      </c>
      <c r="AK468" s="714">
        <v>3.1</v>
      </c>
      <c r="AL468" s="714">
        <v>4.34</v>
      </c>
      <c r="AM468" s="714">
        <v>2.82</v>
      </c>
      <c r="AN468" s="714">
        <v>3.05</v>
      </c>
      <c r="AO468" s="714">
        <v>2.78</v>
      </c>
      <c r="AP468" s="714">
        <v>2</v>
      </c>
      <c r="AQ468" s="714">
        <v>1.36</v>
      </c>
      <c r="AR468" s="714"/>
      <c r="AS468" s="714"/>
      <c r="AT468" s="647"/>
      <c r="AU468" s="647"/>
      <c r="AV468" s="647"/>
      <c r="AW468" s="647"/>
      <c r="AX468" s="647"/>
      <c r="AY468" s="647"/>
      <c r="AZ468" s="647"/>
      <c r="BA468" s="647"/>
      <c r="BB468" s="647"/>
      <c r="BC468" s="647"/>
    </row>
    <row r="469" spans="2:56">
      <c r="B469" s="628" t="s">
        <v>535</v>
      </c>
      <c r="C469" s="715">
        <v>4.0869999999999997</v>
      </c>
      <c r="D469" s="715">
        <v>4.0869999999999997</v>
      </c>
      <c r="E469" s="715">
        <v>4.09</v>
      </c>
      <c r="F469" s="715">
        <v>4.0382882887869513</v>
      </c>
      <c r="G469" s="715">
        <v>4.7459522662044797</v>
      </c>
      <c r="H469" s="715">
        <v>4.7459522662044797</v>
      </c>
      <c r="I469" s="715">
        <v>4.7459522662044797</v>
      </c>
      <c r="J469" s="715">
        <v>4.7459522662044833</v>
      </c>
      <c r="K469" s="715">
        <v>4.7459522662044833</v>
      </c>
      <c r="L469" s="715">
        <v>4.7459522662044833</v>
      </c>
      <c r="M469" s="715">
        <v>4.7459522662044833</v>
      </c>
      <c r="N469" s="715">
        <v>4.7459522662044833</v>
      </c>
      <c r="O469" s="715">
        <v>5.9187936796630272</v>
      </c>
      <c r="P469" s="715">
        <v>5.9187936796630272</v>
      </c>
      <c r="Q469" s="715">
        <v>5.9187936796630272</v>
      </c>
      <c r="R469" s="715">
        <v>5.9187936796630272</v>
      </c>
      <c r="S469" s="715">
        <v>5.9187936796630272</v>
      </c>
      <c r="T469" s="715">
        <v>7.8152400000000002</v>
      </c>
      <c r="U469" s="715">
        <v>7.8152400000000002</v>
      </c>
      <c r="V469" s="714">
        <v>7.8152400000000002</v>
      </c>
      <c r="W469" s="714">
        <v>6.92</v>
      </c>
      <c r="X469" s="714">
        <v>6.92</v>
      </c>
      <c r="Y469" s="714">
        <v>6.53</v>
      </c>
      <c r="Z469" s="714">
        <v>6.53</v>
      </c>
      <c r="AA469" s="714">
        <v>6.53</v>
      </c>
      <c r="AB469" s="714">
        <v>6.53</v>
      </c>
      <c r="AC469" s="714">
        <v>6.53</v>
      </c>
      <c r="AD469" s="714">
        <v>6.53</v>
      </c>
      <c r="AE469" s="714">
        <v>6.53</v>
      </c>
      <c r="AF469" s="714">
        <v>5.3721153573889886</v>
      </c>
      <c r="AG469" s="714">
        <v>5.3721153573889886</v>
      </c>
      <c r="AH469" s="714">
        <v>5.3721153573889886</v>
      </c>
      <c r="AI469" s="714">
        <v>5.3721153573889886</v>
      </c>
      <c r="AJ469" s="714">
        <v>5.3721153573889886</v>
      </c>
      <c r="AK469" s="714">
        <v>5.3721153573889886</v>
      </c>
      <c r="AL469" s="714">
        <v>5.3721153573889886</v>
      </c>
      <c r="AM469" s="714">
        <v>5.3721153573889886</v>
      </c>
      <c r="AN469" s="714">
        <v>5.3721153573889886</v>
      </c>
      <c r="AO469" s="714">
        <v>5.3721153573889886</v>
      </c>
      <c r="AP469" s="714">
        <v>5.3721153573889886</v>
      </c>
      <c r="AQ469" s="714">
        <v>5.3721153573889886</v>
      </c>
      <c r="AR469" s="714">
        <v>4.8583455783480378</v>
      </c>
      <c r="AS469" s="714"/>
      <c r="AT469" s="647"/>
      <c r="AU469" s="647"/>
      <c r="AV469" s="647"/>
      <c r="AW469" s="647"/>
      <c r="AX469" s="647"/>
      <c r="AY469" s="647"/>
      <c r="AZ469" s="647"/>
      <c r="BA469" s="647"/>
      <c r="BB469" s="647"/>
      <c r="BC469" s="647"/>
    </row>
  </sheetData>
  <conditionalFormatting sqref="I242:N318 G242:H252 C242:F318 E104:G104 E38:H38 D81:G81 G84 E82:H83 E84:F85 E86:H87 E88:G88 D84:D88 E89:H89 D90:G91 E92:G92 D93:G103 I54:N117 D36:D53 E39:F53 I38:L53 C35:C53 L20:N27 C54:F80 D105:F113 C81:C113 C114:F117 L28:L37 M28:N53 C20:K37">
    <cfRule type="expression" dxfId="4" priority="5" stopIfTrue="1">
      <formula>O20&gt;0</formula>
    </cfRule>
  </conditionalFormatting>
  <conditionalFormatting sqref="G253:H318 C31:D34 D35 H36:H37 H81 D104 D82:D83 G85 H84:H85 H88 D89 G105:G117 D92 G77:H79 G39:H54 H90:H93 H98:H117">
    <cfRule type="expression" dxfId="3" priority="4" stopIfTrue="1">
      <formula>O32&gt;0</formula>
    </cfRule>
  </conditionalFormatting>
  <conditionalFormatting sqref="G80:H80 G63:H76">
    <cfRule type="expression" dxfId="2" priority="3" stopIfTrue="1">
      <formula>S84&gt;0</formula>
    </cfRule>
  </conditionalFormatting>
  <conditionalFormatting sqref="H94:H96">
    <cfRule type="expression" dxfId="1" priority="2" stopIfTrue="1">
      <formula>T96&gt;0</formula>
    </cfRule>
  </conditionalFormatting>
  <conditionalFormatting sqref="G55:H62">
    <cfRule type="expression" dxfId="0" priority="1" stopIfTrue="1">
      <formula>S77&gt;0</formula>
    </cfRule>
  </conditionalFormatting>
  <pageMargins left="0.75" right="0.75" top="1" bottom="1" header="0.5" footer="0.5"/>
  <pageSetup scale="86"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autoPageBreaks="0"/>
  </sheetPr>
  <dimension ref="A1:IV161"/>
  <sheetViews>
    <sheetView showOutlineSymbols="0" topLeftCell="M136" zoomScaleNormal="90" workbookViewId="0">
      <selection activeCell="R27" sqref="R27"/>
    </sheetView>
  </sheetViews>
  <sheetFormatPr defaultColWidth="13.6640625" defaultRowHeight="11.25"/>
  <cols>
    <col min="1" max="3" width="4.6640625" style="2" customWidth="1"/>
    <col min="4" max="4" width="6.83203125" style="2" customWidth="1"/>
    <col min="5" max="5" width="4.6640625" style="2" customWidth="1"/>
    <col min="6" max="6" width="34.33203125" style="2" customWidth="1"/>
    <col min="7" max="7" width="14.83203125" style="2" customWidth="1"/>
    <col min="8" max="10" width="13.6640625" style="2" customWidth="1"/>
    <col min="11" max="11" width="15.83203125" style="2" customWidth="1"/>
    <col min="12" max="12" width="6.6640625" style="2" customWidth="1"/>
    <col min="13" max="14" width="15.83203125" style="2" customWidth="1"/>
    <col min="15" max="16" width="13.6640625" style="2"/>
    <col min="17" max="17" width="16.5" style="2" customWidth="1"/>
    <col min="18" max="18" width="16.1640625" style="2" bestFit="1" customWidth="1"/>
    <col min="19" max="20" width="13.6640625" style="541"/>
    <col min="21" max="22" width="13.6640625" style="2"/>
    <col min="23" max="23" width="13.6640625" style="541"/>
    <col min="24" max="24" width="14.83203125" style="2" bestFit="1" customWidth="1"/>
    <col min="25" max="25" width="14.83203125" style="541" bestFit="1" customWidth="1"/>
    <col min="26" max="26" width="15.83203125" style="2" bestFit="1" customWidth="1"/>
    <col min="27" max="27" width="13.6640625" style="2"/>
    <col min="28" max="28" width="18.33203125" style="2" bestFit="1" customWidth="1"/>
    <col min="29" max="16384" width="13.6640625" style="2"/>
  </cols>
  <sheetData>
    <row r="1" spans="1:256">
      <c r="A1" s="1"/>
      <c r="B1" s="1"/>
      <c r="C1" s="1"/>
      <c r="D1" s="1"/>
      <c r="E1" s="1"/>
      <c r="F1" s="1"/>
      <c r="G1" s="1"/>
      <c r="H1" s="1"/>
      <c r="I1" s="1"/>
      <c r="J1" s="1"/>
      <c r="K1" s="1"/>
      <c r="L1" s="1"/>
      <c r="M1" s="1"/>
      <c r="N1" s="1"/>
      <c r="O1" s="1"/>
      <c r="P1" s="1"/>
      <c r="Q1" s="1"/>
      <c r="R1" s="1"/>
      <c r="S1" s="531"/>
      <c r="T1" s="531"/>
      <c r="U1" s="1"/>
      <c r="V1" s="1"/>
      <c r="W1" s="531"/>
      <c r="X1" s="1"/>
      <c r="Y1" s="53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 r="A2" s="3" t="s">
        <v>181</v>
      </c>
      <c r="B2" s="1"/>
      <c r="C2" s="1"/>
      <c r="D2" s="1"/>
      <c r="E2" s="1"/>
      <c r="F2" s="1"/>
      <c r="G2" s="1"/>
      <c r="H2" s="1"/>
      <c r="I2" s="1"/>
      <c r="J2" s="1"/>
      <c r="K2" s="111" t="s">
        <v>167</v>
      </c>
      <c r="L2" s="1"/>
      <c r="M2" s="5" t="s">
        <v>2</v>
      </c>
      <c r="N2" s="5" t="s">
        <v>3</v>
      </c>
      <c r="O2" s="1"/>
      <c r="P2" s="1"/>
      <c r="Q2" s="352" t="s">
        <v>388</v>
      </c>
      <c r="R2" s="352"/>
      <c r="S2" s="532" t="s">
        <v>392</v>
      </c>
      <c r="T2" s="531"/>
      <c r="U2" s="1"/>
      <c r="V2" s="1"/>
      <c r="W2" s="531"/>
      <c r="X2" s="1"/>
      <c r="Y2" s="531"/>
      <c r="Z2" s="44"/>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2.75">
      <c r="A3" s="3" t="s">
        <v>4</v>
      </c>
      <c r="B3" s="1"/>
      <c r="C3" s="1"/>
      <c r="D3" s="1"/>
      <c r="E3" s="1"/>
      <c r="F3" s="1"/>
      <c r="G3" s="1"/>
      <c r="H3" s="1"/>
      <c r="I3" s="1"/>
      <c r="J3" s="1"/>
      <c r="K3" s="1"/>
      <c r="L3" s="1"/>
      <c r="M3" s="1"/>
      <c r="N3" s="1"/>
      <c r="O3" s="1"/>
      <c r="P3" s="1"/>
      <c r="Q3" s="1"/>
      <c r="R3" s="1"/>
      <c r="S3" s="531"/>
      <c r="T3" s="531"/>
      <c r="U3" s="1"/>
      <c r="V3" s="1"/>
      <c r="W3" s="531"/>
      <c r="X3" s="1"/>
      <c r="Y3" s="53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2.75">
      <c r="A4" s="3" t="s">
        <v>634</v>
      </c>
      <c r="B4" s="1"/>
      <c r="C4" s="1"/>
      <c r="D4" s="1"/>
      <c r="E4" s="1"/>
      <c r="F4" s="1"/>
      <c r="G4" s="1"/>
      <c r="H4" s="1"/>
      <c r="I4" s="1" t="s">
        <v>5</v>
      </c>
      <c r="J4" s="1"/>
      <c r="K4" s="61">
        <f>M4+N4</f>
        <v>1267049</v>
      </c>
      <c r="L4" s="61"/>
      <c r="M4" s="297">
        <v>32943</v>
      </c>
      <c r="N4" s="297">
        <v>1234106</v>
      </c>
      <c r="O4" s="296"/>
      <c r="P4" s="1"/>
      <c r="Q4" s="1"/>
      <c r="R4" s="1"/>
      <c r="S4" s="531"/>
      <c r="T4" s="531"/>
      <c r="U4" s="389"/>
      <c r="V4" s="576"/>
      <c r="W4" s="505"/>
      <c r="X4" s="389"/>
      <c r="Y4" s="505"/>
      <c r="Z4" s="389"/>
      <c r="AA4" s="389"/>
      <c r="AB4" s="389"/>
      <c r="AC4" s="389"/>
      <c r="AD4" s="389"/>
      <c r="AE4" s="388"/>
      <c r="AF4" s="505"/>
      <c r="AG4" s="389"/>
      <c r="AH4" s="505"/>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2.75">
      <c r="A5" s="122" t="s">
        <v>635</v>
      </c>
      <c r="B5" s="1"/>
      <c r="C5" s="1"/>
      <c r="D5" s="1"/>
      <c r="E5" s="1"/>
      <c r="F5" s="1"/>
      <c r="G5" s="1"/>
      <c r="H5" s="1"/>
      <c r="I5" s="152" t="s">
        <v>186</v>
      </c>
      <c r="J5" s="153"/>
      <c r="K5" s="7">
        <f>M5+N5</f>
        <v>1</v>
      </c>
      <c r="L5" s="6" t="s">
        <v>6</v>
      </c>
      <c r="M5" s="8">
        <f>M4/K4</f>
        <v>2.5999783749484036E-2</v>
      </c>
      <c r="N5" s="8">
        <f>N4/K4</f>
        <v>0.97400021625051592</v>
      </c>
      <c r="O5" s="1"/>
      <c r="P5" s="1"/>
      <c r="Q5" s="1"/>
      <c r="R5" s="1"/>
      <c r="S5" s="531"/>
      <c r="T5" s="531"/>
      <c r="U5" s="389"/>
      <c r="V5" s="389"/>
      <c r="W5" s="505"/>
      <c r="X5" s="389"/>
      <c r="Y5" s="505"/>
      <c r="Z5" s="389"/>
      <c r="AA5" s="389"/>
      <c r="AB5" s="389"/>
      <c r="AC5" s="389"/>
      <c r="AD5" s="389"/>
      <c r="AE5" s="389"/>
      <c r="AF5" s="505"/>
      <c r="AG5" s="389"/>
      <c r="AH5" s="505"/>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c r="A6" s="121"/>
      <c r="B6" s="1"/>
      <c r="C6" s="1"/>
      <c r="D6" s="1"/>
      <c r="E6" s="1"/>
      <c r="F6" s="1"/>
      <c r="G6" s="1"/>
      <c r="H6" s="1"/>
      <c r="I6" s="1"/>
      <c r="J6" s="1"/>
      <c r="K6" s="1"/>
      <c r="L6" s="1"/>
      <c r="M6" s="1"/>
      <c r="N6" s="1"/>
      <c r="O6" s="1"/>
      <c r="P6" s="1"/>
      <c r="Q6" s="1"/>
      <c r="R6" s="1"/>
      <c r="S6" s="531"/>
      <c r="T6" s="532" t="s">
        <v>409</v>
      </c>
      <c r="U6" s="388"/>
      <c r="V6" s="576"/>
      <c r="W6" s="577"/>
      <c r="X6" s="576"/>
      <c r="Y6" s="529"/>
      <c r="Z6" s="389"/>
      <c r="AA6" s="389"/>
      <c r="AB6" s="388"/>
      <c r="AC6" s="389"/>
      <c r="AD6" s="388"/>
      <c r="AE6" s="576"/>
      <c r="AF6" s="577"/>
      <c r="AG6" s="576"/>
      <c r="AH6" s="529"/>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c r="A7" s="1"/>
      <c r="B7" s="1"/>
      <c r="C7" s="1"/>
      <c r="D7" s="1"/>
      <c r="E7" s="1"/>
      <c r="F7" s="1"/>
      <c r="G7" s="1"/>
      <c r="H7" s="1"/>
      <c r="I7" s="1" t="s">
        <v>7</v>
      </c>
      <c r="J7" s="1"/>
      <c r="K7" s="61">
        <f>M7+N7</f>
        <v>110787566</v>
      </c>
      <c r="L7" s="61"/>
      <c r="M7" s="61">
        <f>Rates!G35</f>
        <v>4022765</v>
      </c>
      <c r="N7" s="61">
        <f>Rates!G30</f>
        <v>106764801</v>
      </c>
      <c r="O7" s="1"/>
      <c r="P7" s="1"/>
      <c r="Q7" s="1"/>
      <c r="R7" s="1"/>
      <c r="S7" s="531"/>
      <c r="T7" s="531"/>
      <c r="U7" s="576"/>
      <c r="V7" s="388"/>
      <c r="W7" s="505"/>
      <c r="X7" s="389"/>
      <c r="Y7" s="505"/>
      <c r="Z7" s="389"/>
      <c r="AA7" s="389"/>
      <c r="AB7" s="389"/>
      <c r="AC7" s="389"/>
      <c r="AD7" s="576"/>
      <c r="AE7" s="388"/>
      <c r="AF7" s="505"/>
      <c r="AG7" s="389"/>
      <c r="AH7" s="505"/>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c r="A8" s="1"/>
      <c r="B8" s="1"/>
      <c r="C8" s="1"/>
      <c r="D8" s="1"/>
      <c r="E8" s="1"/>
      <c r="F8" s="1"/>
      <c r="G8" s="293" t="s">
        <v>287</v>
      </c>
      <c r="H8" s="1"/>
      <c r="I8" s="1"/>
      <c r="J8" s="6"/>
      <c r="K8" s="7">
        <f>M8+N8</f>
        <v>1</v>
      </c>
      <c r="L8" s="6" t="s">
        <v>8</v>
      </c>
      <c r="M8" s="8">
        <f>M7/K7</f>
        <v>3.6310618106728691E-2</v>
      </c>
      <c r="N8" s="8">
        <f>N7/K7</f>
        <v>0.96368938189327136</v>
      </c>
      <c r="O8" s="1"/>
      <c r="P8" s="1"/>
      <c r="Q8" s="1"/>
      <c r="R8" s="1"/>
      <c r="S8" s="531"/>
      <c r="T8" s="531"/>
      <c r="U8" s="388"/>
      <c r="V8" s="580"/>
      <c r="W8" s="505"/>
      <c r="X8" s="389"/>
      <c r="Y8" s="505"/>
      <c r="Z8" s="389"/>
      <c r="AA8" s="389"/>
      <c r="AB8" s="389"/>
      <c r="AC8" s="389"/>
      <c r="AD8" s="388"/>
      <c r="AE8" s="580"/>
      <c r="AF8" s="505"/>
      <c r="AG8" s="389"/>
      <c r="AH8" s="505"/>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12.75">
      <c r="A9" s="9" t="s">
        <v>9</v>
      </c>
      <c r="B9" s="10" t="s">
        <v>10</v>
      </c>
      <c r="C9" s="1"/>
      <c r="D9" s="1"/>
      <c r="E9" s="1"/>
      <c r="F9" s="1"/>
      <c r="G9" s="1"/>
      <c r="H9" s="1"/>
      <c r="I9" s="1"/>
      <c r="J9" s="1"/>
      <c r="K9" s="1"/>
      <c r="L9" s="1"/>
      <c r="M9" s="1"/>
      <c r="N9" s="11"/>
      <c r="O9" s="1"/>
      <c r="P9" s="1"/>
      <c r="Q9" s="1"/>
      <c r="R9" s="1"/>
      <c r="S9" s="531"/>
      <c r="T9" s="531"/>
      <c r="U9" s="622"/>
      <c r="V9" s="582"/>
      <c r="W9" s="505"/>
      <c r="X9" s="389"/>
      <c r="Y9" s="505"/>
      <c r="Z9" s="389"/>
      <c r="AA9" s="389"/>
      <c r="AB9" s="389"/>
      <c r="AC9" s="389"/>
      <c r="AD9" s="622"/>
      <c r="AE9" s="582"/>
      <c r="AF9" s="505"/>
      <c r="AG9" s="389"/>
      <c r="AH9" s="505"/>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2" thickBot="1">
      <c r="A10" s="12"/>
      <c r="B10" s="12"/>
      <c r="C10" s="1"/>
      <c r="D10" s="1"/>
      <c r="E10" s="1"/>
      <c r="F10" s="1"/>
      <c r="G10" s="1"/>
      <c r="H10" s="1"/>
      <c r="I10" s="1"/>
      <c r="J10" s="6"/>
      <c r="K10" s="7"/>
      <c r="L10" s="6"/>
      <c r="M10" s="8"/>
      <c r="N10" s="8"/>
      <c r="O10" s="1"/>
      <c r="P10" s="1"/>
      <c r="Q10" s="352" t="s">
        <v>481</v>
      </c>
      <c r="R10" s="1"/>
      <c r="S10" s="531"/>
      <c r="T10" s="531"/>
      <c r="U10" s="388"/>
      <c r="V10" s="389"/>
      <c r="W10" s="505"/>
      <c r="X10" s="389"/>
      <c r="Y10" s="585"/>
      <c r="Z10" s="389"/>
      <c r="AA10" s="389"/>
      <c r="AB10" s="389"/>
      <c r="AC10" s="389"/>
      <c r="AD10" s="388"/>
      <c r="AE10" s="389"/>
      <c r="AF10" s="505"/>
      <c r="AG10" s="389"/>
      <c r="AH10" s="585"/>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2.75">
      <c r="A11" s="125"/>
      <c r="B11" s="9" t="s">
        <v>11</v>
      </c>
      <c r="C11" s="10" t="s">
        <v>12</v>
      </c>
      <c r="D11" s="13"/>
      <c r="E11" s="13"/>
      <c r="F11" s="1"/>
      <c r="G11" s="1"/>
      <c r="H11" s="1"/>
      <c r="I11" s="1"/>
      <c r="J11" s="1"/>
      <c r="K11" s="531"/>
      <c r="L11" s="1"/>
      <c r="O11" s="1"/>
      <c r="P11" s="1"/>
      <c r="Q11" s="398" t="s">
        <v>369</v>
      </c>
      <c r="R11" s="626">
        <f>N20</f>
        <v>378106910.16447872</v>
      </c>
      <c r="S11" s="568">
        <f>R11/(H20*N8)</f>
        <v>5.2711273665385301</v>
      </c>
      <c r="T11" s="531"/>
      <c r="U11" s="582"/>
      <c r="V11" s="582"/>
      <c r="W11" s="585"/>
      <c r="X11" s="582"/>
      <c r="Y11" s="585"/>
      <c r="Z11" s="389"/>
      <c r="AA11" s="389"/>
      <c r="AB11" s="389"/>
      <c r="AC11" s="389"/>
      <c r="AD11" s="582"/>
      <c r="AE11" s="582"/>
      <c r="AF11" s="585"/>
      <c r="AG11" s="582"/>
      <c r="AH11" s="585"/>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c r="A12" s="125"/>
      <c r="B12" s="1"/>
      <c r="C12" s="6" t="s">
        <v>13</v>
      </c>
      <c r="D12" s="1" t="s">
        <v>14</v>
      </c>
      <c r="E12" s="1"/>
      <c r="F12" s="1"/>
      <c r="G12" s="4" t="s">
        <v>15</v>
      </c>
      <c r="H12" s="4" t="s">
        <v>16</v>
      </c>
      <c r="I12" s="4" t="s">
        <v>17</v>
      </c>
      <c r="J12" s="4" t="s">
        <v>18</v>
      </c>
      <c r="K12" s="4" t="s">
        <v>19</v>
      </c>
      <c r="L12" s="1"/>
      <c r="M12" s="5"/>
      <c r="N12" s="5"/>
      <c r="O12" s="125" t="s">
        <v>208</v>
      </c>
      <c r="P12" s="1"/>
      <c r="Q12" s="394" t="s">
        <v>389</v>
      </c>
      <c r="R12" s="627">
        <f>N122*-1</f>
        <v>-39763433.258184135</v>
      </c>
      <c r="S12" s="569">
        <f>R12/($H$20*$N$8)</f>
        <v>-0.55433560085840883</v>
      </c>
      <c r="T12" s="531"/>
      <c r="U12" s="388"/>
      <c r="V12" s="389"/>
      <c r="W12" s="505"/>
      <c r="X12" s="389"/>
      <c r="Y12" s="505"/>
      <c r="Z12" s="389"/>
      <c r="AA12" s="389"/>
      <c r="AB12" s="389"/>
      <c r="AC12" s="389"/>
      <c r="AD12" s="388"/>
      <c r="AE12" s="389"/>
      <c r="AF12" s="505"/>
      <c r="AG12" s="389"/>
      <c r="AH12" s="505"/>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c r="A13" s="6"/>
      <c r="B13" s="1"/>
      <c r="C13" s="1"/>
      <c r="D13" s="6" t="s">
        <v>20</v>
      </c>
      <c r="E13" s="352" t="s">
        <v>659</v>
      </c>
      <c r="F13" s="1"/>
      <c r="G13" s="65">
        <f>I13/H13</f>
        <v>4.6436406059587423</v>
      </c>
      <c r="H13" s="297">
        <f>77881870</f>
        <v>77881870</v>
      </c>
      <c r="I13" s="298">
        <f>361655414</f>
        <v>361655414</v>
      </c>
      <c r="J13" s="8">
        <f>K13/I13</f>
        <v>0.16279724212838689</v>
      </c>
      <c r="K13" s="298">
        <f>58876504</f>
        <v>58876504</v>
      </c>
      <c r="L13" s="6" t="s">
        <v>8</v>
      </c>
      <c r="M13" s="435">
        <f t="shared" ref="M13:M18" si="0">M$8*K13</f>
        <v>2137842.2522032843</v>
      </c>
      <c r="N13" s="435">
        <f t="shared" ref="N13:N18" si="1">N$8*K13</f>
        <v>56738661.747796722</v>
      </c>
      <c r="O13" s="1"/>
      <c r="P13" s="1"/>
      <c r="Q13" s="394" t="s">
        <v>390</v>
      </c>
      <c r="R13" s="512">
        <f>$N$57+$N$62</f>
        <v>16233087.978220925</v>
      </c>
      <c r="S13" s="569">
        <f>R13/($H$20*$N$8)</f>
        <v>0.2263028576975912</v>
      </c>
      <c r="T13" s="542"/>
      <c r="U13" s="388"/>
      <c r="V13" s="389"/>
      <c r="W13" s="505"/>
      <c r="X13" s="389"/>
      <c r="Y13" s="623"/>
      <c r="Z13" s="389"/>
      <c r="AA13" s="389"/>
      <c r="AB13" s="512"/>
      <c r="AC13" s="624"/>
      <c r="AD13" s="388"/>
      <c r="AE13" s="389"/>
      <c r="AF13" s="505"/>
      <c r="AG13" s="389"/>
      <c r="AH13" s="623"/>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c r="A14" s="6"/>
      <c r="B14" s="1"/>
      <c r="C14" s="1"/>
      <c r="D14" s="6"/>
      <c r="E14" s="352" t="s">
        <v>660</v>
      </c>
      <c r="F14" s="1"/>
      <c r="G14" s="65">
        <f>I14/H14</f>
        <v>4.5799181187517819</v>
      </c>
      <c r="H14" s="297">
        <v>7008198</v>
      </c>
      <c r="I14" s="298">
        <v>32096973</v>
      </c>
      <c r="J14" s="8">
        <f>K14/I14</f>
        <v>0.15000000155777929</v>
      </c>
      <c r="K14" s="298">
        <v>4814546</v>
      </c>
      <c r="L14" s="6"/>
      <c r="M14" s="435">
        <f t="shared" si="0"/>
        <v>174819.1411632782</v>
      </c>
      <c r="N14" s="435">
        <f t="shared" si="1"/>
        <v>4639726.8588367216</v>
      </c>
      <c r="O14" s="1"/>
      <c r="P14" s="1"/>
      <c r="Q14" s="394"/>
      <c r="R14" s="512"/>
      <c r="S14" s="569"/>
      <c r="T14" s="542"/>
      <c r="U14" s="388"/>
      <c r="V14" s="389"/>
      <c r="W14" s="505"/>
      <c r="X14" s="389"/>
      <c r="Y14" s="623"/>
      <c r="Z14" s="389"/>
      <c r="AA14" s="389"/>
      <c r="AB14" s="512"/>
      <c r="AC14" s="624"/>
      <c r="AD14" s="388"/>
      <c r="AE14" s="389"/>
      <c r="AF14" s="505"/>
      <c r="AG14" s="389"/>
      <c r="AH14" s="623"/>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c r="A15" s="6"/>
      <c r="B15" s="1"/>
      <c r="C15" s="1"/>
      <c r="D15" s="6" t="s">
        <v>21</v>
      </c>
      <c r="E15" s="352" t="s">
        <v>661</v>
      </c>
      <c r="F15" s="1"/>
      <c r="G15" s="65">
        <f>G13</f>
        <v>4.6436406059587423</v>
      </c>
      <c r="H15" s="297">
        <f>-8065224</f>
        <v>-8065224</v>
      </c>
      <c r="I15" s="62">
        <f>G15*H15</f>
        <v>-37452001.66255299</v>
      </c>
      <c r="J15" s="8">
        <f>J13</f>
        <v>0.16279724212838689</v>
      </c>
      <c r="K15" s="450">
        <f>I15*J15</f>
        <v>-6097082.5828513876</v>
      </c>
      <c r="L15" s="6" t="s">
        <v>8</v>
      </c>
      <c r="M15" s="435">
        <f t="shared" si="0"/>
        <v>-221388.83723110374</v>
      </c>
      <c r="N15" s="435">
        <f t="shared" si="1"/>
        <v>-5875693.7456202842</v>
      </c>
      <c r="O15" s="1"/>
      <c r="P15" s="1"/>
      <c r="Q15" s="394" t="s">
        <v>394</v>
      </c>
      <c r="R15" s="512">
        <f>R11+R12+R13</f>
        <v>354576564.88451552</v>
      </c>
      <c r="S15" s="570">
        <f>R15/(H20*$N$8)</f>
        <v>4.9430946233777124</v>
      </c>
      <c r="T15" s="531"/>
      <c r="U15" s="622"/>
      <c r="V15" s="587"/>
      <c r="W15" s="505"/>
      <c r="X15" s="389"/>
      <c r="Y15" s="585"/>
      <c r="Z15" s="389"/>
      <c r="AA15" s="389"/>
      <c r="AB15" s="512"/>
      <c r="AC15" s="389"/>
      <c r="AD15" s="622"/>
      <c r="AE15" s="587"/>
      <c r="AF15" s="505"/>
      <c r="AG15" s="389"/>
      <c r="AH15" s="585"/>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c r="A16" s="6"/>
      <c r="B16" s="1"/>
      <c r="C16" s="1"/>
      <c r="D16" s="6"/>
      <c r="E16" s="352" t="s">
        <v>662</v>
      </c>
      <c r="F16" s="1"/>
      <c r="G16" s="65">
        <f>+G14</f>
        <v>4.5799181187517819</v>
      </c>
      <c r="H16" s="297">
        <v>-2390386</v>
      </c>
      <c r="I16" s="62">
        <f>G16*H16</f>
        <v>-10947772.152210597</v>
      </c>
      <c r="J16" s="8">
        <f>+J14</f>
        <v>0.15000000155777929</v>
      </c>
      <c r="K16" s="450">
        <f>I16*J16</f>
        <v>-1642165.8398858022</v>
      </c>
      <c r="L16" s="6"/>
      <c r="M16" s="435">
        <f t="shared" si="0"/>
        <v>-59628.05668000874</v>
      </c>
      <c r="N16" s="435">
        <f t="shared" si="1"/>
        <v>-1582537.7832057935</v>
      </c>
      <c r="O16" s="1"/>
      <c r="P16" s="1"/>
      <c r="Q16" s="394"/>
      <c r="R16" s="512"/>
      <c r="S16" s="570"/>
      <c r="T16" s="531"/>
      <c r="U16" s="622"/>
      <c r="V16" s="587"/>
      <c r="W16" s="505"/>
      <c r="X16" s="389"/>
      <c r="Y16" s="585"/>
      <c r="Z16" s="389"/>
      <c r="AA16" s="389"/>
      <c r="AB16" s="512"/>
      <c r="AC16" s="389"/>
      <c r="AD16" s="622"/>
      <c r="AE16" s="587"/>
      <c r="AF16" s="505"/>
      <c r="AG16" s="389"/>
      <c r="AH16" s="585"/>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c r="A17" s="125"/>
      <c r="B17" s="1"/>
      <c r="C17" s="6" t="s">
        <v>22</v>
      </c>
      <c r="D17" s="16" t="s">
        <v>663</v>
      </c>
      <c r="E17" s="16"/>
      <c r="F17" s="1"/>
      <c r="G17" s="104" t="s">
        <v>23</v>
      </c>
      <c r="H17" s="105" t="s">
        <v>23</v>
      </c>
      <c r="I17" s="1"/>
      <c r="J17" s="1"/>
      <c r="K17" s="299">
        <f>313759807</f>
        <v>313759807</v>
      </c>
      <c r="L17" s="6" t="s">
        <v>8</v>
      </c>
      <c r="M17" s="592">
        <f t="shared" si="0"/>
        <v>11392812.529217899</v>
      </c>
      <c r="N17" s="592">
        <f t="shared" si="1"/>
        <v>302366994.4707821</v>
      </c>
      <c r="O17" s="929"/>
      <c r="P17" s="1"/>
      <c r="Q17" s="394" t="s">
        <v>375</v>
      </c>
      <c r="R17" s="512">
        <f>$N$28</f>
        <v>199182947.12378025</v>
      </c>
      <c r="S17" s="570">
        <f>R17/($H$28*$N$8)</f>
        <v>4.8713206297951261</v>
      </c>
      <c r="T17" s="542"/>
      <c r="U17" s="388"/>
      <c r="V17" s="389"/>
      <c r="W17" s="505"/>
      <c r="X17" s="389"/>
      <c r="Y17" s="623"/>
      <c r="Z17" s="389"/>
      <c r="AA17" s="389"/>
      <c r="AB17" s="512"/>
      <c r="AC17" s="624"/>
      <c r="AD17" s="388"/>
      <c r="AE17" s="389"/>
      <c r="AF17" s="505"/>
      <c r="AG17" s="389"/>
      <c r="AH17" s="623"/>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c r="A18" s="125"/>
      <c r="B18" s="1"/>
      <c r="C18" s="6"/>
      <c r="D18" s="16" t="s">
        <v>664</v>
      </c>
      <c r="E18" s="16"/>
      <c r="F18" s="1"/>
      <c r="G18" s="104"/>
      <c r="H18" s="105"/>
      <c r="I18" s="1"/>
      <c r="J18" s="1"/>
      <c r="K18" s="299">
        <v>22641900</v>
      </c>
      <c r="L18" s="6"/>
      <c r="M18" s="592">
        <f t="shared" si="0"/>
        <v>822141.38411074039</v>
      </c>
      <c r="N18" s="592">
        <f t="shared" si="1"/>
        <v>21819758.615889262</v>
      </c>
      <c r="O18" s="929"/>
      <c r="P18" s="1"/>
      <c r="Q18" s="394"/>
      <c r="R18" s="512"/>
      <c r="S18" s="570"/>
      <c r="T18" s="542"/>
      <c r="U18" s="388"/>
      <c r="V18" s="389"/>
      <c r="W18" s="505"/>
      <c r="X18" s="389"/>
      <c r="Y18" s="623"/>
      <c r="Z18" s="389"/>
      <c r="AA18" s="389"/>
      <c r="AB18" s="512"/>
      <c r="AC18" s="624"/>
      <c r="AD18" s="388"/>
      <c r="AE18" s="389"/>
      <c r="AF18" s="505"/>
      <c r="AG18" s="389"/>
      <c r="AH18" s="623"/>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c r="A19" s="125"/>
      <c r="B19" s="1"/>
      <c r="C19" s="6"/>
      <c r="D19" s="16"/>
      <c r="E19" s="16"/>
      <c r="F19" s="1"/>
      <c r="G19" s="104"/>
      <c r="H19" s="105"/>
      <c r="I19" s="1"/>
      <c r="J19" s="1"/>
      <c r="K19" s="928"/>
      <c r="L19" s="6"/>
      <c r="M19" s="592"/>
      <c r="N19" s="592"/>
      <c r="O19" s="1"/>
      <c r="P19" s="1"/>
      <c r="Q19" s="394"/>
      <c r="R19" s="512"/>
      <c r="S19" s="570"/>
      <c r="T19" s="542"/>
      <c r="U19" s="388"/>
      <c r="V19" s="389"/>
      <c r="W19" s="505"/>
      <c r="X19" s="389"/>
      <c r="Y19" s="623"/>
      <c r="Z19" s="389"/>
      <c r="AA19" s="389"/>
      <c r="AB19" s="512"/>
      <c r="AC19" s="624"/>
      <c r="AD19" s="388"/>
      <c r="AE19" s="389"/>
      <c r="AF19" s="505"/>
      <c r="AG19" s="389"/>
      <c r="AH19" s="623"/>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c r="A20" s="1"/>
      <c r="B20" s="1"/>
      <c r="C20" s="1"/>
      <c r="D20" s="352" t="s">
        <v>665</v>
      </c>
      <c r="E20" s="1"/>
      <c r="F20" s="1"/>
      <c r="G20" s="65">
        <f>K20/H20</f>
        <v>5.2711273665385301</v>
      </c>
      <c r="H20" s="61">
        <f>H13+H15+H14+H16</f>
        <v>74434458</v>
      </c>
      <c r="I20" s="255"/>
      <c r="J20" s="1"/>
      <c r="K20" s="62">
        <f>SUM(K13:K18)</f>
        <v>392353508.57726282</v>
      </c>
      <c r="L20" s="1"/>
      <c r="M20" s="435">
        <f>SUM(M13:M18)</f>
        <v>14246598.412784088</v>
      </c>
      <c r="N20" s="435">
        <f>SUM(N13:N18)</f>
        <v>378106910.16447872</v>
      </c>
      <c r="O20" s="1" t="s">
        <v>25</v>
      </c>
      <c r="P20" s="1"/>
      <c r="Q20" s="394" t="s">
        <v>391</v>
      </c>
      <c r="R20" s="512">
        <f>N71-N57-N62</f>
        <v>66423492.686107986</v>
      </c>
      <c r="S20" s="569">
        <f>R20/(($H$20+$H$28)*$N$8)</f>
        <v>0.58979879304881266</v>
      </c>
      <c r="T20" s="531"/>
      <c r="U20" s="622"/>
      <c r="V20" s="587"/>
      <c r="W20" s="505"/>
      <c r="X20" s="389"/>
      <c r="Y20" s="585"/>
      <c r="Z20" s="389"/>
      <c r="AA20" s="389"/>
      <c r="AB20" s="389"/>
      <c r="AC20" s="389"/>
      <c r="AD20" s="622"/>
      <c r="AE20" s="587"/>
      <c r="AF20" s="505"/>
      <c r="AG20" s="389"/>
      <c r="AH20" s="585"/>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c r="A21" s="1"/>
      <c r="B21" s="1"/>
      <c r="C21" s="1"/>
      <c r="D21" s="1"/>
      <c r="E21" s="1"/>
      <c r="F21" s="1"/>
      <c r="G21" s="18"/>
      <c r="H21" s="1"/>
      <c r="I21" s="1"/>
      <c r="J21" s="1"/>
      <c r="K21" s="62"/>
      <c r="L21" s="1"/>
      <c r="M21" s="61"/>
      <c r="N21" s="61"/>
      <c r="O21" s="1"/>
      <c r="P21" s="1"/>
      <c r="Q21" s="394"/>
      <c r="R21" s="512"/>
      <c r="S21" s="569">
        <f>R21/($H$20*$N$8)</f>
        <v>0</v>
      </c>
      <c r="T21" s="531"/>
      <c r="U21" s="388"/>
      <c r="V21" s="389"/>
      <c r="W21" s="505"/>
      <c r="X21" s="389"/>
      <c r="Y21" s="505"/>
      <c r="Z21" s="389"/>
      <c r="AA21" s="389"/>
      <c r="AB21" s="389"/>
      <c r="AC21" s="389"/>
      <c r="AD21" s="388"/>
      <c r="AE21" s="389"/>
      <c r="AF21" s="505"/>
      <c r="AG21" s="389"/>
      <c r="AH21" s="505"/>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2.75">
      <c r="A22" s="125"/>
      <c r="B22" s="9" t="s">
        <v>26</v>
      </c>
      <c r="C22" s="10" t="s">
        <v>27</v>
      </c>
      <c r="D22" s="1"/>
      <c r="E22" s="1"/>
      <c r="F22" s="1"/>
      <c r="G22" s="4" t="s">
        <v>15</v>
      </c>
      <c r="H22" s="4" t="s">
        <v>16</v>
      </c>
      <c r="I22" s="1"/>
      <c r="J22" s="16"/>
      <c r="K22" s="101" t="s">
        <v>19</v>
      </c>
      <c r="L22" s="1"/>
      <c r="M22" s="91"/>
      <c r="N22" s="91"/>
      <c r="O22" s="1"/>
      <c r="P22" s="1"/>
      <c r="Q22" s="394" t="s">
        <v>376</v>
      </c>
      <c r="R22" s="512">
        <f>N90+N106+N131</f>
        <v>17323444.164020639</v>
      </c>
      <c r="S22" s="571"/>
      <c r="T22" s="531"/>
      <c r="U22" s="388"/>
      <c r="V22" s="389"/>
      <c r="W22" s="505"/>
      <c r="X22" s="389"/>
      <c r="Y22" s="505"/>
      <c r="Z22" s="389"/>
      <c r="AA22" s="389"/>
      <c r="AB22" s="389"/>
      <c r="AC22" s="389"/>
      <c r="AD22" s="388"/>
      <c r="AE22" s="389"/>
      <c r="AF22" s="505"/>
      <c r="AG22" s="389"/>
      <c r="AH22" s="505"/>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2.75">
      <c r="A23" s="1"/>
      <c r="B23" s="9"/>
      <c r="C23" s="6" t="s">
        <v>13</v>
      </c>
      <c r="D23" s="1" t="s">
        <v>28</v>
      </c>
      <c r="E23" s="1"/>
      <c r="F23" s="1"/>
      <c r="G23" s="4"/>
      <c r="H23" s="4"/>
      <c r="I23" s="1"/>
      <c r="J23" s="16"/>
      <c r="K23" s="741">
        <f>'Purchases Detail 1.2'!O222</f>
        <v>95684681</v>
      </c>
      <c r="L23" s="1"/>
      <c r="M23" s="91"/>
      <c r="N23" s="91"/>
      <c r="O23" s="1"/>
      <c r="P23" s="1"/>
      <c r="Q23" s="394" t="s">
        <v>410</v>
      </c>
      <c r="R23" s="512">
        <f>R20+R22</f>
        <v>83746936.850128621</v>
      </c>
      <c r="S23" s="571"/>
      <c r="T23" s="531"/>
      <c r="U23" s="388"/>
      <c r="V23" s="389"/>
      <c r="W23" s="505"/>
      <c r="X23" s="389"/>
      <c r="Y23" s="625"/>
      <c r="Z23" s="389"/>
      <c r="AA23" s="389"/>
      <c r="AB23" s="389"/>
      <c r="AC23" s="389"/>
      <c r="AD23" s="388"/>
      <c r="AE23" s="389"/>
      <c r="AF23" s="505"/>
      <c r="AG23" s="389"/>
      <c r="AH23" s="625"/>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2.75">
      <c r="A24" s="1"/>
      <c r="B24" s="9"/>
      <c r="C24" s="6" t="s">
        <v>22</v>
      </c>
      <c r="D24" s="146" t="s">
        <v>173</v>
      </c>
      <c r="E24" s="1"/>
      <c r="F24" s="1"/>
      <c r="G24" s="4"/>
      <c r="H24" s="4"/>
      <c r="I24" s="1"/>
      <c r="J24" s="16"/>
      <c r="K24" s="742">
        <f>'Purchases Detail 1.2'!O223</f>
        <v>0</v>
      </c>
      <c r="L24" s="1"/>
      <c r="M24" s="91"/>
      <c r="N24" s="91"/>
      <c r="O24" s="1"/>
      <c r="P24" s="1"/>
      <c r="Q24" s="394" t="s">
        <v>1</v>
      </c>
      <c r="R24" s="512">
        <f>R15+R17+R23</f>
        <v>637506448.85842443</v>
      </c>
      <c r="S24" s="569"/>
      <c r="T24" s="531"/>
      <c r="U24" s="622"/>
      <c r="V24" s="582"/>
      <c r="W24" s="505"/>
      <c r="X24" s="389"/>
      <c r="Y24" s="585"/>
      <c r="Z24" s="389"/>
      <c r="AA24" s="389"/>
      <c r="AB24" s="389"/>
      <c r="AC24" s="624"/>
      <c r="AD24" s="622"/>
      <c r="AE24" s="582"/>
      <c r="AF24" s="505"/>
      <c r="AG24" s="389"/>
      <c r="AH24" s="585"/>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c r="A25" s="6"/>
      <c r="B25" s="1"/>
      <c r="C25" s="6"/>
      <c r="D25" s="125" t="s">
        <v>201</v>
      </c>
      <c r="E25" s="1"/>
      <c r="F25" s="1"/>
      <c r="G25" s="65">
        <f>K25/H25</f>
        <v>5.1637712358337833</v>
      </c>
      <c r="H25" s="740">
        <f>'Purchases Detail 1.2'!N225</f>
        <v>18530000</v>
      </c>
      <c r="I25" s="241">
        <f>H25/H$28</f>
        <v>0.43672399590247779</v>
      </c>
      <c r="J25" s="1"/>
      <c r="K25" s="145">
        <f>SUM(K23:K24)</f>
        <v>95684681</v>
      </c>
      <c r="L25" s="6" t="s">
        <v>8</v>
      </c>
      <c r="M25" s="435">
        <f>M$8*K25</f>
        <v>3474369.9104551589</v>
      </c>
      <c r="N25" s="435">
        <f>N$8*K25</f>
        <v>92210311.089544848</v>
      </c>
      <c r="O25" s="1">
        <f>H25*N8</f>
        <v>17857164.246482316</v>
      </c>
      <c r="P25" s="1">
        <f>O25*G25</f>
        <v>92210311.089544848</v>
      </c>
      <c r="Q25" s="387"/>
      <c r="R25" s="389"/>
      <c r="S25" s="571"/>
      <c r="T25" s="531"/>
      <c r="U25" s="622"/>
      <c r="V25" s="582"/>
      <c r="W25" s="505"/>
      <c r="X25" s="389"/>
      <c r="Y25" s="585"/>
      <c r="Z25" s="389"/>
      <c r="AA25" s="389"/>
      <c r="AB25" s="389"/>
      <c r="AC25" s="389"/>
      <c r="AD25" s="622"/>
      <c r="AE25" s="582"/>
      <c r="AF25" s="505"/>
      <c r="AG25" s="389"/>
      <c r="AH25" s="585"/>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12" thickBot="1">
      <c r="A26" s="6"/>
      <c r="B26" s="1"/>
      <c r="C26" s="143" t="s">
        <v>30</v>
      </c>
      <c r="D26" s="1" t="s">
        <v>29</v>
      </c>
      <c r="E26" s="1"/>
      <c r="F26" s="1"/>
      <c r="G26" s="65">
        <f>K26/H26</f>
        <v>4.6445753107255934</v>
      </c>
      <c r="H26" s="740">
        <f>'Purchases Detail 1.2'!N227</f>
        <v>23899544</v>
      </c>
      <c r="I26" s="241">
        <f>H26/H$28</f>
        <v>0.56327600409752221</v>
      </c>
      <c r="J26" s="1"/>
      <c r="K26" s="744">
        <f>'Purchases Detail 1.2'!O227</f>
        <v>111003232</v>
      </c>
      <c r="L26" s="6" t="s">
        <v>8</v>
      </c>
      <c r="M26" s="435">
        <f>M$8*K26</f>
        <v>4030595.9657646054</v>
      </c>
      <c r="N26" s="435">
        <f>N$8*K26</f>
        <v>106972636.0342354</v>
      </c>
      <c r="O26" s="1"/>
      <c r="P26" s="1"/>
      <c r="Q26" s="572" t="s">
        <v>393</v>
      </c>
      <c r="R26" s="396">
        <f>R24-N149</f>
        <v>0</v>
      </c>
      <c r="S26" s="573">
        <f>S11-S17</f>
        <v>0.39980673674340395</v>
      </c>
      <c r="T26" s="531"/>
      <c r="U26" s="582"/>
      <c r="V26" s="582"/>
      <c r="W26" s="585"/>
      <c r="X26" s="582"/>
      <c r="Y26" s="505"/>
      <c r="Z26" s="389"/>
      <c r="AA26" s="389"/>
      <c r="AB26" s="389"/>
      <c r="AC26" s="389"/>
      <c r="AD26" s="582"/>
      <c r="AE26" s="582"/>
      <c r="AF26" s="585"/>
      <c r="AG26" s="582"/>
      <c r="AH26" s="505"/>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c r="A27" s="6"/>
      <c r="B27" s="1"/>
      <c r="C27" s="143" t="s">
        <v>85</v>
      </c>
      <c r="D27" s="16" t="s">
        <v>31</v>
      </c>
      <c r="E27" s="16"/>
      <c r="F27" s="1"/>
      <c r="G27" s="106" t="e">
        <f>K27/H27</f>
        <v>#DIV/0!</v>
      </c>
      <c r="H27" s="743">
        <f>'Purchases Detail 1.2'!N229</f>
        <v>0</v>
      </c>
      <c r="I27" s="242">
        <f>H27/H$28</f>
        <v>0</v>
      </c>
      <c r="J27" s="1"/>
      <c r="K27" s="745">
        <f>'Purchases Detail 1.2'!O229</f>
        <v>0</v>
      </c>
      <c r="L27" s="6" t="s">
        <v>8</v>
      </c>
      <c r="M27" s="592">
        <f>M$8*K27</f>
        <v>0</v>
      </c>
      <c r="N27" s="592">
        <f>N$8*K27</f>
        <v>0</v>
      </c>
      <c r="O27" s="1"/>
      <c r="P27" s="1"/>
      <c r="Q27" s="1"/>
      <c r="R27" s="1"/>
      <c r="S27" s="531"/>
      <c r="T27" s="531"/>
      <c r="U27" s="388"/>
      <c r="V27" s="389"/>
      <c r="W27" s="505"/>
      <c r="X27" s="389"/>
      <c r="Y27" s="625"/>
      <c r="Z27" s="389"/>
      <c r="AA27" s="389"/>
      <c r="AB27" s="389"/>
      <c r="AC27" s="389"/>
      <c r="AD27" s="388"/>
      <c r="AE27" s="389"/>
      <c r="AF27" s="505"/>
      <c r="AG27" s="389"/>
      <c r="AH27" s="625"/>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c r="A28" s="125"/>
      <c r="B28" s="1"/>
      <c r="C28" s="1"/>
      <c r="D28" s="125" t="s">
        <v>202</v>
      </c>
      <c r="E28" s="1"/>
      <c r="F28" s="1"/>
      <c r="G28" s="65">
        <f>K28/H28</f>
        <v>4.8713206297951261</v>
      </c>
      <c r="H28" s="61">
        <f>SUM(H25:H27)</f>
        <v>42429544</v>
      </c>
      <c r="I28" s="241">
        <f>SUM(I25:I27)</f>
        <v>1</v>
      </c>
      <c r="J28" s="1"/>
      <c r="K28" s="62">
        <f>SUM(K25:K27)</f>
        <v>206687913</v>
      </c>
      <c r="L28" s="1"/>
      <c r="M28" s="435">
        <f>SUM(M25:M27)</f>
        <v>7504965.8762197644</v>
      </c>
      <c r="N28" s="435">
        <f>SUM(N25:N27)</f>
        <v>199182947.12378025</v>
      </c>
      <c r="O28" s="1"/>
      <c r="P28" s="1"/>
      <c r="Q28" s="1"/>
      <c r="R28" s="1"/>
      <c r="S28" s="436"/>
      <c r="T28" s="531"/>
      <c r="U28" s="582"/>
      <c r="V28" s="582"/>
      <c r="W28" s="585"/>
      <c r="X28" s="582"/>
      <c r="Y28" s="505"/>
      <c r="Z28" s="389"/>
      <c r="AA28" s="389"/>
      <c r="AB28" s="389"/>
      <c r="AC28" s="389"/>
      <c r="AD28" s="582"/>
      <c r="AE28" s="582"/>
      <c r="AF28" s="585"/>
      <c r="AG28" s="582"/>
      <c r="AH28" s="505"/>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c r="A29" s="1"/>
      <c r="B29" s="1"/>
      <c r="C29" s="1"/>
      <c r="D29" s="1"/>
      <c r="E29" s="1"/>
      <c r="F29" s="1"/>
      <c r="G29" s="1"/>
      <c r="H29" s="1"/>
      <c r="I29" s="1"/>
      <c r="J29" s="1"/>
      <c r="K29" s="62"/>
      <c r="L29" s="19"/>
      <c r="M29" s="61"/>
      <c r="N29" s="61"/>
      <c r="O29" s="1"/>
      <c r="P29" s="1"/>
      <c r="Q29" s="1"/>
      <c r="R29" s="1"/>
      <c r="S29" s="436">
        <f>S15-[6]Costs!$S$14</f>
        <v>0.31923964978603703</v>
      </c>
      <c r="T29" s="531"/>
      <c r="U29" s="389"/>
      <c r="V29" s="389"/>
      <c r="W29" s="505"/>
      <c r="X29" s="389"/>
      <c r="Y29" s="505"/>
      <c r="Z29" s="389"/>
      <c r="AA29" s="389"/>
      <c r="AB29" s="389"/>
      <c r="AC29" s="389"/>
      <c r="AD29" s="389"/>
      <c r="AE29" s="389"/>
      <c r="AF29" s="505"/>
      <c r="AG29" s="389"/>
      <c r="AH29" s="505"/>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2.75">
      <c r="A30" s="125"/>
      <c r="B30" s="9" t="s">
        <v>32</v>
      </c>
      <c r="C30" s="10" t="s">
        <v>267</v>
      </c>
      <c r="D30" s="1"/>
      <c r="E30" s="1"/>
      <c r="F30" s="1"/>
      <c r="L30" s="1"/>
      <c r="M30" s="91"/>
      <c r="N30" s="91"/>
      <c r="O30" s="1"/>
      <c r="P30" s="1"/>
      <c r="Q30" s="1"/>
      <c r="R30" s="1"/>
      <c r="S30" s="531"/>
      <c r="T30" s="531"/>
      <c r="U30" s="388"/>
      <c r="V30" s="389"/>
      <c r="W30" s="505"/>
      <c r="X30" s="389"/>
      <c r="Y30" s="625"/>
      <c r="Z30" s="389"/>
      <c r="AA30" s="389"/>
      <c r="AB30" s="389"/>
      <c r="AC30" s="389"/>
      <c r="AD30" s="388"/>
      <c r="AE30" s="389"/>
      <c r="AF30" s="505"/>
      <c r="AG30" s="389"/>
      <c r="AH30" s="625"/>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2.75">
      <c r="A31" s="125"/>
      <c r="B31" s="9"/>
      <c r="C31" s="6" t="s">
        <v>13</v>
      </c>
      <c r="D31" s="125" t="s">
        <v>255</v>
      </c>
      <c r="E31" s="1"/>
      <c r="F31" s="1"/>
      <c r="G31" s="4" t="s">
        <v>15</v>
      </c>
      <c r="H31" s="4" t="s">
        <v>16</v>
      </c>
      <c r="I31" s="4" t="s">
        <v>34</v>
      </c>
      <c r="J31" s="1"/>
      <c r="K31" s="101" t="s">
        <v>19</v>
      </c>
      <c r="L31" s="1"/>
      <c r="M31" s="91"/>
      <c r="N31" s="91"/>
      <c r="O31" s="1"/>
      <c r="P31" s="1"/>
      <c r="Q31" s="352" t="s">
        <v>408</v>
      </c>
      <c r="R31" s="1">
        <f>R20+R21+R22</f>
        <v>83746936.850128621</v>
      </c>
      <c r="S31" s="531"/>
      <c r="T31" s="531"/>
      <c r="U31" s="388"/>
      <c r="V31" s="389"/>
      <c r="W31" s="505"/>
      <c r="X31" s="389"/>
      <c r="Y31" s="505"/>
      <c r="Z31" s="389"/>
      <c r="AA31" s="389"/>
      <c r="AB31" s="389"/>
      <c r="AC31" s="389"/>
      <c r="AD31" s="388"/>
      <c r="AE31" s="389"/>
      <c r="AF31" s="505"/>
      <c r="AG31" s="389"/>
      <c r="AH31" s="505"/>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c r="A32" s="125"/>
      <c r="B32" s="1"/>
      <c r="D32" s="6" t="s">
        <v>20</v>
      </c>
      <c r="E32" s="125" t="s">
        <v>174</v>
      </c>
      <c r="F32" s="1"/>
      <c r="G32" s="301">
        <v>5.2880399999999996</v>
      </c>
      <c r="H32" s="297">
        <v>840902</v>
      </c>
      <c r="I32" s="297">
        <v>12</v>
      </c>
      <c r="J32" s="1"/>
      <c r="K32" s="62">
        <f>G32*I32*H32</f>
        <v>53360680.944959998</v>
      </c>
      <c r="L32" s="6" t="s">
        <v>6</v>
      </c>
      <c r="M32" s="435">
        <f>M$5*K32</f>
        <v>1387366.1652941734</v>
      </c>
      <c r="N32" s="435">
        <f>N$5*K32</f>
        <v>51973314.77966582</v>
      </c>
      <c r="O32" s="1"/>
      <c r="P32" s="141"/>
      <c r="Q32" s="141"/>
      <c r="R32" s="141"/>
      <c r="S32" s="533"/>
      <c r="T32" s="531"/>
      <c r="U32" s="388"/>
      <c r="V32" s="389"/>
      <c r="W32" s="505"/>
      <c r="X32" s="389"/>
      <c r="Y32" s="505"/>
      <c r="Z32" s="389"/>
      <c r="AA32" s="389"/>
      <c r="AB32" s="389"/>
      <c r="AC32" s="389"/>
      <c r="AD32" s="388"/>
      <c r="AE32" s="389"/>
      <c r="AF32" s="505"/>
      <c r="AG32" s="389"/>
      <c r="AH32" s="505"/>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c r="A33" s="1"/>
      <c r="B33" s="1"/>
      <c r="C33" s="6"/>
      <c r="D33" s="6" t="s">
        <v>21</v>
      </c>
      <c r="E33" s="125" t="s">
        <v>175</v>
      </c>
      <c r="F33" s="1"/>
      <c r="G33" s="301">
        <v>6.8088699999999998</v>
      </c>
      <c r="H33" s="297">
        <v>75000</v>
      </c>
      <c r="I33" s="297">
        <v>5</v>
      </c>
      <c r="J33" s="1"/>
      <c r="K33" s="62">
        <f>G33*I33*H33</f>
        <v>2553326.25</v>
      </c>
      <c r="L33" s="6" t="s">
        <v>6</v>
      </c>
      <c r="M33" s="435">
        <f>M$5*K33</f>
        <v>66385.930341881016</v>
      </c>
      <c r="N33" s="435">
        <f>N$5*K33</f>
        <v>2486940.3196581188</v>
      </c>
      <c r="O33" s="1"/>
      <c r="P33" s="141"/>
      <c r="Q33" s="141"/>
      <c r="R33" s="141"/>
      <c r="S33" s="533"/>
      <c r="T33" s="531"/>
      <c r="U33" s="388"/>
      <c r="V33" s="389"/>
      <c r="W33" s="505"/>
      <c r="X33" s="389"/>
      <c r="Y33" s="505"/>
      <c r="Z33" s="389"/>
      <c r="AA33" s="389"/>
      <c r="AB33" s="389"/>
      <c r="AC33" s="389"/>
      <c r="AD33" s="388"/>
      <c r="AE33" s="389"/>
      <c r="AF33" s="505"/>
      <c r="AG33" s="389"/>
      <c r="AH33" s="505"/>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c r="A34" s="1"/>
      <c r="B34" s="1"/>
      <c r="C34" s="1"/>
      <c r="D34" s="6" t="s">
        <v>38</v>
      </c>
      <c r="E34" s="1" t="s">
        <v>37</v>
      </c>
      <c r="F34" s="1"/>
      <c r="G34" s="301">
        <v>0.86753000000000002</v>
      </c>
      <c r="H34" s="297">
        <v>203542</v>
      </c>
      <c r="I34" s="297">
        <v>12</v>
      </c>
      <c r="J34" s="1"/>
      <c r="K34" s="62">
        <f>G34*I34*H34</f>
        <v>2118945.4951200001</v>
      </c>
      <c r="L34" s="6" t="s">
        <v>6</v>
      </c>
      <c r="M34" s="435">
        <f>M$5*K34</f>
        <v>55092.124650063386</v>
      </c>
      <c r="N34" s="435">
        <f>N$5*K34</f>
        <v>2063853.3704699366</v>
      </c>
      <c r="O34" s="1"/>
      <c r="P34" s="141"/>
      <c r="Q34" s="438" t="s">
        <v>396</v>
      </c>
      <c r="R34" s="439">
        <f>R13/R24</f>
        <v>2.5463409832621037E-2</v>
      </c>
      <c r="S34" s="533"/>
      <c r="T34" s="531"/>
      <c r="U34" s="622"/>
      <c r="V34" s="582"/>
      <c r="W34" s="505"/>
      <c r="X34" s="389"/>
      <c r="Y34" s="505"/>
      <c r="Z34" s="389"/>
      <c r="AA34" s="389"/>
      <c r="AB34" s="389"/>
      <c r="AC34" s="389"/>
      <c r="AD34" s="622"/>
      <c r="AE34" s="582"/>
      <c r="AF34" s="505"/>
      <c r="AG34" s="389"/>
      <c r="AH34" s="505"/>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c r="A35" s="1"/>
      <c r="B35" s="1"/>
      <c r="C35" s="1"/>
      <c r="D35" s="141" t="s">
        <v>144</v>
      </c>
      <c r="E35" s="16" t="s">
        <v>40</v>
      </c>
      <c r="F35" s="1"/>
      <c r="G35" s="65"/>
      <c r="H35" s="61"/>
      <c r="I35" s="61"/>
      <c r="J35" s="1"/>
      <c r="K35" s="299">
        <v>-200098</v>
      </c>
      <c r="L35" s="6" t="s">
        <v>6</v>
      </c>
      <c r="M35" s="592">
        <f>M$5*K35</f>
        <v>-5202.5047287042562</v>
      </c>
      <c r="N35" s="592">
        <f>N$5*K35</f>
        <v>-194895.49527129575</v>
      </c>
      <c r="O35" s="1"/>
      <c r="P35" s="496">
        <f>(K36+K42)/H46</f>
        <v>0.48340930662072934</v>
      </c>
      <c r="Q35" s="141"/>
      <c r="R35" s="141"/>
      <c r="S35" s="533"/>
      <c r="T35" s="543"/>
      <c r="U35" s="622"/>
      <c r="V35" s="589"/>
      <c r="W35" s="505"/>
      <c r="X35" s="389"/>
      <c r="Y35" s="505"/>
      <c r="Z35" s="389"/>
      <c r="AA35" s="389"/>
      <c r="AB35" s="389"/>
      <c r="AC35" s="389"/>
      <c r="AD35" s="622"/>
      <c r="AE35" s="589"/>
      <c r="AF35" s="505"/>
      <c r="AG35" s="389"/>
      <c r="AH35" s="505"/>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c r="A36" s="6"/>
      <c r="B36" s="1"/>
      <c r="C36" s="1"/>
      <c r="D36" s="1"/>
      <c r="E36" s="125" t="s">
        <v>203</v>
      </c>
      <c r="F36" s="1"/>
      <c r="G36" s="65"/>
      <c r="H36" s="61"/>
      <c r="I36" s="61"/>
      <c r="J36" s="1"/>
      <c r="K36" s="62">
        <f>SUM(K32:K35)</f>
        <v>57832854.690080002</v>
      </c>
      <c r="L36" s="1"/>
      <c r="M36" s="435">
        <f>SUM(M32:M35)</f>
        <v>1503641.7155574136</v>
      </c>
      <c r="N36" s="435">
        <f>SUM(N32:N35)</f>
        <v>56329212.974522576</v>
      </c>
      <c r="O36" s="191" t="s">
        <v>214</v>
      </c>
      <c r="P36" s="141"/>
      <c r="Q36" s="141"/>
      <c r="R36" s="141"/>
      <c r="S36" s="533"/>
      <c r="T36" s="543"/>
      <c r="U36" s="389"/>
      <c r="V36" s="389"/>
      <c r="W36" s="505"/>
      <c r="X36" s="389"/>
      <c r="Y36" s="505"/>
      <c r="Z36" s="389"/>
      <c r="AA36" s="389"/>
      <c r="AB36" s="389"/>
      <c r="AC36" s="389"/>
      <c r="AD36" s="389"/>
      <c r="AE36" s="389"/>
      <c r="AF36" s="505"/>
      <c r="AG36" s="389"/>
      <c r="AH36" s="505"/>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c r="A37" s="1"/>
      <c r="B37" s="1"/>
      <c r="C37" s="1"/>
      <c r="D37" s="1"/>
      <c r="E37" s="1"/>
      <c r="F37" s="1"/>
      <c r="G37" s="65"/>
      <c r="H37" s="61"/>
      <c r="I37" s="61"/>
      <c r="J37" s="1"/>
      <c r="K37" s="62"/>
      <c r="L37" s="1"/>
      <c r="M37" s="61"/>
      <c r="N37" s="61"/>
      <c r="O37" s="1"/>
      <c r="P37" s="6"/>
      <c r="Q37" s="6"/>
      <c r="R37" s="6"/>
      <c r="S37" s="534"/>
      <c r="T37" s="543"/>
      <c r="U37" s="389"/>
      <c r="V37" s="389"/>
      <c r="W37" s="505"/>
      <c r="X37" s="389"/>
      <c r="Y37" s="505"/>
      <c r="Z37" s="389"/>
      <c r="AA37" s="389"/>
      <c r="AB37" s="389"/>
      <c r="AC37" s="389"/>
      <c r="AD37" s="389"/>
      <c r="AE37" s="389"/>
      <c r="AF37" s="505"/>
      <c r="AG37" s="389"/>
      <c r="AH37" s="505"/>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c r="A38" s="125"/>
      <c r="C38" s="143" t="s">
        <v>22</v>
      </c>
      <c r="D38" s="125" t="s">
        <v>256</v>
      </c>
      <c r="G38" s="104" t="s">
        <v>15</v>
      </c>
      <c r="H38" s="105" t="s">
        <v>16</v>
      </c>
      <c r="I38" s="4" t="s">
        <v>171</v>
      </c>
      <c r="K38" s="101" t="s">
        <v>19</v>
      </c>
      <c r="O38" s="1"/>
      <c r="P38" s="6"/>
      <c r="Q38" s="6"/>
      <c r="R38" s="6"/>
      <c r="S38" s="534"/>
      <c r="T38" s="543"/>
      <c r="U38" s="389"/>
      <c r="V38" s="389"/>
      <c r="W38" s="505"/>
      <c r="X38" s="389"/>
      <c r="Y38" s="505"/>
      <c r="Z38" s="389"/>
      <c r="AA38" s="389"/>
      <c r="AB38" s="389"/>
      <c r="AC38" s="389"/>
      <c r="AD38" s="389"/>
      <c r="AE38" s="389"/>
      <c r="AF38" s="389"/>
      <c r="AG38" s="389"/>
      <c r="AH38" s="389"/>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c r="C39" s="6"/>
      <c r="D39" s="6" t="s">
        <v>20</v>
      </c>
      <c r="E39" s="123" t="s">
        <v>182</v>
      </c>
      <c r="G39" s="843">
        <v>17.742039999999999</v>
      </c>
      <c r="H39" s="297">
        <v>1885</v>
      </c>
      <c r="I39" s="297">
        <v>12</v>
      </c>
      <c r="K39" s="62">
        <f>G39*H39*I39</f>
        <v>401324.9448</v>
      </c>
      <c r="L39" s="6" t="s">
        <v>6</v>
      </c>
      <c r="M39" s="435">
        <f>M$5*K39</f>
        <v>10434.361778073619</v>
      </c>
      <c r="N39" s="435">
        <f>N$5*K39</f>
        <v>390890.58302192634</v>
      </c>
      <c r="P39" s="194"/>
      <c r="Q39" s="194">
        <f>H20*N8</f>
        <v>71731696.821580663</v>
      </c>
      <c r="R39" s="194"/>
      <c r="S39" s="535"/>
      <c r="T39" s="543"/>
      <c r="U39" s="1"/>
      <c r="V39" s="1"/>
      <c r="W39" s="531"/>
      <c r="X39" s="1"/>
      <c r="Y39" s="53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c r="C40" s="6"/>
      <c r="D40" s="438" t="s">
        <v>21</v>
      </c>
      <c r="E40" s="123" t="s">
        <v>182</v>
      </c>
      <c r="G40" s="843">
        <v>14.34754</v>
      </c>
      <c r="H40" s="297">
        <v>3000</v>
      </c>
      <c r="I40" s="297">
        <v>12</v>
      </c>
      <c r="K40" s="62">
        <f>G40*H40*I40</f>
        <v>516511.44000000006</v>
      </c>
      <c r="L40" s="438" t="s">
        <v>6</v>
      </c>
      <c r="M40" s="435">
        <f>M$5*K40</f>
        <v>13429.1857441346</v>
      </c>
      <c r="N40" s="435">
        <f>N$5*K40</f>
        <v>503082.25425586541</v>
      </c>
      <c r="P40" s="194"/>
      <c r="Q40" s="194"/>
      <c r="R40" s="194"/>
      <c r="S40" s="535"/>
      <c r="T40" s="543"/>
      <c r="U40" s="1"/>
      <c r="V40" s="1"/>
      <c r="W40" s="531"/>
      <c r="X40" s="1"/>
      <c r="Y40" s="53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c r="C41" s="6"/>
      <c r="D41" s="438" t="s">
        <v>427</v>
      </c>
      <c r="E41" s="127" t="s">
        <v>183</v>
      </c>
      <c r="G41" s="843">
        <v>14.34754</v>
      </c>
      <c r="H41" s="297">
        <v>50000</v>
      </c>
      <c r="I41" s="297">
        <v>5</v>
      </c>
      <c r="K41" s="124">
        <f>G41*H41*I41</f>
        <v>3586885</v>
      </c>
      <c r="L41" s="6" t="s">
        <v>6</v>
      </c>
      <c r="M41" s="593">
        <f>M$5*K41</f>
        <v>93258.23433426804</v>
      </c>
      <c r="N41" s="593">
        <f>N$5*K41</f>
        <v>3493626.7656657319</v>
      </c>
      <c r="P41" s="141"/>
      <c r="Q41" s="141"/>
      <c r="R41" s="141"/>
      <c r="S41" s="536">
        <f>66.5-16.9</f>
        <v>49.6</v>
      </c>
      <c r="T41" s="531"/>
      <c r="U41" s="1"/>
      <c r="V41" s="1"/>
      <c r="W41" s="531"/>
      <c r="X41" s="1"/>
      <c r="Y41" s="531"/>
      <c r="Z41" s="1"/>
      <c r="AA41" s="44"/>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c r="C42" s="6"/>
      <c r="D42" s="1"/>
      <c r="E42" s="125" t="s">
        <v>204</v>
      </c>
      <c r="G42" s="107"/>
      <c r="H42" s="92"/>
      <c r="I42" s="92"/>
      <c r="K42" s="102">
        <f>SUM(K39:K41)</f>
        <v>4504721.3848000001</v>
      </c>
      <c r="L42" s="6"/>
      <c r="M42" s="594">
        <f>SUM(M39:M41)</f>
        <v>117121.78185647626</v>
      </c>
      <c r="N42" s="594">
        <f>SUM(N39:N41)</f>
        <v>4387599.6029435238</v>
      </c>
      <c r="O42" s="191" t="s">
        <v>214</v>
      </c>
      <c r="P42" s="141"/>
      <c r="Q42" s="141"/>
      <c r="R42" s="141"/>
      <c r="S42" s="533"/>
      <c r="T42" s="531"/>
      <c r="U42" s="1"/>
      <c r="V42" s="1"/>
      <c r="W42" s="531"/>
      <c r="X42" s="1"/>
      <c r="Y42" s="53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c r="C43" s="6"/>
      <c r="D43" s="1"/>
      <c r="E43" s="1"/>
      <c r="G43" s="107"/>
      <c r="H43" s="92"/>
      <c r="I43" s="92"/>
      <c r="K43" s="102"/>
      <c r="L43" s="6"/>
      <c r="M43" s="102"/>
      <c r="N43" s="102"/>
      <c r="P43" s="1"/>
      <c r="Q43" s="1"/>
      <c r="R43" s="1"/>
      <c r="S43" s="531"/>
      <c r="T43" s="531"/>
      <c r="U43" s="1"/>
      <c r="V43" s="1"/>
      <c r="W43" s="531"/>
      <c r="X43" s="1"/>
      <c r="Y43" s="53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c r="A44" s="125"/>
      <c r="B44" s="1"/>
      <c r="C44" s="143" t="s">
        <v>30</v>
      </c>
      <c r="D44" s="125" t="s">
        <v>254</v>
      </c>
      <c r="E44" s="1"/>
      <c r="F44" s="1"/>
      <c r="G44" s="104" t="s">
        <v>15</v>
      </c>
      <c r="H44" s="105" t="s">
        <v>16</v>
      </c>
      <c r="I44" s="61"/>
      <c r="J44" s="1"/>
      <c r="K44" s="101" t="s">
        <v>19</v>
      </c>
      <c r="L44" s="1"/>
      <c r="M44" s="91"/>
      <c r="N44" s="91"/>
      <c r="O44" s="1"/>
      <c r="P44" s="1"/>
      <c r="Q44" s="1"/>
      <c r="R44" s="1"/>
      <c r="S44" s="531"/>
      <c r="T44" s="531"/>
      <c r="U44" s="1"/>
      <c r="V44" s="1"/>
      <c r="W44" s="531"/>
      <c r="X44" s="1"/>
      <c r="Y44" s="53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c r="A45" s="1"/>
      <c r="B45" s="1"/>
      <c r="C45" s="1"/>
      <c r="D45" s="6" t="s">
        <v>20</v>
      </c>
      <c r="E45" s="125" t="s">
        <v>168</v>
      </c>
      <c r="F45" s="1"/>
      <c r="G45" s="301">
        <v>2.6700000000000001E-3</v>
      </c>
      <c r="H45" s="297">
        <v>119748571</v>
      </c>
      <c r="I45" s="61"/>
      <c r="J45" s="1"/>
      <c r="K45" s="62">
        <f>G45*H45</f>
        <v>319728.68456999998</v>
      </c>
      <c r="L45" s="6" t="s">
        <v>8</v>
      </c>
      <c r="M45" s="435">
        <f>M$8*K45</f>
        <v>11609.546163187988</v>
      </c>
      <c r="N45" s="435">
        <f>N$8*K45</f>
        <v>308119.13840681204</v>
      </c>
      <c r="O45" s="191" t="s">
        <v>214</v>
      </c>
      <c r="P45" s="141"/>
      <c r="Q45" s="141"/>
      <c r="R45" s="141"/>
      <c r="S45" s="533"/>
      <c r="T45" s="531"/>
      <c r="U45" s="1"/>
      <c r="V45" s="1"/>
      <c r="W45" s="531"/>
      <c r="X45" s="1"/>
      <c r="Y45" s="53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c r="A46" s="1"/>
      <c r="B46" s="1"/>
      <c r="C46" s="1"/>
      <c r="D46" s="6" t="s">
        <v>21</v>
      </c>
      <c r="E46" s="146" t="s">
        <v>207</v>
      </c>
      <c r="F46" s="1"/>
      <c r="G46" s="901">
        <v>1.1999999999999999E-3</v>
      </c>
      <c r="H46" s="179">
        <f>H45+H50*I50*J50+H51*I51*J51</f>
        <v>128954025.54545455</v>
      </c>
      <c r="I46" s="61"/>
      <c r="J46" s="1"/>
      <c r="K46" s="124">
        <f>G46*H46</f>
        <v>154744.83065454545</v>
      </c>
      <c r="L46" s="6" t="s">
        <v>8</v>
      </c>
      <c r="M46" s="593">
        <f>M$8*K46</f>
        <v>5618.8804498876034</v>
      </c>
      <c r="N46" s="593">
        <f>N$8*K46</f>
        <v>149125.95020465786</v>
      </c>
      <c r="O46" s="1"/>
      <c r="P46" s="141"/>
      <c r="Q46" s="141"/>
      <c r="R46" s="141"/>
      <c r="S46" s="533"/>
      <c r="T46" s="531"/>
      <c r="U46" s="1"/>
      <c r="V46" s="1"/>
      <c r="W46" s="531"/>
      <c r="X46" s="1"/>
      <c r="Y46" s="53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c r="A47" s="6"/>
      <c r="B47" s="1"/>
      <c r="C47" s="1"/>
      <c r="D47" s="1"/>
      <c r="E47" s="125" t="s">
        <v>205</v>
      </c>
      <c r="F47" s="1"/>
      <c r="G47" s="65"/>
      <c r="H47" s="61"/>
      <c r="I47" s="61"/>
      <c r="K47" s="62">
        <f>SUM(K45:K46)</f>
        <v>474473.51522454544</v>
      </c>
      <c r="L47" s="15"/>
      <c r="M47" s="435">
        <f>SUM(M45:M46)</f>
        <v>17228.426613075593</v>
      </c>
      <c r="N47" s="435">
        <f>SUM(N45:N46)</f>
        <v>457245.0886114699</v>
      </c>
      <c r="O47" s="1"/>
      <c r="P47" s="141"/>
      <c r="Q47" s="141"/>
      <c r="R47" s="141"/>
      <c r="S47" s="533"/>
      <c r="T47" s="531"/>
      <c r="U47" s="1"/>
      <c r="V47" s="1"/>
      <c r="W47" s="531"/>
      <c r="X47" s="1"/>
      <c r="Y47" s="53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c r="A48" s="1"/>
      <c r="B48" s="1"/>
      <c r="C48" s="1"/>
      <c r="D48" s="1"/>
      <c r="E48" s="1"/>
      <c r="F48" s="1"/>
      <c r="G48" s="65"/>
      <c r="H48" s="61"/>
      <c r="I48" s="61"/>
      <c r="J48" s="1"/>
      <c r="K48" s="62"/>
      <c r="L48" s="1"/>
      <c r="M48" s="61"/>
      <c r="N48" s="61"/>
      <c r="O48" s="1"/>
      <c r="P48" s="1"/>
      <c r="Q48" s="1"/>
      <c r="R48" s="1"/>
      <c r="S48" s="531"/>
      <c r="T48" s="531"/>
      <c r="U48" s="1"/>
      <c r="V48" s="1"/>
      <c r="W48" s="531"/>
      <c r="X48" s="1"/>
      <c r="Y48" s="53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c r="A49" s="125"/>
      <c r="C49" s="143" t="s">
        <v>85</v>
      </c>
      <c r="D49" s="125" t="s">
        <v>257</v>
      </c>
      <c r="G49" s="104" t="s">
        <v>15</v>
      </c>
      <c r="H49" s="105" t="s">
        <v>16</v>
      </c>
      <c r="I49" s="4" t="s">
        <v>171</v>
      </c>
      <c r="J49" s="123" t="s">
        <v>306</v>
      </c>
      <c r="K49" s="101" t="s">
        <v>19</v>
      </c>
      <c r="P49" s="1"/>
      <c r="Q49" s="1"/>
      <c r="R49" s="434">
        <f>R11/47688290</f>
        <v>7.9287160467376525</v>
      </c>
      <c r="S49" s="531"/>
      <c r="T49" s="531"/>
      <c r="U49" s="1"/>
      <c r="V49" s="1"/>
      <c r="W49" s="531"/>
      <c r="X49" s="1"/>
      <c r="Y49" s="53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c r="C50" s="6"/>
      <c r="D50" s="6" t="s">
        <v>20</v>
      </c>
      <c r="E50" s="123" t="s">
        <v>182</v>
      </c>
      <c r="G50" s="843">
        <v>4.4000000000000003E-3</v>
      </c>
      <c r="H50" s="844">
        <v>4885</v>
      </c>
      <c r="I50" s="297">
        <v>365</v>
      </c>
      <c r="J50" s="902">
        <v>0.98632176421326834</v>
      </c>
      <c r="K50" s="62">
        <f>G50*H50*I50*J50</f>
        <v>7737.9999999999955</v>
      </c>
      <c r="L50" s="6" t="s">
        <v>8</v>
      </c>
      <c r="M50" s="61">
        <f>M$8*K50</f>
        <v>280.97156290986646</v>
      </c>
      <c r="N50" s="61">
        <f>N$8*K50</f>
        <v>7457.028437090129</v>
      </c>
      <c r="P50" s="141"/>
      <c r="Q50" s="141"/>
      <c r="R50" s="141"/>
      <c r="S50" s="533"/>
      <c r="T50" s="531"/>
      <c r="U50" s="1"/>
      <c r="V50" s="1"/>
      <c r="W50" s="531"/>
      <c r="X50" s="1"/>
      <c r="Y50" s="53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c r="C51" s="6"/>
      <c r="D51" s="141" t="s">
        <v>21</v>
      </c>
      <c r="E51" s="127" t="s">
        <v>183</v>
      </c>
      <c r="G51" s="843">
        <v>4.4000000000000003E-3</v>
      </c>
      <c r="H51" s="144">
        <f>H41</f>
        <v>50000</v>
      </c>
      <c r="I51" s="297">
        <v>151</v>
      </c>
      <c r="J51" s="902">
        <v>0.98633353401565349</v>
      </c>
      <c r="K51" s="124">
        <f>G51*H51*I51*J51</f>
        <v>32766.000000000007</v>
      </c>
      <c r="L51" s="6" t="s">
        <v>8</v>
      </c>
      <c r="M51" s="126">
        <f>M$8*K51</f>
        <v>1189.7537128850727</v>
      </c>
      <c r="N51" s="126">
        <f>N$8*K51</f>
        <v>31576.246287114936</v>
      </c>
      <c r="P51" s="141"/>
      <c r="Q51" s="141"/>
      <c r="R51" s="141"/>
      <c r="S51" s="533"/>
      <c r="T51" s="531"/>
      <c r="U51" s="1"/>
      <c r="V51" s="1"/>
      <c r="W51" s="531"/>
      <c r="X51" s="1"/>
      <c r="Y51" s="53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c r="C52" s="6"/>
      <c r="D52" s="1"/>
      <c r="E52" s="125" t="s">
        <v>206</v>
      </c>
      <c r="G52" s="107"/>
      <c r="H52" s="92"/>
      <c r="I52" s="92"/>
      <c r="K52" s="102">
        <f>SUM(K50:K51)</f>
        <v>40504</v>
      </c>
      <c r="L52" s="6"/>
      <c r="M52" s="102">
        <f>SUM(M50:M51)</f>
        <v>1470.7252757949391</v>
      </c>
      <c r="N52" s="102">
        <f>SUM(N50:N51)</f>
        <v>39033.274724205068</v>
      </c>
      <c r="O52" s="191" t="s">
        <v>214</v>
      </c>
      <c r="P52" s="141"/>
      <c r="Q52" s="141"/>
      <c r="R52" s="141"/>
      <c r="S52" s="533"/>
      <c r="T52" s="531"/>
      <c r="U52" s="1"/>
      <c r="V52" s="1"/>
      <c r="W52" s="531"/>
      <c r="X52" s="1"/>
      <c r="Y52" s="53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c r="A53" s="1"/>
      <c r="B53" s="1"/>
      <c r="C53" s="1"/>
      <c r="D53" s="1"/>
      <c r="E53" s="1"/>
      <c r="F53" s="1"/>
      <c r="G53" s="65"/>
      <c r="H53" s="61"/>
      <c r="I53" s="61"/>
      <c r="J53" s="1"/>
      <c r="K53" s="62"/>
      <c r="L53" s="1"/>
      <c r="M53" s="62"/>
      <c r="N53" s="62"/>
      <c r="O53" s="1"/>
      <c r="P53" s="1"/>
      <c r="Q53" s="352" t="s">
        <v>433</v>
      </c>
      <c r="R53" s="1"/>
      <c r="S53" s="532" t="s">
        <v>430</v>
      </c>
      <c r="T53" s="532" t="s">
        <v>431</v>
      </c>
      <c r="U53" s="1"/>
      <c r="V53" s="1"/>
      <c r="W53" s="531"/>
      <c r="X53" s="1"/>
      <c r="Y53" s="53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c r="A54" s="1"/>
      <c r="B54" s="1"/>
      <c r="C54" s="143" t="s">
        <v>88</v>
      </c>
      <c r="D54" s="352" t="s">
        <v>667</v>
      </c>
      <c r="E54" s="1"/>
      <c r="F54" s="1"/>
      <c r="G54" s="65"/>
      <c r="H54" s="61"/>
      <c r="I54" s="61"/>
      <c r="J54" s="1"/>
      <c r="K54" s="62"/>
      <c r="L54" s="1"/>
      <c r="M54" s="62"/>
      <c r="N54" s="62"/>
      <c r="O54" s="1"/>
      <c r="P54" s="1"/>
      <c r="Q54" s="1"/>
      <c r="R54" s="352" t="s">
        <v>432</v>
      </c>
      <c r="S54" s="537">
        <f>N36</f>
        <v>56329212.974522576</v>
      </c>
      <c r="T54" s="882">
        <v>56351732</v>
      </c>
      <c r="U54" s="1"/>
      <c r="V54" s="1"/>
      <c r="W54" s="531"/>
      <c r="X54" s="1"/>
      <c r="Y54" s="53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c r="A55" s="1"/>
      <c r="B55" s="1"/>
      <c r="C55" s="1"/>
      <c r="D55" s="141" t="s">
        <v>20</v>
      </c>
      <c r="E55" s="352" t="s">
        <v>668</v>
      </c>
      <c r="F55" s="1"/>
      <c r="G55" s="298">
        <v>745178</v>
      </c>
      <c r="H55" s="302"/>
      <c r="I55" s="297">
        <v>12</v>
      </c>
      <c r="J55" s="1"/>
      <c r="K55" s="752">
        <f>IF(J57="yes",0,G55*I55)</f>
        <v>8942136</v>
      </c>
      <c r="L55" s="6" t="s">
        <v>6</v>
      </c>
      <c r="M55" s="435">
        <f>M$5*K55</f>
        <v>232493.60225847617</v>
      </c>
      <c r="N55" s="435">
        <f>N$5*K55</f>
        <v>8709642.3977415226</v>
      </c>
      <c r="O55" s="1"/>
      <c r="P55" s="141"/>
      <c r="Q55" s="141"/>
      <c r="R55" s="438" t="s">
        <v>434</v>
      </c>
      <c r="S55" s="538">
        <f>N42</f>
        <v>4387599.6029435238</v>
      </c>
      <c r="T55" s="882">
        <v>4387600</v>
      </c>
      <c r="U55" s="1"/>
      <c r="V55" s="1"/>
      <c r="W55" s="531"/>
      <c r="X55" s="1"/>
      <c r="Y55" s="53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c r="A56" s="1"/>
      <c r="B56" s="1"/>
      <c r="C56" s="1"/>
      <c r="D56" s="1"/>
      <c r="E56" s="192" t="s">
        <v>669</v>
      </c>
      <c r="F56" s="1"/>
      <c r="G56" s="301">
        <v>0.12579000000000001</v>
      </c>
      <c r="H56" s="297">
        <v>42871720</v>
      </c>
      <c r="I56" s="302"/>
      <c r="J56" s="750"/>
      <c r="K56" s="753">
        <f>IF(J57="yes",J56*H56,G56*H56)</f>
        <v>5392833.6588000003</v>
      </c>
      <c r="L56" s="6" t="s">
        <v>8</v>
      </c>
      <c r="M56" s="592">
        <f>M$8*K56</f>
        <v>195817.12349779924</v>
      </c>
      <c r="N56" s="592">
        <f>N$8*K56</f>
        <v>5197016.5353022013</v>
      </c>
      <c r="O56" s="1"/>
      <c r="P56" s="141"/>
      <c r="Q56" s="141"/>
      <c r="R56" s="438" t="s">
        <v>435</v>
      </c>
      <c r="S56" s="538">
        <f>N45</f>
        <v>308119.13840681204</v>
      </c>
      <c r="T56" s="882">
        <v>298871</v>
      </c>
      <c r="U56" s="1"/>
      <c r="V56" s="18">
        <v>0.12579000000000001</v>
      </c>
      <c r="W56" s="297">
        <v>42871720</v>
      </c>
      <c r="X56" s="1">
        <f>V56*W56</f>
        <v>5392833.6588000003</v>
      </c>
      <c r="Y56" s="531">
        <f>X56-N57</f>
        <v>-8513825.2742437236</v>
      </c>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c r="A57" s="1"/>
      <c r="B57" s="1"/>
      <c r="C57" s="1"/>
      <c r="D57" s="1"/>
      <c r="E57" s="352" t="s">
        <v>670</v>
      </c>
      <c r="F57" s="1"/>
      <c r="G57" s="65">
        <f>K57/H56</f>
        <v>0.33436889536505648</v>
      </c>
      <c r="H57" s="61"/>
      <c r="I57" s="179" t="s">
        <v>554</v>
      </c>
      <c r="J57" s="751" t="s">
        <v>477</v>
      </c>
      <c r="K57" s="102">
        <f>SUM(K55:K56)</f>
        <v>14334969.6588</v>
      </c>
      <c r="L57" s="1"/>
      <c r="M57" s="435">
        <f>SUM(M55:M56)</f>
        <v>428310.72575627541</v>
      </c>
      <c r="N57" s="435">
        <f>SUM(N55:N56)</f>
        <v>13906658.933043724</v>
      </c>
      <c r="O57" s="191" t="s">
        <v>214</v>
      </c>
      <c r="P57" s="141"/>
      <c r="Q57" s="141"/>
      <c r="R57" s="438" t="s">
        <v>436</v>
      </c>
      <c r="S57" s="538">
        <f>N52</f>
        <v>39033.274724205068</v>
      </c>
      <c r="T57" s="882">
        <v>42134</v>
      </c>
      <c r="U57" s="1"/>
      <c r="V57" s="1"/>
      <c r="W57" s="531"/>
      <c r="X57" s="1"/>
      <c r="Y57" s="53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c r="A58" s="1"/>
      <c r="B58" s="1"/>
      <c r="C58" s="1"/>
      <c r="D58" s="1"/>
      <c r="E58" s="1"/>
      <c r="F58" s="1"/>
      <c r="G58" s="65"/>
      <c r="H58" s="61"/>
      <c r="I58" s="61"/>
      <c r="J58" s="1"/>
      <c r="K58" s="62"/>
      <c r="L58" s="1"/>
      <c r="M58" s="62"/>
      <c r="N58" s="62"/>
      <c r="O58" s="1"/>
      <c r="P58" s="1"/>
      <c r="Q58" s="1"/>
      <c r="R58" s="352" t="s">
        <v>675</v>
      </c>
      <c r="S58" s="537">
        <f>N57</f>
        <v>13906658.933043724</v>
      </c>
      <c r="T58" s="882">
        <v>15778525</v>
      </c>
      <c r="U58" s="1"/>
      <c r="V58" s="951">
        <v>0.51124000000000003</v>
      </c>
      <c r="W58" s="932">
        <v>4617812</v>
      </c>
      <c r="X58" s="1">
        <f>V58*W58</f>
        <v>2360810.20688</v>
      </c>
      <c r="Y58" s="53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c r="A59" s="531"/>
      <c r="B59" s="531"/>
      <c r="C59" s="531"/>
      <c r="D59" s="438" t="s">
        <v>21</v>
      </c>
      <c r="E59" s="352" t="s">
        <v>666</v>
      </c>
      <c r="F59" s="1"/>
      <c r="G59" s="930">
        <v>0.51124000000000003</v>
      </c>
      <c r="H59" s="931">
        <v>4617812</v>
      </c>
      <c r="I59" s="61"/>
      <c r="J59" s="1"/>
      <c r="K59" s="62">
        <f>+H59*G59</f>
        <v>2360810.20688</v>
      </c>
      <c r="L59" s="531"/>
      <c r="M59" s="938">
        <f>M$8*K59</f>
        <v>85722.477844486828</v>
      </c>
      <c r="N59" s="938">
        <f>N$8*K59</f>
        <v>2275087.729035513</v>
      </c>
      <c r="O59" s="531"/>
      <c r="P59" s="531"/>
      <c r="Q59" s="1"/>
      <c r="R59" s="352"/>
      <c r="S59" s="537"/>
      <c r="T59" s="882"/>
      <c r="U59" s="1"/>
      <c r="V59" s="1"/>
      <c r="W59" s="531"/>
      <c r="X59" s="1"/>
      <c r="Y59" s="53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c r="A60" s="1"/>
      <c r="B60" s="1"/>
      <c r="C60" s="1"/>
      <c r="D60" s="1"/>
      <c r="E60" s="1"/>
      <c r="F60" s="1"/>
      <c r="G60" s="65"/>
      <c r="H60" s="61"/>
      <c r="I60" s="61"/>
      <c r="J60" s="1"/>
      <c r="K60" s="62"/>
      <c r="L60" s="1"/>
      <c r="M60" s="62"/>
      <c r="N60" s="62"/>
      <c r="O60" s="1"/>
      <c r="P60" s="1"/>
      <c r="Q60" s="1"/>
      <c r="R60" s="352"/>
      <c r="S60" s="537"/>
      <c r="T60" s="882"/>
      <c r="U60" s="1"/>
      <c r="V60" s="1"/>
      <c r="W60" s="531"/>
      <c r="X60" s="1"/>
      <c r="Y60" s="53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c r="A61" s="125"/>
      <c r="C61" s="143" t="s">
        <v>91</v>
      </c>
      <c r="D61" s="125" t="s">
        <v>184</v>
      </c>
      <c r="G61" s="104"/>
      <c r="H61" s="105"/>
      <c r="I61" s="4"/>
      <c r="K61" s="101" t="s">
        <v>19</v>
      </c>
      <c r="P61" s="1"/>
      <c r="Q61" s="1"/>
      <c r="R61" s="352" t="s">
        <v>437</v>
      </c>
      <c r="S61" s="537">
        <f>N64+N59</f>
        <v>9811918.5195189063</v>
      </c>
      <c r="T61" s="882">
        <v>4370569</v>
      </c>
      <c r="U61" s="1"/>
      <c r="V61" s="1"/>
      <c r="W61" s="531"/>
      <c r="X61" s="1"/>
      <c r="Y61" s="53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c r="C62" s="6"/>
      <c r="D62" s="6" t="s">
        <v>20</v>
      </c>
      <c r="E62" s="123" t="s">
        <v>185</v>
      </c>
      <c r="G62" s="498">
        <f>K62/H62</f>
        <v>7.6485316324585023E-2</v>
      </c>
      <c r="H62" s="179">
        <f>H20-H56</f>
        <v>31562738</v>
      </c>
      <c r="I62" s="69"/>
      <c r="K62" s="303">
        <v>2414086</v>
      </c>
      <c r="L62" s="6" t="s">
        <v>8</v>
      </c>
      <c r="M62" s="61">
        <f>M$8*K62</f>
        <v>87656.954822800239</v>
      </c>
      <c r="N62" s="61">
        <f>N$8*K62</f>
        <v>2326429.0451771999</v>
      </c>
      <c r="P62" s="141"/>
      <c r="Q62" s="141"/>
      <c r="R62" s="438" t="s">
        <v>438</v>
      </c>
      <c r="S62" s="539">
        <f>N79</f>
        <v>16290210.175151316</v>
      </c>
      <c r="T62" s="883">
        <v>14975310</v>
      </c>
      <c r="U62" s="1"/>
      <c r="V62" s="1"/>
      <c r="W62" s="531"/>
      <c r="X62" s="1"/>
      <c r="Y62" s="53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c r="A63" s="123"/>
      <c r="C63" s="6"/>
      <c r="D63" s="6" t="s">
        <v>21</v>
      </c>
      <c r="E63" s="127" t="s">
        <v>176</v>
      </c>
      <c r="G63" s="142"/>
      <c r="H63" s="140"/>
      <c r="I63" s="69"/>
      <c r="K63" s="304">
        <v>3045913</v>
      </c>
      <c r="L63" s="6" t="s">
        <v>8</v>
      </c>
      <c r="M63" s="126">
        <f>M$8*K63</f>
        <v>110598.9837293203</v>
      </c>
      <c r="N63" s="126">
        <f>N$8*K63</f>
        <v>2935314.0162706799</v>
      </c>
      <c r="P63" s="1"/>
      <c r="Q63" s="1"/>
      <c r="R63" s="1"/>
      <c r="S63" s="531">
        <f>SUM(S54:S62)</f>
        <v>101072752.61831108</v>
      </c>
      <c r="T63" s="882">
        <v>96204739</v>
      </c>
      <c r="U63" s="1">
        <f>S63-T63</f>
        <v>4868013.6183110774</v>
      </c>
      <c r="V63" s="1"/>
      <c r="W63" s="531"/>
      <c r="X63" s="1"/>
      <c r="Y63" s="53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c r="C64" s="6"/>
      <c r="D64" s="1"/>
      <c r="E64" s="125" t="s">
        <v>58</v>
      </c>
      <c r="G64" s="107"/>
      <c r="H64" s="92"/>
      <c r="I64" s="92"/>
      <c r="K64" s="102">
        <f>SUM(K62:K63)+K59</f>
        <v>7820809.2068799995</v>
      </c>
      <c r="L64" s="6"/>
      <c r="M64" s="102">
        <f>SUM(M62:M63)+M59</f>
        <v>283978.41639660735</v>
      </c>
      <c r="N64" s="102">
        <f>SUM(N62:N63)+N59</f>
        <v>7536830.7904833928</v>
      </c>
      <c r="O64" s="191" t="s">
        <v>214</v>
      </c>
      <c r="P64" s="1"/>
      <c r="Q64" s="1"/>
      <c r="R64" s="1"/>
      <c r="S64" s="531"/>
      <c r="T64" s="882"/>
      <c r="U64" s="1"/>
      <c r="V64" s="1"/>
      <c r="W64" s="531"/>
      <c r="X64" s="1"/>
      <c r="Y64" s="53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c r="G65" s="107"/>
      <c r="H65" s="92"/>
      <c r="I65" s="92"/>
      <c r="K65" s="102"/>
      <c r="M65" s="92"/>
      <c r="N65" s="92"/>
      <c r="P65" s="1"/>
      <c r="Q65" s="1"/>
      <c r="R65" s="1"/>
      <c r="S65" s="531"/>
      <c r="T65" s="882"/>
      <c r="U65" s="1"/>
      <c r="V65" s="1"/>
      <c r="W65" s="531"/>
      <c r="X65" s="1"/>
      <c r="Y65" s="53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c r="C66" s="189" t="s">
        <v>94</v>
      </c>
      <c r="D66" s="123" t="s">
        <v>271</v>
      </c>
      <c r="G66" s="107"/>
      <c r="H66" s="92"/>
      <c r="I66" s="92"/>
      <c r="K66" s="547">
        <v>0</v>
      </c>
      <c r="L66" s="6" t="s">
        <v>8</v>
      </c>
      <c r="M66" s="92">
        <v>0</v>
      </c>
      <c r="N66" s="92">
        <f>K66</f>
        <v>0</v>
      </c>
      <c r="P66" s="1"/>
      <c r="Q66" s="1"/>
      <c r="R66" s="352" t="s">
        <v>439</v>
      </c>
      <c r="S66" s="531">
        <f>I157</f>
        <v>637506448.85842443</v>
      </c>
      <c r="T66" s="882">
        <v>559218636</v>
      </c>
      <c r="U66" s="1">
        <f>S66-T66</f>
        <v>78287812.858424425</v>
      </c>
      <c r="V66" s="1"/>
      <c r="W66" s="531"/>
      <c r="X66" s="1"/>
      <c r="Y66" s="53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c r="C67" s="6"/>
      <c r="D67" s="6" t="s">
        <v>20</v>
      </c>
      <c r="E67" s="258" t="s">
        <v>272</v>
      </c>
      <c r="G67" s="107"/>
      <c r="H67" s="92"/>
      <c r="I67" s="92"/>
      <c r="K67" s="548">
        <v>0</v>
      </c>
      <c r="M67" s="68">
        <v>0</v>
      </c>
      <c r="N67" s="92">
        <v>0</v>
      </c>
      <c r="P67" s="1"/>
      <c r="Q67" s="1"/>
      <c r="R67" s="1"/>
      <c r="S67" s="531"/>
      <c r="T67" s="531"/>
      <c r="U67" s="1"/>
      <c r="V67" s="1"/>
      <c r="W67" s="531"/>
      <c r="X67" s="1"/>
      <c r="Y67" s="53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c r="C68" s="6"/>
      <c r="D68" s="6" t="s">
        <v>21</v>
      </c>
      <c r="E68" s="127" t="s">
        <v>227</v>
      </c>
      <c r="G68" s="107"/>
      <c r="H68" s="92"/>
      <c r="I68" s="92"/>
      <c r="K68" s="549">
        <v>0</v>
      </c>
      <c r="M68" s="109">
        <v>0</v>
      </c>
      <c r="N68" s="257">
        <f>'Gas Mgmt'!I17</f>
        <v>0</v>
      </c>
      <c r="P68" s="1"/>
      <c r="Q68" s="1"/>
      <c r="R68" s="1"/>
      <c r="S68" s="531"/>
      <c r="T68" s="531"/>
      <c r="U68" s="1"/>
      <c r="V68" s="1"/>
      <c r="W68" s="531"/>
      <c r="X68" s="1"/>
      <c r="Y68" s="53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c r="C69" s="6"/>
      <c r="D69" s="1"/>
      <c r="E69" s="125" t="s">
        <v>58</v>
      </c>
      <c r="G69" s="107"/>
      <c r="H69" s="92"/>
      <c r="I69" s="92"/>
      <c r="K69" s="259">
        <f>SUM(K66:K68)</f>
        <v>0</v>
      </c>
      <c r="L69" s="6"/>
      <c r="M69" s="61">
        <f>SUM(M66:M68)</f>
        <v>0</v>
      </c>
      <c r="N69" s="61">
        <f>SUM(N66:N68)</f>
        <v>0</v>
      </c>
      <c r="O69" s="258" t="s">
        <v>273</v>
      </c>
      <c r="P69" s="1"/>
      <c r="Q69" s="352" t="s">
        <v>440</v>
      </c>
      <c r="R69" s="352" t="s">
        <v>470</v>
      </c>
      <c r="S69" s="532" t="s">
        <v>450</v>
      </c>
      <c r="T69" s="532" t="s">
        <v>471</v>
      </c>
      <c r="U69" s="352" t="s">
        <v>451</v>
      </c>
      <c r="V69" s="352" t="s">
        <v>452</v>
      </c>
      <c r="W69" s="532" t="s">
        <v>453</v>
      </c>
      <c r="X69" s="352" t="s">
        <v>454</v>
      </c>
      <c r="Y69" s="532" t="s">
        <v>455</v>
      </c>
      <c r="Z69" s="352" t="s">
        <v>224</v>
      </c>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c r="G70" s="107"/>
      <c r="H70" s="92"/>
      <c r="I70" s="92"/>
      <c r="K70" s="102"/>
      <c r="M70" s="92"/>
      <c r="N70" s="92"/>
      <c r="P70" s="1"/>
      <c r="Q70" s="352" t="s">
        <v>441</v>
      </c>
      <c r="R70" s="499">
        <f>Rates!$G$47</f>
        <v>5.2758799999999999</v>
      </c>
      <c r="S70" s="540">
        <f>Rates!$J$47</f>
        <v>4.4296500000000005</v>
      </c>
      <c r="T70" s="540">
        <f>$R$70</f>
        <v>5.2758799999999999</v>
      </c>
      <c r="U70" s="499">
        <f>$S$70</f>
        <v>4.4296500000000005</v>
      </c>
      <c r="V70" s="499">
        <f>R70-S70</f>
        <v>0.84622999999999937</v>
      </c>
      <c r="W70" s="540">
        <f>T70-U70</f>
        <v>0.84622999999999937</v>
      </c>
      <c r="X70" s="435">
        <f>V70*'Seasonal Sales Volumes'!C4</f>
        <v>23640839.791799981</v>
      </c>
      <c r="Y70" s="545">
        <f>W70*'Seasonal Sales Volumes'!D4</f>
        <v>59776818.121789955</v>
      </c>
      <c r="Z70" s="435">
        <f>X70+Y70</f>
        <v>83417657.913589939</v>
      </c>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c r="D71" s="2" t="s">
        <v>42</v>
      </c>
      <c r="G71" s="107"/>
      <c r="H71" s="92"/>
      <c r="I71" s="92"/>
      <c r="K71" s="102">
        <f>K36+K42+K47+K52+K57+K64+K69</f>
        <v>85008332.455784559</v>
      </c>
      <c r="M71" s="934">
        <f>M36+M42+M47+M52+M57+M64+M69</f>
        <v>2351751.7914556433</v>
      </c>
      <c r="N71" s="934">
        <f>N36+N42+N47+N52+N57+N64+N69</f>
        <v>82656580.664328903</v>
      </c>
      <c r="P71" s="1"/>
      <c r="Q71" s="352" t="s">
        <v>442</v>
      </c>
      <c r="R71" s="499">
        <f>Rates!$G$47</f>
        <v>5.2758799999999999</v>
      </c>
      <c r="S71" s="540">
        <f>Rates!$J$47</f>
        <v>4.4296500000000005</v>
      </c>
      <c r="T71" s="540">
        <f t="shared" ref="T71:T72" si="2">$R$70</f>
        <v>5.2758799999999999</v>
      </c>
      <c r="U71" s="499">
        <f t="shared" ref="U71:U72" si="3">$S$70</f>
        <v>4.4296500000000005</v>
      </c>
      <c r="V71" s="499">
        <f>R71-S71</f>
        <v>0.84622999999999937</v>
      </c>
      <c r="W71" s="540">
        <f>T71-U71</f>
        <v>0.84622999999999937</v>
      </c>
      <c r="X71" s="435">
        <f>V71*'Seasonal Sales Volumes'!C5</f>
        <v>2043178.3310399984</v>
      </c>
      <c r="Y71" s="545">
        <f>W71*'Seasonal Sales Volumes'!D5</f>
        <v>2073028.2480599985</v>
      </c>
      <c r="Z71" s="435">
        <f t="shared" ref="Z71:Z73" si="4">X71+Y71</f>
        <v>4116206.5790999969</v>
      </c>
      <c r="AA71" s="1"/>
      <c r="AB71" s="1">
        <f>N71-N122</f>
        <v>42893147.406144768</v>
      </c>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c r="G72" s="107"/>
      <c r="H72" s="92"/>
      <c r="I72" s="92"/>
      <c r="K72" s="102"/>
      <c r="M72" s="92"/>
      <c r="N72" s="92"/>
      <c r="P72" s="1"/>
      <c r="Q72" s="352" t="s">
        <v>443</v>
      </c>
      <c r="R72" s="499">
        <f>Rates!$G$47</f>
        <v>5.2758799999999999</v>
      </c>
      <c r="S72" s="540">
        <f>Rates!$J$47</f>
        <v>4.4296500000000005</v>
      </c>
      <c r="T72" s="540">
        <f t="shared" si="2"/>
        <v>5.2758799999999999</v>
      </c>
      <c r="U72" s="499">
        <f t="shared" si="3"/>
        <v>4.4296500000000005</v>
      </c>
      <c r="V72" s="499">
        <f>R72-S72</f>
        <v>0.84622999999999937</v>
      </c>
      <c r="W72" s="540">
        <f>T72-U72</f>
        <v>0.84622999999999937</v>
      </c>
      <c r="X72" s="435">
        <f>V72*'Seasonal Sales Volumes'!C6</f>
        <v>235700.44189999983</v>
      </c>
      <c r="Y72" s="545">
        <f>W72*'Seasonal Sales Volumes'!D6</f>
        <v>259987.24289999981</v>
      </c>
      <c r="Z72" s="435">
        <f t="shared" ref="Z72" si="5">X72+Y72</f>
        <v>495687.68479999964</v>
      </c>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ht="12.75">
      <c r="A73" s="125"/>
      <c r="B73" s="9" t="s">
        <v>36</v>
      </c>
      <c r="C73" s="10" t="s">
        <v>265</v>
      </c>
      <c r="D73" s="1"/>
      <c r="E73" s="1"/>
      <c r="F73" s="1"/>
      <c r="G73" s="65"/>
      <c r="H73" s="61"/>
      <c r="I73" s="61"/>
      <c r="J73" s="1"/>
      <c r="K73" s="62"/>
      <c r="L73" s="1"/>
      <c r="M73" s="61"/>
      <c r="N73" s="61"/>
      <c r="O73" s="1"/>
      <c r="P73" s="1"/>
      <c r="Q73" s="352" t="s">
        <v>444</v>
      </c>
      <c r="R73" s="499"/>
      <c r="S73" s="540"/>
      <c r="T73" s="540">
        <f t="shared" ref="T73" si="6">R73-S73</f>
        <v>0</v>
      </c>
      <c r="U73" s="352">
        <f>T73*'Seasonal Sales Volumes'!E7</f>
        <v>0</v>
      </c>
      <c r="V73" s="1"/>
      <c r="W73" s="531"/>
      <c r="X73" s="435">
        <f>V73*'Seasonal Sales Volumes'!C7</f>
        <v>0</v>
      </c>
      <c r="Y73" s="545">
        <f>W73*'Seasonal Sales Volumes'!D7</f>
        <v>0</v>
      </c>
      <c r="Z73" s="435">
        <f t="shared" si="4"/>
        <v>0</v>
      </c>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ht="12" thickBot="1">
      <c r="A74" s="125"/>
      <c r="B74" s="1"/>
      <c r="C74" s="6" t="s">
        <v>13</v>
      </c>
      <c r="D74" s="1" t="s">
        <v>33</v>
      </c>
      <c r="E74" s="1"/>
      <c r="F74" s="1"/>
      <c r="G74" s="104" t="s">
        <v>44</v>
      </c>
      <c r="H74" s="105" t="s">
        <v>45</v>
      </c>
      <c r="I74" s="105" t="s">
        <v>34</v>
      </c>
      <c r="J74" s="1"/>
      <c r="K74" s="101" t="s">
        <v>19</v>
      </c>
      <c r="L74" s="1"/>
      <c r="M74" s="91"/>
      <c r="N74" s="91"/>
      <c r="O74" s="1"/>
      <c r="P74" s="1"/>
      <c r="Q74" s="1"/>
      <c r="R74" s="1"/>
      <c r="S74" s="531"/>
      <c r="T74" s="531"/>
      <c r="U74" s="500">
        <f>SUM(U70:U73)</f>
        <v>13.288950000000002</v>
      </c>
      <c r="V74" s="1"/>
      <c r="W74" s="531"/>
      <c r="X74" s="502">
        <f>SUM(X70:X73)</f>
        <v>25919718.56473998</v>
      </c>
      <c r="Y74" s="546">
        <f>SUM(Y70:Y73)</f>
        <v>62109833.612749949</v>
      </c>
      <c r="Z74" s="502">
        <f>SUM(Z70:Z73)</f>
        <v>88029552.177489936</v>
      </c>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ht="12" thickTop="1">
      <c r="A75" s="1"/>
      <c r="B75" s="1"/>
      <c r="C75" s="1"/>
      <c r="D75" s="6" t="s">
        <v>20</v>
      </c>
      <c r="E75" s="1" t="s">
        <v>46</v>
      </c>
      <c r="F75" s="1"/>
      <c r="G75" s="301">
        <v>2.8737499999999998</v>
      </c>
      <c r="H75" s="550">
        <v>184625</v>
      </c>
      <c r="I75" s="550">
        <v>12</v>
      </c>
      <c r="J75" s="1"/>
      <c r="K75" s="62">
        <f>G75*I75*H75</f>
        <v>6366793.125</v>
      </c>
      <c r="L75" s="6" t="s">
        <v>6</v>
      </c>
      <c r="M75" s="61">
        <f>M$5*K75</f>
        <v>165535.24442770169</v>
      </c>
      <c r="N75" s="61">
        <f>N$5*K75</f>
        <v>6201257.8805722976</v>
      </c>
      <c r="O75" s="1"/>
      <c r="P75" s="193"/>
      <c r="Q75" s="193"/>
      <c r="R75" s="193"/>
      <c r="S75" s="538"/>
      <c r="T75" s="531"/>
      <c r="U75" s="1"/>
      <c r="V75" s="1"/>
      <c r="W75" s="531"/>
      <c r="X75" s="1"/>
      <c r="Y75" s="53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c r="A76" s="1"/>
      <c r="B76" s="1"/>
      <c r="C76" s="1"/>
      <c r="D76" s="438" t="s">
        <v>21</v>
      </c>
      <c r="E76" s="903" t="s">
        <v>636</v>
      </c>
      <c r="F76" s="1"/>
      <c r="G76" s="301">
        <v>0.09</v>
      </c>
      <c r="H76" s="550">
        <v>2500000</v>
      </c>
      <c r="I76" s="550">
        <v>12</v>
      </c>
      <c r="J76" s="1"/>
      <c r="K76" s="62">
        <f>G76*I76*H76</f>
        <v>2700000</v>
      </c>
      <c r="L76" s="438" t="s">
        <v>6</v>
      </c>
      <c r="M76" s="61">
        <f>M$5*K76</f>
        <v>70199.41612360689</v>
      </c>
      <c r="N76" s="61">
        <f>N$5*K76</f>
        <v>2629800.5838763928</v>
      </c>
      <c r="O76" s="1"/>
      <c r="P76" s="193"/>
      <c r="Q76" s="193"/>
      <c r="R76" s="193"/>
      <c r="S76" s="538"/>
      <c r="T76" s="531"/>
      <c r="U76" s="1"/>
      <c r="V76" s="1"/>
      <c r="W76" s="531"/>
      <c r="X76" s="1"/>
      <c r="Y76" s="53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c r="A77" s="1"/>
      <c r="B77" s="1"/>
      <c r="C77" s="1"/>
      <c r="D77" s="438" t="s">
        <v>38</v>
      </c>
      <c r="E77" s="1" t="s">
        <v>47</v>
      </c>
      <c r="F77" s="1"/>
      <c r="G77" s="301">
        <v>2.85338</v>
      </c>
      <c r="H77" s="550">
        <v>111827</v>
      </c>
      <c r="I77" s="550">
        <v>12</v>
      </c>
      <c r="J77" s="1"/>
      <c r="K77" s="62">
        <f>G77*I77*H77</f>
        <v>3829019.1031200001</v>
      </c>
      <c r="L77" s="6" t="s">
        <v>6</v>
      </c>
      <c r="M77" s="61">
        <f>M$5*K77</f>
        <v>99553.668653763321</v>
      </c>
      <c r="N77" s="61">
        <f>N$5*K77</f>
        <v>3729465.4344662367</v>
      </c>
      <c r="O77" s="1"/>
      <c r="P77" s="141"/>
      <c r="Q77" s="438" t="s">
        <v>445</v>
      </c>
      <c r="R77" s="141"/>
      <c r="S77" s="533"/>
      <c r="T77" s="531"/>
      <c r="U77" s="1"/>
      <c r="V77" s="1"/>
      <c r="W77" s="531"/>
      <c r="X77" s="1"/>
      <c r="Y77" s="53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c r="A78" s="1"/>
      <c r="B78" s="1"/>
      <c r="C78" s="1"/>
      <c r="D78" s="438" t="s">
        <v>39</v>
      </c>
      <c r="E78" s="16" t="s">
        <v>48</v>
      </c>
      <c r="F78" s="1"/>
      <c r="G78" s="305">
        <v>2.3779999999999999E-2</v>
      </c>
      <c r="H78" s="551">
        <v>13419000</v>
      </c>
      <c r="I78" s="551">
        <v>12</v>
      </c>
      <c r="J78" s="1"/>
      <c r="K78" s="100">
        <f>G78*I78*H78</f>
        <v>3829245.84</v>
      </c>
      <c r="L78" s="6" t="s">
        <v>6</v>
      </c>
      <c r="M78" s="90">
        <f>M$5*K78</f>
        <v>99559.563763611339</v>
      </c>
      <c r="N78" s="90">
        <f>N$5*K78</f>
        <v>3729686.2762363884</v>
      </c>
      <c r="O78" s="1"/>
      <c r="P78" s="141"/>
      <c r="Q78" s="501" t="s">
        <v>446</v>
      </c>
      <c r="R78" s="499">
        <f>Rates!W62</f>
        <v>0.49439</v>
      </c>
      <c r="S78" s="540">
        <f>Rates!S62</f>
        <v>0.51724999999999999</v>
      </c>
      <c r="T78" s="540">
        <f>Rates!W61</f>
        <v>1.05298</v>
      </c>
      <c r="U78" s="499">
        <f>Rates!S61</f>
        <v>1.10168</v>
      </c>
      <c r="V78" s="499">
        <f>R78-S78</f>
        <v>-2.2859999999999991E-2</v>
      </c>
      <c r="W78" s="540">
        <f>T78-U78</f>
        <v>-4.8699999999999966E-2</v>
      </c>
      <c r="X78" s="435">
        <f>V78*'Seasonal Sales Volumes'!C4</f>
        <v>-638632.04759999982</v>
      </c>
      <c r="Y78" s="545">
        <f>W78*'Seasonal Sales Volumes'!D4</f>
        <v>-3440117.9850999974</v>
      </c>
      <c r="Z78" s="435">
        <f>X78+Y78</f>
        <v>-4078750.0326999971</v>
      </c>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c r="A79" s="6"/>
      <c r="B79" s="1"/>
      <c r="C79" s="1"/>
      <c r="D79" s="1"/>
      <c r="E79" s="1" t="s">
        <v>24</v>
      </c>
      <c r="F79" s="1"/>
      <c r="G79" s="65">
        <f>K79/(I79*H79)</f>
        <v>8.5952265716058976E-2</v>
      </c>
      <c r="H79" s="61">
        <f>SUM(H75:H78)</f>
        <v>16215452</v>
      </c>
      <c r="I79" s="61">
        <f>I78</f>
        <v>12</v>
      </c>
      <c r="J79" s="1"/>
      <c r="K79" s="62">
        <f>SUM(K75:K78)</f>
        <v>16725058.068119999</v>
      </c>
      <c r="L79" s="1"/>
      <c r="M79" s="435">
        <f>SUM(M75:M78)</f>
        <v>434847.89296868327</v>
      </c>
      <c r="N79" s="435">
        <f>SUM(N75:N78)</f>
        <v>16290210.175151316</v>
      </c>
      <c r="O79" s="191" t="s">
        <v>214</v>
      </c>
      <c r="P79" s="141"/>
      <c r="Q79" s="501" t="s">
        <v>447</v>
      </c>
      <c r="R79" s="499">
        <f>Rates!W65</f>
        <v>0.49436999999999998</v>
      </c>
      <c r="S79" s="540">
        <f>Rates!S65</f>
        <v>0.51722999999999997</v>
      </c>
      <c r="T79" s="540">
        <f>Rates!W64</f>
        <v>1.02556</v>
      </c>
      <c r="U79" s="499">
        <f>Rates!S64</f>
        <v>1.0729900000000001</v>
      </c>
      <c r="V79" s="499">
        <f t="shared" ref="V79:V81" si="7">R79-S79</f>
        <v>-2.2859999999999991E-2</v>
      </c>
      <c r="W79" s="540">
        <f t="shared" ref="W79:W81" si="8">T79-U79</f>
        <v>-4.7430000000000083E-2</v>
      </c>
      <c r="X79" s="435">
        <f>V79*'Seasonal Sales Volumes'!C5</f>
        <v>-55194.281279999981</v>
      </c>
      <c r="Y79" s="545">
        <f>W79*'Seasonal Sales Volumes'!D5</f>
        <v>-116190.3144600002</v>
      </c>
      <c r="Z79" s="435">
        <f t="shared" ref="Z79:Z81" si="9">X79+Y79</f>
        <v>-171384.59574000019</v>
      </c>
      <c r="AA79" s="1"/>
      <c r="AB79" s="1">
        <f>N90+N106+N131</f>
        <v>17323444.164020639</v>
      </c>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c r="A80" s="1"/>
      <c r="B80" s="1"/>
      <c r="C80" s="1"/>
      <c r="D80" s="1"/>
      <c r="E80" s="1"/>
      <c r="F80" s="1"/>
      <c r="G80" s="65"/>
      <c r="H80" s="61"/>
      <c r="I80" s="1"/>
      <c r="J80" s="1"/>
      <c r="K80" s="62"/>
      <c r="L80" s="1"/>
      <c r="M80" s="61"/>
      <c r="N80" s="61"/>
      <c r="O80" s="1"/>
      <c r="P80" s="1"/>
      <c r="Q80" s="501" t="s">
        <v>448</v>
      </c>
      <c r="R80" s="499">
        <f>Rates!W69</f>
        <v>0.75985999999999998</v>
      </c>
      <c r="S80" s="540">
        <f>Rates!S69</f>
        <v>0.79500000000000004</v>
      </c>
      <c r="T80" s="540">
        <f>Rates!W69</f>
        <v>0.75985999999999998</v>
      </c>
      <c r="U80" s="499">
        <f>Rates!S69</f>
        <v>0.79500000000000004</v>
      </c>
      <c r="V80" s="499">
        <f t="shared" si="7"/>
        <v>-3.514000000000006E-2</v>
      </c>
      <c r="W80" s="540">
        <f t="shared" si="8"/>
        <v>-3.514000000000006E-2</v>
      </c>
      <c r="X80" s="435">
        <f>V80*'Seasonal Sales Volumes'!C6</f>
        <v>-9787.5442000000166</v>
      </c>
      <c r="Y80" s="545">
        <f>W80*'Seasonal Sales Volumes'!D6</f>
        <v>-10796.062200000018</v>
      </c>
      <c r="Z80" s="435">
        <f t="shared" si="9"/>
        <v>-20583.606400000033</v>
      </c>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c r="A81" s="125"/>
      <c r="B81" s="1"/>
      <c r="C81" s="6" t="s">
        <v>22</v>
      </c>
      <c r="D81" s="1" t="s">
        <v>35</v>
      </c>
      <c r="E81" s="1"/>
      <c r="F81" s="1"/>
      <c r="G81" s="104" t="s">
        <v>44</v>
      </c>
      <c r="H81" s="105" t="s">
        <v>16</v>
      </c>
      <c r="I81" s="4" t="s">
        <v>49</v>
      </c>
      <c r="J81" s="1"/>
      <c r="K81" s="101" t="s">
        <v>19</v>
      </c>
      <c r="L81" s="1"/>
      <c r="M81" s="91"/>
      <c r="N81" s="91"/>
      <c r="O81" s="1"/>
      <c r="P81" s="1"/>
      <c r="Q81" s="501" t="s">
        <v>449</v>
      </c>
      <c r="R81" s="499">
        <v>0.18009</v>
      </c>
      <c r="S81" s="540">
        <v>0.18045</v>
      </c>
      <c r="T81" s="540">
        <v>0.18009</v>
      </c>
      <c r="U81" s="499">
        <v>0.18045</v>
      </c>
      <c r="V81" s="499">
        <f t="shared" si="7"/>
        <v>-3.5999999999999921E-4</v>
      </c>
      <c r="W81" s="540">
        <f t="shared" si="8"/>
        <v>-3.5999999999999921E-4</v>
      </c>
      <c r="X81" s="435">
        <f>V81*'Seasonal Sales Volumes'!C7</f>
        <v>-552.35231999999883</v>
      </c>
      <c r="Y81" s="545">
        <f>W81*'Seasonal Sales Volumes'!D7</f>
        <v>-394.96859999999913</v>
      </c>
      <c r="Z81" s="435">
        <f t="shared" si="9"/>
        <v>-947.32091999999795</v>
      </c>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ht="12" thickBot="1">
      <c r="A82" s="1"/>
      <c r="B82" s="1"/>
      <c r="C82" s="1"/>
      <c r="D82" s="6" t="s">
        <v>20</v>
      </c>
      <c r="E82" s="1" t="s">
        <v>50</v>
      </c>
      <c r="F82" s="1"/>
      <c r="G82" s="301">
        <v>3.8719999999999997E-2</v>
      </c>
      <c r="H82" s="297">
        <v>1974795</v>
      </c>
      <c r="I82" s="306">
        <v>1</v>
      </c>
      <c r="J82" s="1"/>
      <c r="K82" s="62">
        <f>G82*H82/I82</f>
        <v>76464.062399999995</v>
      </c>
      <c r="L82" s="6" t="s">
        <v>8</v>
      </c>
      <c r="M82" s="61">
        <f>M$8*K82</f>
        <v>2776.4573686954723</v>
      </c>
      <c r="N82" s="61">
        <f>N$8*K82</f>
        <v>73687.605031304527</v>
      </c>
      <c r="O82" s="1" t="s">
        <v>51</v>
      </c>
      <c r="P82" s="141"/>
      <c r="Q82" s="141"/>
      <c r="R82" s="141"/>
      <c r="S82" s="533"/>
      <c r="T82" s="531"/>
      <c r="U82" s="1"/>
      <c r="V82" s="1"/>
      <c r="W82" s="531"/>
      <c r="X82" s="502">
        <f>SUM(X78:X81)</f>
        <v>-704166.22539999976</v>
      </c>
      <c r="Y82" s="546">
        <f>SUM(Y78:Y81)</f>
        <v>-3567499.3303599972</v>
      </c>
      <c r="Z82" s="502">
        <f>SUM(Z78:Z81)</f>
        <v>-4271665.5557599971</v>
      </c>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ht="12" thickTop="1">
      <c r="A83" s="6"/>
      <c r="B83" s="6"/>
      <c r="C83" s="6"/>
      <c r="D83" s="6" t="s">
        <v>21</v>
      </c>
      <c r="E83" s="22" t="s">
        <v>52</v>
      </c>
      <c r="F83" s="6"/>
      <c r="G83" s="905">
        <f>G82</f>
        <v>3.8719999999999997E-2</v>
      </c>
      <c r="H83" s="307">
        <v>1974274</v>
      </c>
      <c r="I83" s="308">
        <v>1</v>
      </c>
      <c r="J83" s="6"/>
      <c r="K83" s="103">
        <f>G83*H83/I83</f>
        <v>76443.889279999989</v>
      </c>
      <c r="L83" s="6" t="s">
        <v>8</v>
      </c>
      <c r="M83" s="93">
        <f>M$8*K83</f>
        <v>2775.7248702391307</v>
      </c>
      <c r="N83" s="93">
        <f>N$8*K83</f>
        <v>73668.164409760866</v>
      </c>
      <c r="O83" s="6" t="s">
        <v>53</v>
      </c>
      <c r="P83" s="141"/>
      <c r="Q83" s="141"/>
      <c r="R83" s="141"/>
      <c r="S83" s="533"/>
      <c r="T83" s="534"/>
      <c r="U83" s="6"/>
      <c r="V83" s="6"/>
      <c r="W83" s="534"/>
      <c r="X83" s="6"/>
      <c r="Y83" s="534"/>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row>
    <row r="84" spans="1:256">
      <c r="A84" s="6"/>
      <c r="B84" s="6"/>
      <c r="C84" s="6"/>
      <c r="D84" s="438" t="s">
        <v>38</v>
      </c>
      <c r="E84" s="904" t="s">
        <v>637</v>
      </c>
      <c r="F84" s="6"/>
      <c r="G84" s="905">
        <v>1.4999999999999999E-2</v>
      </c>
      <c r="H84" s="307">
        <v>1457744</v>
      </c>
      <c r="I84" s="308">
        <v>1</v>
      </c>
      <c r="J84" s="6"/>
      <c r="K84" s="103">
        <f t="shared" ref="K84:K85" si="10">G84*H84/I84</f>
        <v>21866.16</v>
      </c>
      <c r="L84" s="6" t="s">
        <v>8</v>
      </c>
      <c r="M84" s="93">
        <f t="shared" ref="M84:M85" si="11">M$8*K84</f>
        <v>793.97378522062661</v>
      </c>
      <c r="N84" s="93">
        <f t="shared" ref="N84:N85" si="12">N$8*K84</f>
        <v>21072.186214779373</v>
      </c>
      <c r="O84" s="6" t="s">
        <v>53</v>
      </c>
      <c r="P84" s="141"/>
      <c r="Q84" s="141"/>
      <c r="R84" s="141"/>
      <c r="S84" s="533"/>
      <c r="T84" s="534"/>
      <c r="U84" s="6"/>
      <c r="V84" s="6"/>
      <c r="W84" s="534"/>
      <c r="X84" s="6"/>
      <c r="Y84" s="534"/>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row>
    <row r="85" spans="1:256">
      <c r="A85" s="6"/>
      <c r="B85" s="6"/>
      <c r="C85" s="6"/>
      <c r="D85" s="438" t="s">
        <v>39</v>
      </c>
      <c r="E85" s="904" t="s">
        <v>638</v>
      </c>
      <c r="F85" s="6"/>
      <c r="G85" s="905">
        <v>0.01</v>
      </c>
      <c r="H85" s="307">
        <v>1992000</v>
      </c>
      <c r="I85" s="308">
        <v>1</v>
      </c>
      <c r="J85" s="6"/>
      <c r="K85" s="103">
        <f t="shared" si="10"/>
        <v>19920</v>
      </c>
      <c r="L85" s="6" t="s">
        <v>8</v>
      </c>
      <c r="M85" s="93">
        <f t="shared" si="11"/>
        <v>723.30751268603558</v>
      </c>
      <c r="N85" s="93">
        <f t="shared" si="12"/>
        <v>19196.692487313965</v>
      </c>
      <c r="O85" s="6" t="s">
        <v>53</v>
      </c>
      <c r="P85" s="141"/>
      <c r="Q85" s="141"/>
      <c r="R85" s="141"/>
      <c r="S85" s="533"/>
      <c r="T85" s="534"/>
      <c r="U85" s="6"/>
      <c r="V85" s="6"/>
      <c r="W85" s="534"/>
      <c r="X85" s="6"/>
      <c r="Y85" s="534"/>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row>
    <row r="86" spans="1:256">
      <c r="A86" s="1"/>
      <c r="B86" s="1"/>
      <c r="C86" s="1"/>
      <c r="D86" s="438" t="s">
        <v>142</v>
      </c>
      <c r="E86" s="1" t="s">
        <v>54</v>
      </c>
      <c r="F86" s="1"/>
      <c r="G86" s="905">
        <v>1.0489999999999999E-2</v>
      </c>
      <c r="H86" s="297">
        <v>13818049</v>
      </c>
      <c r="I86" s="306">
        <v>1</v>
      </c>
      <c r="J86" s="1"/>
      <c r="K86" s="62">
        <f>G86*H86/I86</f>
        <v>144951.33400999999</v>
      </c>
      <c r="L86" s="6" t="s">
        <v>8</v>
      </c>
      <c r="M86" s="61">
        <f>M$8*K86</f>
        <v>5263.2725332979844</v>
      </c>
      <c r="N86" s="61">
        <f>N$8*K86</f>
        <v>139688.06147670202</v>
      </c>
      <c r="O86" s="6" t="s">
        <v>53</v>
      </c>
      <c r="P86" s="141"/>
      <c r="Q86" s="141"/>
      <c r="R86" s="141"/>
      <c r="S86" s="533"/>
      <c r="T86" s="531"/>
      <c r="U86" s="1"/>
      <c r="V86" s="1"/>
      <c r="W86" s="531"/>
      <c r="X86" s="1"/>
      <c r="Y86" s="531"/>
      <c r="Z86" s="1">
        <f>Z74+Z82</f>
        <v>83757886.62172994</v>
      </c>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1:256">
      <c r="A87" s="1"/>
      <c r="B87" s="1"/>
      <c r="C87" s="1"/>
      <c r="D87" s="438" t="s">
        <v>144</v>
      </c>
      <c r="E87" s="16" t="s">
        <v>55</v>
      </c>
      <c r="F87" s="1"/>
      <c r="G87" s="305">
        <v>1.7809999999999999E-2</v>
      </c>
      <c r="H87" s="300">
        <v>12947300</v>
      </c>
      <c r="I87" s="309">
        <v>1</v>
      </c>
      <c r="J87" s="1"/>
      <c r="K87" s="100">
        <f>G87*H87/I87</f>
        <v>230591.413</v>
      </c>
      <c r="L87" s="6" t="s">
        <v>8</v>
      </c>
      <c r="M87" s="90">
        <f>M$8*K87</f>
        <v>8372.9167361339532</v>
      </c>
      <c r="N87" s="90">
        <f>N$8*K87</f>
        <v>222218.49626386605</v>
      </c>
      <c r="O87" s="6" t="s">
        <v>53</v>
      </c>
      <c r="P87" s="141"/>
      <c r="Q87" s="141"/>
      <c r="R87" s="141"/>
      <c r="S87" s="533"/>
      <c r="T87" s="531"/>
      <c r="U87" s="1"/>
      <c r="V87" s="1"/>
      <c r="W87" s="531"/>
      <c r="X87" s="1"/>
      <c r="Y87" s="53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c r="A88" s="6"/>
      <c r="B88" s="1"/>
      <c r="C88" s="1"/>
      <c r="D88" s="1"/>
      <c r="E88" s="1" t="s">
        <v>24</v>
      </c>
      <c r="F88" s="1"/>
      <c r="G88" s="65">
        <f>I88*K88/H88</f>
        <v>1.6691082857235015E-2</v>
      </c>
      <c r="H88" s="61">
        <f>SUM(H82:H87)</f>
        <v>34164162</v>
      </c>
      <c r="I88" s="108">
        <f>I87</f>
        <v>1</v>
      </c>
      <c r="J88" s="1"/>
      <c r="K88" s="62">
        <f>SUM(K82:K87)</f>
        <v>570236.85868999991</v>
      </c>
      <c r="L88" s="1"/>
      <c r="M88" s="435">
        <f>SUM(M82:M87)</f>
        <v>20705.652806273203</v>
      </c>
      <c r="N88" s="435">
        <f>SUM(N82:N87)</f>
        <v>549531.20588372683</v>
      </c>
      <c r="O88" s="6" t="s">
        <v>53</v>
      </c>
      <c r="P88" s="141"/>
      <c r="Q88" s="141"/>
      <c r="R88" s="141"/>
      <c r="S88" s="533"/>
      <c r="T88" s="531"/>
      <c r="U88" s="1"/>
      <c r="V88" s="1"/>
      <c r="W88" s="531"/>
      <c r="X88" s="1"/>
      <c r="Y88" s="53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1:256">
      <c r="A89" s="1"/>
      <c r="B89" s="1"/>
      <c r="C89" s="1"/>
      <c r="D89" s="1"/>
      <c r="E89" s="1"/>
      <c r="F89" s="1"/>
      <c r="G89" s="1"/>
      <c r="H89" s="1"/>
      <c r="I89" s="1"/>
      <c r="J89" s="1"/>
      <c r="K89" s="62"/>
      <c r="L89" s="1"/>
      <c r="M89" s="61"/>
      <c r="N89" s="61"/>
      <c r="O89" s="1"/>
      <c r="P89" s="1"/>
      <c r="Q89" s="1"/>
      <c r="R89" s="1"/>
      <c r="S89" s="531"/>
      <c r="T89" s="531"/>
      <c r="U89" s="1"/>
      <c r="V89" s="1"/>
      <c r="W89" s="531"/>
      <c r="X89" s="1"/>
      <c r="Y89" s="53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1:256">
      <c r="A90" s="1"/>
      <c r="B90" s="1"/>
      <c r="C90" s="1"/>
      <c r="D90" s="1" t="s">
        <v>56</v>
      </c>
      <c r="E90" s="1"/>
      <c r="F90" s="1"/>
      <c r="G90" s="1"/>
      <c r="H90" s="1"/>
      <c r="I90" s="1"/>
      <c r="J90" s="1"/>
      <c r="K90" s="62">
        <f>K79+K88</f>
        <v>17295294.92681</v>
      </c>
      <c r="L90" s="1"/>
      <c r="M90" s="435">
        <f>M79+M88</f>
        <v>455553.54577495647</v>
      </c>
      <c r="N90" s="435">
        <f>N79+N88</f>
        <v>16839741.381035045</v>
      </c>
      <c r="O90" s="1"/>
      <c r="P90" s="141"/>
      <c r="Q90" s="141"/>
      <c r="R90" s="141"/>
      <c r="S90" s="533"/>
      <c r="T90" s="531"/>
      <c r="U90" s="1"/>
      <c r="V90" s="1"/>
      <c r="W90" s="531"/>
      <c r="X90" s="1"/>
      <c r="Y90" s="53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row>
    <row r="91" spans="1:256">
      <c r="A91" s="1"/>
      <c r="B91" s="1"/>
      <c r="C91" s="1"/>
      <c r="D91" s="1"/>
      <c r="E91" s="1"/>
      <c r="F91" s="1"/>
      <c r="G91" s="1"/>
      <c r="H91" s="1"/>
      <c r="I91" s="1"/>
      <c r="J91" s="1"/>
      <c r="K91" s="62"/>
      <c r="L91" s="1"/>
      <c r="M91" s="61"/>
      <c r="N91" s="61"/>
      <c r="O91" s="1"/>
      <c r="P91" s="1"/>
      <c r="Q91" s="1"/>
      <c r="R91" s="1"/>
      <c r="S91" s="531"/>
      <c r="T91" s="531"/>
      <c r="U91" s="1"/>
      <c r="V91" s="1"/>
      <c r="W91" s="531"/>
      <c r="X91" s="1"/>
      <c r="Y91" s="53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row>
    <row r="92" spans="1:256" ht="12.75">
      <c r="A92" s="125"/>
      <c r="B92" s="9" t="s">
        <v>43</v>
      </c>
      <c r="C92" s="10" t="s">
        <v>266</v>
      </c>
      <c r="D92" s="1"/>
      <c r="E92" s="1"/>
      <c r="F92" s="1"/>
      <c r="G92" s="17" t="s">
        <v>60</v>
      </c>
      <c r="H92" s="17" t="s">
        <v>61</v>
      </c>
      <c r="I92" s="17" t="s">
        <v>62</v>
      </c>
      <c r="J92" s="1"/>
      <c r="K92" s="62"/>
      <c r="L92" s="1"/>
      <c r="M92" s="61"/>
      <c r="N92" s="61"/>
      <c r="O92" s="1"/>
      <c r="P92" s="1"/>
      <c r="Q92" s="1"/>
      <c r="R92" s="1"/>
      <c r="S92" s="531"/>
      <c r="T92" s="531"/>
      <c r="U92" s="1"/>
      <c r="V92" s="1"/>
      <c r="W92" s="531"/>
      <c r="X92" s="1"/>
      <c r="Y92" s="53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row>
    <row r="93" spans="1:256">
      <c r="A93" s="1"/>
      <c r="B93" s="1"/>
      <c r="C93" s="1"/>
      <c r="D93" s="827">
        <v>2013</v>
      </c>
      <c r="E93" s="352" t="s">
        <v>68</v>
      </c>
      <c r="F93" s="1"/>
      <c r="G93" s="968">
        <v>9537534</v>
      </c>
      <c r="H93" s="940"/>
      <c r="I93" s="1"/>
      <c r="J93" s="1"/>
      <c r="K93" s="68"/>
      <c r="L93" s="1"/>
      <c r="M93" s="61"/>
      <c r="N93" s="61"/>
      <c r="O93" s="1"/>
      <c r="P93" s="1"/>
      <c r="Q93" s="1"/>
      <c r="R93" s="1"/>
      <c r="S93" s="531"/>
      <c r="T93" s="531"/>
      <c r="U93" s="68"/>
      <c r="V93" s="1"/>
      <c r="W93" s="531"/>
      <c r="X93" s="1"/>
      <c r="Y93" s="53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row>
    <row r="94" spans="1:256">
      <c r="A94" s="1"/>
      <c r="B94" s="1"/>
      <c r="C94" s="1"/>
      <c r="D94" s="827"/>
      <c r="E94" s="352" t="s">
        <v>69</v>
      </c>
      <c r="F94" s="1"/>
      <c r="G94" s="968">
        <v>8232525</v>
      </c>
      <c r="H94" s="940"/>
      <c r="I94" s="1"/>
      <c r="J94" s="1"/>
      <c r="K94" s="68"/>
      <c r="L94" s="1"/>
      <c r="M94" s="61"/>
      <c r="N94" s="61"/>
      <c r="O94" s="1"/>
      <c r="P94" s="1"/>
      <c r="Q94" s="1"/>
      <c r="R94" s="1"/>
      <c r="S94" s="531"/>
      <c r="T94" s="531"/>
      <c r="U94" s="68"/>
      <c r="V94" s="1"/>
      <c r="W94" s="531"/>
      <c r="X94" s="1"/>
      <c r="Y94" s="53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row>
    <row r="95" spans="1:256">
      <c r="A95" s="1"/>
      <c r="B95" s="1"/>
      <c r="C95" s="1"/>
      <c r="D95" s="827"/>
      <c r="E95" s="352" t="s">
        <v>70</v>
      </c>
      <c r="F95" s="1"/>
      <c r="G95" s="968">
        <v>12269220</v>
      </c>
      <c r="H95" s="940"/>
      <c r="I95" s="1"/>
      <c r="J95" s="1"/>
      <c r="K95" s="68"/>
      <c r="L95" s="1"/>
      <c r="M95" s="61"/>
      <c r="N95" s="61"/>
      <c r="O95" s="1"/>
      <c r="P95" s="1"/>
      <c r="Q95" s="1"/>
      <c r="R95" s="1"/>
      <c r="S95" s="531"/>
      <c r="T95" s="531"/>
      <c r="U95" s="68"/>
      <c r="V95" s="1"/>
      <c r="W95" s="531"/>
      <c r="X95" s="1"/>
      <c r="Y95" s="53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row r="96" spans="1:256">
      <c r="A96" s="24"/>
      <c r="B96" s="24"/>
      <c r="C96" s="24"/>
      <c r="D96" s="827"/>
      <c r="E96" s="352" t="s">
        <v>71</v>
      </c>
      <c r="F96" s="1"/>
      <c r="G96" s="968">
        <v>19135966</v>
      </c>
      <c r="H96" s="969"/>
      <c r="I96" s="1"/>
      <c r="J96" s="1"/>
      <c r="K96" s="68"/>
      <c r="L96" s="24"/>
      <c r="M96" s="94"/>
      <c r="N96" s="94"/>
      <c r="O96" s="24"/>
      <c r="P96" s="1"/>
      <c r="Q96" s="1"/>
      <c r="R96" s="1"/>
      <c r="S96" s="531"/>
      <c r="T96" s="531"/>
      <c r="U96" s="68"/>
      <c r="V96" s="24"/>
      <c r="W96" s="544"/>
      <c r="X96" s="24"/>
      <c r="Y96" s="54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c r="GG96" s="24"/>
      <c r="GH96" s="24"/>
      <c r="GI96" s="24"/>
      <c r="GJ96" s="24"/>
      <c r="GK96" s="24"/>
      <c r="GL96" s="24"/>
      <c r="GM96" s="24"/>
      <c r="GN96" s="24"/>
      <c r="GO96" s="24"/>
      <c r="GP96" s="24"/>
      <c r="GQ96" s="24"/>
      <c r="GR96" s="24"/>
      <c r="GS96" s="24"/>
      <c r="GT96" s="24"/>
      <c r="GU96" s="24"/>
      <c r="GV96" s="24"/>
      <c r="GW96" s="24"/>
      <c r="GX96" s="24"/>
      <c r="GY96" s="24"/>
      <c r="GZ96" s="24"/>
      <c r="HA96" s="24"/>
      <c r="HB96" s="24"/>
      <c r="HC96" s="24"/>
      <c r="HD96" s="24"/>
      <c r="HE96" s="24"/>
      <c r="HF96" s="24"/>
      <c r="HG96" s="24"/>
      <c r="HH96" s="24"/>
      <c r="HI96" s="24"/>
      <c r="HJ96" s="24"/>
      <c r="HK96" s="24"/>
      <c r="HL96" s="24"/>
      <c r="HM96" s="24"/>
      <c r="HN96" s="24"/>
      <c r="HO96" s="24"/>
      <c r="HP96" s="24"/>
      <c r="HQ96" s="24"/>
      <c r="HR96" s="24"/>
      <c r="HS96" s="24"/>
      <c r="HT96" s="24"/>
      <c r="HU96" s="24"/>
      <c r="HV96" s="24"/>
      <c r="HW96" s="24"/>
      <c r="HX96" s="24"/>
      <c r="HY96" s="24"/>
      <c r="HZ96" s="24"/>
      <c r="IA96" s="24"/>
      <c r="IB96" s="24"/>
      <c r="IC96" s="24"/>
      <c r="ID96" s="24"/>
      <c r="IE96" s="24"/>
      <c r="IF96" s="24"/>
      <c r="IG96" s="24"/>
      <c r="IH96" s="24"/>
      <c r="II96" s="24"/>
      <c r="IJ96" s="24"/>
      <c r="IK96" s="24"/>
      <c r="IL96" s="24"/>
      <c r="IM96" s="24"/>
      <c r="IN96" s="24"/>
      <c r="IO96" s="24"/>
      <c r="IP96" s="24"/>
      <c r="IQ96" s="24"/>
      <c r="IR96" s="24"/>
      <c r="IS96" s="24"/>
      <c r="IT96" s="24"/>
      <c r="IU96" s="24"/>
      <c r="IV96" s="24"/>
    </row>
    <row r="97" spans="1:256">
      <c r="A97" s="1"/>
      <c r="B97" s="1"/>
      <c r="C97" s="1"/>
      <c r="D97" s="827"/>
      <c r="E97" s="352" t="s">
        <v>72</v>
      </c>
      <c r="F97" s="23"/>
      <c r="G97" s="968">
        <v>32164740</v>
      </c>
      <c r="H97" s="940"/>
      <c r="I97" s="1"/>
      <c r="J97" s="1"/>
      <c r="K97" s="109"/>
      <c r="L97" s="1"/>
      <c r="M97" s="61"/>
      <c r="N97" s="61"/>
      <c r="O97" s="1"/>
      <c r="P97" s="1"/>
      <c r="Q97" s="1"/>
      <c r="R97" s="1"/>
      <c r="S97" s="531"/>
      <c r="T97" s="531"/>
      <c r="U97" s="68"/>
      <c r="V97" s="1"/>
      <c r="W97" s="531"/>
      <c r="X97" s="1"/>
      <c r="Y97" s="53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8" spans="1:256">
      <c r="A98" s="1"/>
      <c r="B98" s="1"/>
      <c r="C98" s="1"/>
      <c r="D98" s="827"/>
      <c r="E98" s="352" t="s">
        <v>73</v>
      </c>
      <c r="G98" s="968">
        <v>46052384</v>
      </c>
      <c r="H98" s="940"/>
      <c r="I98" s="1"/>
      <c r="J98" s="23"/>
      <c r="K98" s="1"/>
      <c r="L98" s="1"/>
      <c r="M98" s="61"/>
      <c r="N98" s="61"/>
      <c r="O98" s="1"/>
      <c r="P98" s="1"/>
      <c r="Q98" s="1"/>
      <c r="R98" s="1"/>
      <c r="S98" s="531"/>
      <c r="T98" s="531"/>
      <c r="U98" s="68"/>
      <c r="V98" s="1"/>
      <c r="W98" s="531"/>
      <c r="X98" s="1"/>
      <c r="Y98" s="53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row>
    <row r="99" spans="1:256">
      <c r="A99" s="24"/>
      <c r="B99" s="24"/>
      <c r="C99" s="24"/>
      <c r="E99" s="352" t="s">
        <v>671</v>
      </c>
      <c r="F99" s="23"/>
      <c r="G99" s="968">
        <v>56496783</v>
      </c>
      <c r="H99" s="969"/>
      <c r="I99" s="1"/>
      <c r="K99" s="1"/>
      <c r="L99" s="24"/>
      <c r="M99" s="94"/>
      <c r="N99" s="94"/>
      <c r="O99" s="24"/>
      <c r="P99" s="1"/>
      <c r="Q99" s="1"/>
      <c r="R99" s="1"/>
      <c r="S99" s="531"/>
      <c r="T99" s="531"/>
      <c r="U99" s="68"/>
      <c r="V99" s="24"/>
      <c r="W99" s="544"/>
      <c r="X99" s="24"/>
      <c r="Y99" s="54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c r="GG99" s="24"/>
      <c r="GH99" s="24"/>
      <c r="GI99" s="24"/>
      <c r="GJ99" s="24"/>
      <c r="GK99" s="24"/>
      <c r="GL99" s="24"/>
      <c r="GM99" s="24"/>
      <c r="GN99" s="24"/>
      <c r="GO99" s="24"/>
      <c r="GP99" s="24"/>
      <c r="GQ99" s="24"/>
      <c r="GR99" s="24"/>
      <c r="GS99" s="24"/>
      <c r="GT99" s="24"/>
      <c r="GU99" s="24"/>
      <c r="GV99" s="24"/>
      <c r="GW99" s="24"/>
      <c r="GX99" s="24"/>
      <c r="GY99" s="24"/>
      <c r="GZ99" s="24"/>
      <c r="HA99" s="24"/>
      <c r="HB99" s="24"/>
      <c r="HC99" s="24"/>
      <c r="HD99" s="24"/>
      <c r="HE99" s="24"/>
      <c r="HF99" s="24"/>
      <c r="HG99" s="24"/>
      <c r="HH99" s="24"/>
      <c r="HI99" s="24"/>
      <c r="HJ99" s="24"/>
      <c r="HK99" s="24"/>
      <c r="HL99" s="24"/>
      <c r="HM99" s="24"/>
      <c r="HN99" s="24"/>
      <c r="HO99" s="24"/>
      <c r="HP99" s="24"/>
      <c r="HQ99" s="24"/>
      <c r="HR99" s="24"/>
      <c r="HS99" s="24"/>
      <c r="HT99" s="24"/>
      <c r="HU99" s="24"/>
      <c r="HV99" s="24"/>
      <c r="HW99" s="24"/>
      <c r="HX99" s="24"/>
      <c r="HY99" s="24"/>
      <c r="HZ99" s="24"/>
      <c r="IA99" s="24"/>
      <c r="IB99" s="24"/>
      <c r="IC99" s="24"/>
      <c r="ID99" s="24"/>
      <c r="IE99" s="24"/>
      <c r="IF99" s="24"/>
      <c r="IG99" s="24"/>
      <c r="IH99" s="24"/>
      <c r="II99" s="24"/>
      <c r="IJ99" s="24"/>
      <c r="IK99" s="24"/>
      <c r="IL99" s="24"/>
      <c r="IM99" s="24"/>
      <c r="IN99" s="24"/>
      <c r="IO99" s="24"/>
      <c r="IP99" s="24"/>
      <c r="IQ99" s="24"/>
      <c r="IR99" s="24"/>
      <c r="IS99" s="24"/>
      <c r="IT99" s="24"/>
      <c r="IU99" s="24"/>
      <c r="IV99" s="24"/>
    </row>
    <row r="100" spans="1:256">
      <c r="A100" s="1"/>
      <c r="B100" s="1"/>
      <c r="C100" s="1"/>
      <c r="D100" s="827"/>
      <c r="E100" s="352" t="s">
        <v>672</v>
      </c>
      <c r="F100" s="23"/>
      <c r="G100" s="968">
        <v>64325936</v>
      </c>
      <c r="H100" s="940"/>
      <c r="I100" s="1"/>
      <c r="J100" s="23"/>
      <c r="K100" s="1"/>
      <c r="L100" s="1"/>
      <c r="M100" s="61"/>
      <c r="N100" s="61"/>
      <c r="O100" s="1"/>
      <c r="P100" s="1"/>
      <c r="Q100" s="1"/>
      <c r="R100" s="1"/>
      <c r="S100" s="531"/>
      <c r="T100" s="544"/>
      <c r="U100" s="68"/>
      <c r="V100" s="1"/>
      <c r="W100" s="531"/>
      <c r="X100" s="1"/>
      <c r="Y100" s="53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row>
    <row r="101" spans="1:256">
      <c r="A101" s="1"/>
      <c r="B101" s="1"/>
      <c r="C101" s="1"/>
      <c r="D101" s="827"/>
      <c r="E101" s="352" t="s">
        <v>64</v>
      </c>
      <c r="F101" s="23"/>
      <c r="G101" s="968">
        <v>58898100</v>
      </c>
      <c r="H101" s="940"/>
      <c r="I101" s="1"/>
      <c r="J101" s="23"/>
      <c r="K101" s="1"/>
      <c r="L101" s="1"/>
      <c r="M101" s="61"/>
      <c r="N101" s="61"/>
      <c r="O101" s="1"/>
      <c r="P101" s="1"/>
      <c r="Q101" s="1"/>
      <c r="R101" s="1"/>
      <c r="S101" s="531"/>
      <c r="T101" s="531"/>
      <c r="U101" s="68"/>
      <c r="V101" s="1"/>
      <c r="W101" s="531"/>
      <c r="X101" s="1"/>
      <c r="Y101" s="53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row>
    <row r="102" spans="1:256">
      <c r="A102" s="1"/>
      <c r="B102" s="1"/>
      <c r="C102" s="1"/>
      <c r="D102" s="827"/>
      <c r="E102" s="352" t="s">
        <v>65</v>
      </c>
      <c r="F102" s="23"/>
      <c r="G102" s="968">
        <v>39172683</v>
      </c>
      <c r="H102" s="940"/>
      <c r="I102" s="1"/>
      <c r="J102" s="23"/>
      <c r="K102" s="1"/>
      <c r="L102" s="1"/>
      <c r="M102" s="61"/>
      <c r="N102" s="61"/>
      <c r="O102" s="1"/>
      <c r="P102" s="1"/>
      <c r="Q102" s="1"/>
      <c r="R102" s="1"/>
      <c r="S102" s="531"/>
      <c r="T102" s="531"/>
      <c r="U102" s="68"/>
      <c r="V102" s="1"/>
      <c r="W102" s="531"/>
      <c r="X102" s="1"/>
      <c r="Y102" s="53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row>
    <row r="103" spans="1:256">
      <c r="A103" s="1"/>
      <c r="B103" s="1"/>
      <c r="C103" s="1"/>
      <c r="D103" s="827">
        <v>2014</v>
      </c>
      <c r="E103" s="352" t="s">
        <v>66</v>
      </c>
      <c r="F103" s="23"/>
      <c r="G103" s="968">
        <v>29848683</v>
      </c>
      <c r="H103" s="940"/>
      <c r="I103" s="1"/>
      <c r="J103" s="23"/>
      <c r="K103" s="1"/>
      <c r="L103" s="1"/>
      <c r="M103" s="61"/>
      <c r="N103" s="61"/>
      <c r="O103" s="1"/>
      <c r="P103" s="1"/>
      <c r="Q103" s="1"/>
      <c r="R103" s="1"/>
      <c r="S103" s="531"/>
      <c r="T103" s="544"/>
      <c r="U103" s="68"/>
      <c r="V103" s="1"/>
      <c r="W103" s="531"/>
      <c r="X103" s="1"/>
      <c r="Y103" s="53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row>
    <row r="104" spans="1:256">
      <c r="A104" s="1"/>
      <c r="B104" s="1"/>
      <c r="C104" s="1"/>
      <c r="D104" s="827"/>
      <c r="E104" s="352" t="s">
        <v>67</v>
      </c>
      <c r="F104" s="1"/>
      <c r="G104" s="968">
        <v>18583034</v>
      </c>
      <c r="H104" s="940"/>
      <c r="I104" s="1"/>
      <c r="J104" s="23"/>
      <c r="K104" s="1"/>
      <c r="L104" s="1"/>
      <c r="M104" s="61"/>
      <c r="N104" s="61"/>
      <c r="O104" s="1"/>
      <c r="P104" s="1"/>
      <c r="Q104" s="1"/>
      <c r="R104" s="1"/>
      <c r="S104" s="531"/>
      <c r="T104" s="531"/>
      <c r="U104" s="68"/>
      <c r="V104" s="1"/>
      <c r="W104" s="531"/>
      <c r="X104" s="1"/>
      <c r="Y104" s="53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row>
    <row r="105" spans="1:256">
      <c r="A105" s="1"/>
      <c r="B105" s="1"/>
      <c r="C105" s="1"/>
      <c r="E105" s="433" t="s">
        <v>68</v>
      </c>
      <c r="G105" s="970">
        <v>6166885</v>
      </c>
      <c r="H105" s="940"/>
      <c r="I105" s="1"/>
      <c r="J105" s="23"/>
      <c r="K105" s="1"/>
      <c r="L105" s="1"/>
      <c r="M105" s="61"/>
      <c r="N105" s="61"/>
      <c r="O105" s="1"/>
      <c r="P105" s="1"/>
      <c r="Q105" s="1"/>
      <c r="R105" s="1"/>
      <c r="S105" s="531"/>
      <c r="T105" s="531"/>
      <c r="U105" s="68"/>
      <c r="V105" s="1"/>
      <c r="W105" s="531"/>
      <c r="X105" s="1"/>
      <c r="Y105" s="53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row>
    <row r="106" spans="1:256">
      <c r="A106" s="6"/>
      <c r="B106" s="1"/>
      <c r="C106" s="1"/>
      <c r="D106" s="1"/>
      <c r="E106" s="1"/>
      <c r="F106" s="1"/>
      <c r="G106" s="940">
        <f>SUM(G93:G105)</f>
        <v>400884473</v>
      </c>
      <c r="H106" s="940">
        <f>(0.5*G93+SUM(G94:G104)+0.5*G105)/12</f>
        <v>32752688.625</v>
      </c>
      <c r="I106" s="552">
        <v>0.1079</v>
      </c>
      <c r="J106" s="1"/>
      <c r="K106" s="62">
        <f>I106*H106</f>
        <v>3534015.1026375</v>
      </c>
      <c r="L106" s="6" t="s">
        <v>8</v>
      </c>
      <c r="M106" s="61">
        <f>M$8*K106</f>
        <v>128322.27277528186</v>
      </c>
      <c r="N106" s="61">
        <f>N$8*K106</f>
        <v>3405692.8298622184</v>
      </c>
      <c r="O106" s="1"/>
      <c r="P106" s="1"/>
      <c r="Q106" s="1"/>
      <c r="R106" s="1"/>
      <c r="S106" s="531"/>
      <c r="T106" s="531"/>
      <c r="U106" s="1"/>
      <c r="V106" s="1"/>
      <c r="W106" s="531"/>
      <c r="X106" s="1"/>
      <c r="Y106" s="53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pans="1:256">
      <c r="A107" s="1"/>
      <c r="B107" s="1"/>
      <c r="C107" s="1"/>
      <c r="D107" s="1"/>
      <c r="E107" s="1"/>
      <c r="F107" s="1"/>
      <c r="G107" s="1"/>
      <c r="H107" s="1"/>
      <c r="I107" s="1"/>
      <c r="J107" s="1"/>
      <c r="K107" s="62"/>
      <c r="L107" s="1"/>
      <c r="M107" s="61"/>
      <c r="N107" s="61"/>
      <c r="O107" s="1"/>
      <c r="P107" s="1"/>
      <c r="Q107" s="1"/>
      <c r="R107" s="1"/>
      <c r="S107" s="531"/>
      <c r="T107" s="531"/>
      <c r="U107" s="1"/>
      <c r="V107" s="1"/>
      <c r="W107" s="531"/>
      <c r="X107" s="1"/>
      <c r="Y107" s="531"/>
      <c r="Z107" s="1"/>
      <c r="AA107" s="1"/>
      <c r="AB107" s="1"/>
      <c r="AC107" s="1"/>
      <c r="AD107" s="880"/>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row>
    <row r="108" spans="1:256" ht="12.75">
      <c r="A108" s="125"/>
      <c r="B108" s="9" t="s">
        <v>57</v>
      </c>
      <c r="C108" s="10" t="s">
        <v>268</v>
      </c>
      <c r="D108" s="1"/>
      <c r="E108" s="1"/>
      <c r="F108" s="1"/>
      <c r="G108" s="129"/>
      <c r="H108" s="1"/>
      <c r="I108" s="1"/>
      <c r="J108" s="1"/>
      <c r="K108" s="101" t="s">
        <v>77</v>
      </c>
      <c r="L108" s="1"/>
      <c r="M108" s="91"/>
      <c r="N108" s="91"/>
      <c r="O108" s="1"/>
      <c r="P108" s="1"/>
      <c r="Q108" s="1"/>
      <c r="R108" s="1"/>
      <c r="S108" s="531"/>
      <c r="T108" s="531"/>
      <c r="U108" s="1"/>
      <c r="V108" s="1"/>
      <c r="W108" s="531"/>
      <c r="X108" s="1"/>
      <c r="Y108" s="53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pans="1:256">
      <c r="A109" s="1"/>
      <c r="B109" s="1"/>
      <c r="C109" s="6" t="s">
        <v>13</v>
      </c>
      <c r="D109" s="1" t="s">
        <v>78</v>
      </c>
      <c r="E109" s="1"/>
      <c r="F109" s="1"/>
      <c r="G109" s="26" t="s">
        <v>79</v>
      </c>
      <c r="H109" s="1"/>
      <c r="I109" s="1"/>
      <c r="J109" s="1"/>
      <c r="K109" s="965">
        <f>4562669+0</f>
        <v>4562669</v>
      </c>
      <c r="L109" s="6" t="s">
        <v>8</v>
      </c>
      <c r="M109" s="61">
        <f t="shared" ref="M109:M121" si="13">M$8*K109</f>
        <v>165673.33160640969</v>
      </c>
      <c r="N109" s="61">
        <f t="shared" ref="N109:N121" si="14">N$8*K109</f>
        <v>4396995.6683935905</v>
      </c>
      <c r="O109" s="27" t="s">
        <v>80</v>
      </c>
      <c r="P109" s="1"/>
      <c r="Q109" s="1"/>
      <c r="R109" s="1"/>
      <c r="S109" s="531"/>
      <c r="T109" s="531"/>
      <c r="U109" s="1"/>
      <c r="V109" s="1"/>
      <c r="W109" s="531"/>
      <c r="X109" s="1"/>
      <c r="Y109" s="53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row>
    <row r="110" spans="1:256">
      <c r="A110" s="1"/>
      <c r="B110" s="1"/>
      <c r="C110" s="6" t="s">
        <v>22</v>
      </c>
      <c r="D110" s="1" t="s">
        <v>81</v>
      </c>
      <c r="E110" s="1"/>
      <c r="F110" s="1"/>
      <c r="G110" s="26"/>
      <c r="H110" s="1"/>
      <c r="I110" s="352" t="s">
        <v>684</v>
      </c>
      <c r="J110" s="964">
        <v>6127680</v>
      </c>
      <c r="K110" s="966"/>
      <c r="L110" s="6"/>
      <c r="M110" s="61"/>
      <c r="N110" s="61"/>
      <c r="O110" s="27"/>
      <c r="P110" s="1"/>
      <c r="Q110" s="1"/>
      <c r="R110" s="1"/>
      <c r="S110" s="531"/>
      <c r="T110" s="531"/>
      <c r="U110" s="1"/>
      <c r="V110" s="1"/>
      <c r="W110" s="531"/>
      <c r="X110" s="1"/>
      <c r="Y110" s="53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row>
    <row r="111" spans="1:256">
      <c r="A111" s="1"/>
      <c r="B111" s="1"/>
      <c r="G111" s="26" t="s">
        <v>82</v>
      </c>
      <c r="H111" s="1"/>
      <c r="I111" s="352" t="s">
        <v>683</v>
      </c>
      <c r="J111" s="964">
        <v>1963385</v>
      </c>
      <c r="K111" s="971">
        <f>+J111+J110</f>
        <v>8091065</v>
      </c>
      <c r="L111" s="6" t="s">
        <v>8</v>
      </c>
      <c r="M111" s="61">
        <f t="shared" si="13"/>
        <v>293791.57129171881</v>
      </c>
      <c r="N111" s="61">
        <f t="shared" si="14"/>
        <v>7797273.4287082814</v>
      </c>
      <c r="O111" s="6" t="s">
        <v>53</v>
      </c>
      <c r="P111" s="1"/>
      <c r="Q111" s="1"/>
      <c r="R111" s="1"/>
      <c r="S111" s="531"/>
      <c r="T111" s="531"/>
      <c r="U111" s="1"/>
      <c r="V111" s="1"/>
      <c r="W111" s="531"/>
      <c r="X111" s="1"/>
      <c r="Y111" s="53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row>
    <row r="112" spans="1:256">
      <c r="A112" s="1"/>
      <c r="B112" s="1"/>
      <c r="C112" s="6" t="s">
        <v>30</v>
      </c>
      <c r="D112" s="1" t="s">
        <v>83</v>
      </c>
      <c r="E112" s="1"/>
      <c r="F112" s="1"/>
      <c r="G112" s="26"/>
      <c r="H112" s="1"/>
      <c r="I112" s="352" t="str">
        <f>+I110</f>
        <v>Wexpro I</v>
      </c>
      <c r="J112" s="964">
        <v>1296259</v>
      </c>
      <c r="K112" s="971"/>
      <c r="L112" s="6"/>
      <c r="M112" s="61"/>
      <c r="N112" s="61"/>
      <c r="O112" s="6"/>
      <c r="P112" s="1"/>
      <c r="Q112" s="1"/>
      <c r="R112" s="1"/>
      <c r="S112" s="531"/>
      <c r="T112" s="531"/>
      <c r="U112" s="1"/>
      <c r="V112" s="1"/>
      <c r="W112" s="531"/>
      <c r="X112" s="1"/>
      <c r="Y112" s="53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row>
    <row r="113" spans="1:256">
      <c r="A113" s="1"/>
      <c r="B113" s="1"/>
      <c r="G113" s="26" t="s">
        <v>84</v>
      </c>
      <c r="H113" s="1"/>
      <c r="I113" s="1" t="str">
        <f>+I111</f>
        <v>Wexpro II</v>
      </c>
      <c r="J113" s="932">
        <v>1505180</v>
      </c>
      <c r="K113" s="971">
        <f>+J113+J112</f>
        <v>2801439</v>
      </c>
      <c r="L113" s="6" t="s">
        <v>8</v>
      </c>
      <c r="M113" s="61">
        <f t="shared" si="13"/>
        <v>101721.98167829592</v>
      </c>
      <c r="N113" s="61">
        <f t="shared" si="14"/>
        <v>2699717.0183217041</v>
      </c>
      <c r="O113" s="6" t="s">
        <v>53</v>
      </c>
      <c r="P113" s="1"/>
      <c r="Q113" s="1"/>
      <c r="R113" s="1"/>
      <c r="S113" s="531"/>
      <c r="T113" s="531"/>
      <c r="U113" s="1"/>
      <c r="V113" s="1"/>
      <c r="W113" s="531"/>
      <c r="X113" s="1"/>
      <c r="Y113" s="53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row>
    <row r="114" spans="1:256">
      <c r="A114" s="1"/>
      <c r="B114" s="1"/>
      <c r="C114" s="6" t="s">
        <v>85</v>
      </c>
      <c r="D114" s="1" t="s">
        <v>86</v>
      </c>
      <c r="E114" s="1"/>
      <c r="F114" s="1"/>
      <c r="G114" s="26"/>
      <c r="H114" s="1"/>
      <c r="I114" s="1" t="str">
        <f>+I112</f>
        <v>Wexpro I</v>
      </c>
      <c r="J114" s="932">
        <v>-194441</v>
      </c>
      <c r="K114" s="966"/>
      <c r="L114" s="6"/>
      <c r="M114" s="61"/>
      <c r="N114" s="61"/>
      <c r="O114" s="6"/>
      <c r="P114" s="1"/>
      <c r="Q114" s="1"/>
      <c r="R114" s="1"/>
      <c r="S114" s="531"/>
      <c r="T114" s="531"/>
      <c r="U114" s="1"/>
      <c r="V114" s="1"/>
      <c r="W114" s="531"/>
      <c r="X114" s="1"/>
      <c r="Y114" s="53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row>
    <row r="115" spans="1:256">
      <c r="A115" s="1"/>
      <c r="B115" s="1"/>
      <c r="G115" s="26" t="s">
        <v>87</v>
      </c>
      <c r="H115" s="1"/>
      <c r="I115" s="1" t="str">
        <f>+I113</f>
        <v>Wexpro II</v>
      </c>
      <c r="J115" s="932">
        <v>-225778</v>
      </c>
      <c r="K115" s="971">
        <f>+J115+J114</f>
        <v>-420219</v>
      </c>
      <c r="L115" s="6" t="s">
        <v>8</v>
      </c>
      <c r="M115" s="61">
        <f t="shared" si="13"/>
        <v>-15258.411630191424</v>
      </c>
      <c r="N115" s="61">
        <f t="shared" si="14"/>
        <v>-404960.58836980863</v>
      </c>
      <c r="O115" s="6" t="s">
        <v>53</v>
      </c>
      <c r="P115" s="1"/>
      <c r="Q115" s="1"/>
      <c r="R115" s="1"/>
      <c r="S115" s="531"/>
      <c r="T115" s="531"/>
      <c r="U115" s="1"/>
      <c r="V115" s="1"/>
      <c r="W115" s="531"/>
      <c r="X115" s="1"/>
      <c r="Y115" s="53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row>
    <row r="116" spans="1:256">
      <c r="A116" s="1"/>
      <c r="B116" s="1"/>
      <c r="C116" s="6" t="s">
        <v>88</v>
      </c>
      <c r="D116" s="1" t="s">
        <v>89</v>
      </c>
      <c r="E116" s="1"/>
      <c r="F116" s="1"/>
      <c r="G116" s="26" t="s">
        <v>90</v>
      </c>
      <c r="H116" s="1"/>
      <c r="I116" s="1"/>
      <c r="J116" s="1"/>
      <c r="K116" s="965">
        <v>0</v>
      </c>
      <c r="L116" s="6" t="s">
        <v>8</v>
      </c>
      <c r="M116" s="61">
        <f t="shared" si="13"/>
        <v>0</v>
      </c>
      <c r="N116" s="61">
        <f t="shared" si="14"/>
        <v>0</v>
      </c>
      <c r="O116" s="6" t="s">
        <v>53</v>
      </c>
      <c r="P116" s="1"/>
      <c r="Q116" s="1"/>
      <c r="R116" s="1"/>
      <c r="S116" s="531"/>
      <c r="T116" s="531"/>
      <c r="U116" s="1"/>
      <c r="V116" s="1"/>
      <c r="W116" s="531"/>
      <c r="X116" s="1"/>
      <c r="Y116" s="53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row>
    <row r="117" spans="1:256">
      <c r="A117" s="1"/>
      <c r="B117" s="1"/>
      <c r="C117" s="6" t="s">
        <v>91</v>
      </c>
      <c r="D117" s="1" t="s">
        <v>92</v>
      </c>
      <c r="E117" s="1"/>
      <c r="F117" s="1"/>
      <c r="G117" s="26" t="s">
        <v>93</v>
      </c>
      <c r="H117" s="1"/>
      <c r="I117" s="1"/>
      <c r="J117" s="1"/>
      <c r="K117" s="965">
        <v>0</v>
      </c>
      <c r="L117" s="6" t="s">
        <v>8</v>
      </c>
      <c r="M117" s="61">
        <f t="shared" si="13"/>
        <v>0</v>
      </c>
      <c r="N117" s="61">
        <f t="shared" si="14"/>
        <v>0</v>
      </c>
      <c r="O117" s="6" t="s">
        <v>53</v>
      </c>
      <c r="P117" s="1"/>
      <c r="Q117" s="1"/>
      <c r="R117" s="1"/>
      <c r="S117" s="531"/>
      <c r="T117" s="531"/>
      <c r="U117" s="1"/>
      <c r="V117" s="1"/>
      <c r="W117" s="531"/>
      <c r="X117" s="1"/>
      <c r="Y117" s="53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row>
    <row r="118" spans="1:256">
      <c r="A118" s="1"/>
      <c r="B118" s="1"/>
      <c r="C118" s="6" t="s">
        <v>94</v>
      </c>
      <c r="D118" s="352" t="s">
        <v>685</v>
      </c>
      <c r="E118" s="1"/>
      <c r="F118" s="1"/>
      <c r="G118" s="26" t="s">
        <v>95</v>
      </c>
      <c r="H118" s="1"/>
      <c r="I118" s="1"/>
      <c r="J118" s="1"/>
      <c r="K118" s="965">
        <f>22012615</f>
        <v>22012615</v>
      </c>
      <c r="L118" s="6" t="s">
        <v>8</v>
      </c>
      <c r="M118" s="61">
        <f t="shared" si="13"/>
        <v>799291.65679544758</v>
      </c>
      <c r="N118" s="61">
        <f t="shared" si="14"/>
        <v>21213323.343204554</v>
      </c>
      <c r="O118" s="6" t="s">
        <v>53</v>
      </c>
      <c r="P118" s="1"/>
      <c r="Q118" s="1"/>
      <c r="R118" s="1"/>
      <c r="S118" s="531"/>
      <c r="T118" s="531"/>
      <c r="U118" s="1"/>
      <c r="V118" s="1"/>
      <c r="W118" s="531"/>
      <c r="X118" s="1"/>
      <c r="Y118" s="53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row>
    <row r="119" spans="1:256">
      <c r="A119" s="1"/>
      <c r="B119" s="1"/>
      <c r="C119" s="6" t="s">
        <v>96</v>
      </c>
      <c r="D119" s="935" t="s">
        <v>97</v>
      </c>
      <c r="E119" s="935"/>
      <c r="F119" s="352"/>
      <c r="G119" s="26"/>
      <c r="H119" s="1"/>
      <c r="I119" s="1" t="str">
        <f>+I114</f>
        <v>Wexpro I</v>
      </c>
      <c r="J119" s="932">
        <v>0</v>
      </c>
      <c r="K119" s="966"/>
      <c r="L119" s="6"/>
      <c r="M119" s="61"/>
      <c r="N119" s="61"/>
      <c r="O119" s="6"/>
      <c r="P119" s="1"/>
      <c r="Q119" s="1"/>
      <c r="R119" s="1"/>
      <c r="S119" s="531"/>
      <c r="T119" s="531"/>
      <c r="U119" s="1"/>
      <c r="V119" s="1"/>
      <c r="W119" s="531"/>
      <c r="X119" s="1"/>
      <c r="Y119" s="53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row>
    <row r="120" spans="1:256">
      <c r="A120" s="1"/>
      <c r="B120" s="1"/>
      <c r="G120" s="26" t="s">
        <v>98</v>
      </c>
      <c r="H120" s="1"/>
      <c r="I120" s="1" t="str">
        <f>+I115</f>
        <v>Wexpro II</v>
      </c>
      <c r="J120" s="932">
        <v>0</v>
      </c>
      <c r="K120" s="971">
        <f>+J120+J119</f>
        <v>0</v>
      </c>
      <c r="L120" s="6" t="s">
        <v>8</v>
      </c>
      <c r="M120" s="90">
        <f t="shared" si="13"/>
        <v>0</v>
      </c>
      <c r="N120" s="90">
        <f t="shared" si="14"/>
        <v>0</v>
      </c>
      <c r="O120" s="6" t="s">
        <v>53</v>
      </c>
      <c r="P120" s="1"/>
      <c r="Q120" s="1"/>
      <c r="R120" s="1"/>
      <c r="S120" s="531"/>
      <c r="T120" s="531"/>
      <c r="U120" s="1"/>
      <c r="V120" s="1"/>
      <c r="W120" s="531"/>
      <c r="X120" s="1"/>
      <c r="Y120" s="53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row>
    <row r="121" spans="1:256">
      <c r="A121" s="1"/>
      <c r="B121" s="1"/>
      <c r="C121" s="6">
        <v>9</v>
      </c>
      <c r="D121" s="935" t="s">
        <v>673</v>
      </c>
      <c r="E121" s="16"/>
      <c r="F121" s="1"/>
      <c r="G121" s="26"/>
      <c r="H121" s="1"/>
      <c r="I121" s="1"/>
      <c r="J121" s="1"/>
      <c r="K121" s="967">
        <v>4214101</v>
      </c>
      <c r="L121" s="6"/>
      <c r="M121" s="90">
        <f t="shared" si="13"/>
        <v>153016.61207418347</v>
      </c>
      <c r="N121" s="90">
        <f t="shared" si="14"/>
        <v>4061084.3879258167</v>
      </c>
      <c r="O121" s="6"/>
      <c r="P121" s="1"/>
      <c r="Q121" s="1"/>
      <c r="R121" s="1"/>
      <c r="S121" s="531"/>
      <c r="T121" s="531"/>
      <c r="U121" s="1"/>
      <c r="V121" s="1"/>
      <c r="W121" s="531"/>
      <c r="X121" s="1"/>
      <c r="Y121" s="53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row>
    <row r="122" spans="1:256">
      <c r="A122" s="6"/>
      <c r="B122" s="1"/>
      <c r="C122" s="1"/>
      <c r="D122" s="1" t="s">
        <v>24</v>
      </c>
      <c r="E122" s="1"/>
      <c r="F122" s="1"/>
      <c r="G122" s="1"/>
      <c r="H122" s="1"/>
      <c r="I122" s="1"/>
      <c r="J122" s="1"/>
      <c r="K122" s="940">
        <f>SUM(K109:K121)</f>
        <v>41261670</v>
      </c>
      <c r="L122" s="1"/>
      <c r="M122" s="61">
        <f>SUM(M109:M121)</f>
        <v>1498236.7418158641</v>
      </c>
      <c r="N122" s="61">
        <f>SUM(N109:N121)</f>
        <v>39763433.258184135</v>
      </c>
      <c r="O122" s="1"/>
      <c r="P122" s="1"/>
      <c r="Q122" s="1"/>
      <c r="R122" s="1"/>
      <c r="S122" s="531"/>
      <c r="T122" s="531"/>
      <c r="U122" s="1"/>
      <c r="V122" s="1"/>
      <c r="W122" s="531"/>
      <c r="X122" s="1"/>
      <c r="Y122" s="53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row>
    <row r="123" spans="1:256">
      <c r="A123" s="1"/>
      <c r="B123" s="1"/>
      <c r="C123" s="1"/>
      <c r="D123" s="1"/>
      <c r="E123" s="1"/>
      <c r="F123" s="1"/>
      <c r="G123" s="1"/>
      <c r="H123" s="1"/>
      <c r="I123" s="1"/>
      <c r="J123" s="1"/>
      <c r="K123" s="62"/>
      <c r="L123" s="1"/>
      <c r="M123" s="61"/>
      <c r="N123" s="61"/>
      <c r="O123" s="1"/>
      <c r="P123" s="1"/>
      <c r="Q123" s="1"/>
      <c r="R123" s="1"/>
      <c r="S123" s="531"/>
      <c r="T123" s="531"/>
      <c r="U123" s="1"/>
      <c r="V123" s="1"/>
      <c r="W123" s="531"/>
      <c r="X123" s="1"/>
      <c r="Y123" s="53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row>
    <row r="124" spans="1:256" ht="12.75">
      <c r="A124" s="125"/>
      <c r="B124" s="9" t="s">
        <v>59</v>
      </c>
      <c r="C124" s="10" t="s">
        <v>269</v>
      </c>
      <c r="D124" s="1"/>
      <c r="E124" s="1"/>
      <c r="F124" s="1"/>
      <c r="G124" s="4" t="s">
        <v>75</v>
      </c>
      <c r="H124" s="4" t="s">
        <v>16</v>
      </c>
      <c r="J124" s="1"/>
      <c r="K124" s="101" t="s">
        <v>19</v>
      </c>
      <c r="L124" s="1"/>
      <c r="M124" s="91"/>
      <c r="N124" s="91"/>
      <c r="O124" s="1"/>
      <c r="P124" s="1"/>
      <c r="Q124" s="1"/>
      <c r="R124" s="1"/>
      <c r="S124" s="531"/>
      <c r="T124" s="531"/>
      <c r="U124" s="1"/>
      <c r="V124" s="1"/>
      <c r="W124" s="531"/>
      <c r="X124" s="1"/>
      <c r="Y124" s="53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row>
    <row r="125" spans="1:256">
      <c r="A125" s="6"/>
      <c r="B125" s="1"/>
      <c r="C125" s="6" t="s">
        <v>13</v>
      </c>
      <c r="D125" s="125" t="s">
        <v>177</v>
      </c>
      <c r="E125" s="1"/>
      <c r="F125" s="1"/>
      <c r="G125" s="110">
        <f>G20</f>
        <v>5.2711273665385301</v>
      </c>
      <c r="H125" s="1">
        <f>H20</f>
        <v>74434458</v>
      </c>
      <c r="I125" s="144"/>
      <c r="J125" s="1"/>
      <c r="K125" s="979">
        <f>K20</f>
        <v>392353508.57726282</v>
      </c>
      <c r="L125" s="6"/>
      <c r="M125" s="61"/>
      <c r="N125" s="61"/>
      <c r="O125" s="1"/>
      <c r="P125" s="1"/>
      <c r="Q125" s="1"/>
      <c r="R125" s="1"/>
      <c r="S125" s="531"/>
      <c r="T125" s="531"/>
      <c r="U125" s="1"/>
      <c r="V125" s="1"/>
      <c r="W125" s="531"/>
      <c r="X125" s="1"/>
      <c r="Y125" s="53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row>
    <row r="126" spans="1:256">
      <c r="A126" s="6"/>
      <c r="B126" s="1"/>
      <c r="C126" s="6" t="s">
        <v>22</v>
      </c>
      <c r="D126" s="146" t="s">
        <v>178</v>
      </c>
      <c r="E126" s="1"/>
      <c r="F126" s="1"/>
      <c r="G126" s="151">
        <f>G28</f>
        <v>4.8713206297951261</v>
      </c>
      <c r="H126" s="146">
        <f>H28</f>
        <v>42429544</v>
      </c>
      <c r="I126" s="144"/>
      <c r="J126" s="1"/>
      <c r="K126" s="972">
        <f>K28</f>
        <v>206687913</v>
      </c>
      <c r="L126" s="6"/>
      <c r="M126" s="61"/>
      <c r="N126" s="61"/>
      <c r="O126" s="1"/>
      <c r="P126" s="1"/>
      <c r="Q126" s="1"/>
      <c r="R126" s="1"/>
      <c r="S126" s="531"/>
      <c r="T126" s="531"/>
      <c r="U126" s="1"/>
      <c r="V126" s="1"/>
      <c r="W126" s="531"/>
      <c r="X126" s="1"/>
      <c r="Y126" s="53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row>
    <row r="127" spans="1:256">
      <c r="A127" s="6"/>
      <c r="B127" s="1"/>
      <c r="C127" s="6"/>
      <c r="D127" s="125" t="s">
        <v>179</v>
      </c>
      <c r="E127" s="1"/>
      <c r="F127" s="1"/>
      <c r="G127" s="149">
        <f>K127/H127</f>
        <v>5.1259704556178294</v>
      </c>
      <c r="H127" s="1">
        <f>SUM(H125:H126)</f>
        <v>116864002</v>
      </c>
      <c r="I127" s="144"/>
      <c r="J127" s="1"/>
      <c r="K127" s="973">
        <f>SUM(K125:K126)</f>
        <v>599041421.57726288</v>
      </c>
      <c r="L127" s="6"/>
      <c r="M127" s="61"/>
      <c r="N127" s="61"/>
      <c r="O127" s="1"/>
      <c r="P127" s="1"/>
      <c r="Q127" s="1"/>
      <c r="R127" s="1"/>
      <c r="S127" s="531"/>
      <c r="T127" s="531"/>
      <c r="U127" s="1"/>
      <c r="V127" s="1"/>
      <c r="W127" s="531"/>
      <c r="X127" s="1"/>
      <c r="Y127" s="53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row>
    <row r="128" spans="1:256">
      <c r="A128" s="6"/>
      <c r="B128" s="1"/>
      <c r="C128" s="6"/>
      <c r="D128" s="1"/>
      <c r="E128" s="1"/>
      <c r="F128" s="1"/>
      <c r="G128" s="147"/>
      <c r="H128" s="1"/>
      <c r="I128" s="144"/>
      <c r="J128" s="1"/>
      <c r="K128" s="973"/>
      <c r="L128" s="6"/>
      <c r="M128" s="61"/>
      <c r="N128" s="61"/>
      <c r="O128" s="1"/>
      <c r="P128" s="1"/>
      <c r="Q128" s="1"/>
      <c r="R128" s="1"/>
      <c r="S128" s="531"/>
      <c r="T128" s="531"/>
      <c r="U128" s="1"/>
      <c r="V128" s="1"/>
      <c r="W128" s="531"/>
      <c r="X128" s="1"/>
      <c r="Y128" s="53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row>
    <row r="129" spans="1:256">
      <c r="A129" s="6"/>
      <c r="B129" s="1"/>
      <c r="C129" s="6" t="s">
        <v>13</v>
      </c>
      <c r="D129" s="1" t="s">
        <v>76</v>
      </c>
      <c r="E129" s="1"/>
      <c r="F129" s="1"/>
      <c r="G129" s="110">
        <f>K129/H129</f>
        <v>4.8638574555561114</v>
      </c>
      <c r="H129" s="144">
        <f>H83+H87+H85</f>
        <v>16913574</v>
      </c>
      <c r="J129" s="1"/>
      <c r="K129" s="965">
        <v>82265213</v>
      </c>
      <c r="L129" s="6" t="s">
        <v>8</v>
      </c>
      <c r="M129" s="61">
        <f>M$8*K129</f>
        <v>2987100.7327116923</v>
      </c>
      <c r="N129" s="61">
        <f>N$8*K129</f>
        <v>79278112.267288312</v>
      </c>
      <c r="O129" s="1"/>
      <c r="P129" s="1"/>
      <c r="Q129" s="1"/>
      <c r="R129" s="1"/>
      <c r="S129" s="531"/>
      <c r="T129" s="531"/>
      <c r="U129" s="1"/>
      <c r="V129" s="1"/>
      <c r="W129" s="531"/>
      <c r="X129" s="1"/>
      <c r="Y129" s="53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row>
    <row r="130" spans="1:256">
      <c r="A130" s="6"/>
      <c r="B130" s="1"/>
      <c r="C130" s="6" t="s">
        <v>22</v>
      </c>
      <c r="D130" s="16" t="s">
        <v>172</v>
      </c>
      <c r="E130" s="16"/>
      <c r="F130" s="1"/>
      <c r="G130" s="110">
        <f>K130/H130</f>
        <v>-4.9446024680434082</v>
      </c>
      <c r="H130" s="126">
        <f>H82+H86+H84</f>
        <v>17250588</v>
      </c>
      <c r="J130" s="1"/>
      <c r="K130" s="974">
        <v>-85297300</v>
      </c>
      <c r="L130" s="6" t="s">
        <v>8</v>
      </c>
      <c r="M130" s="90">
        <f>M$8*K130</f>
        <v>-3097197.685835069</v>
      </c>
      <c r="N130" s="90">
        <f>N$8*K130</f>
        <v>-82200102.314164937</v>
      </c>
      <c r="O130" s="1"/>
      <c r="P130" s="1"/>
      <c r="Q130" s="1"/>
      <c r="R130" s="1"/>
      <c r="S130" s="531"/>
      <c r="T130" s="531"/>
      <c r="U130" s="1"/>
      <c r="V130" s="1"/>
      <c r="W130" s="531"/>
      <c r="X130" s="1"/>
      <c r="Y130" s="53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row>
    <row r="131" spans="1:256">
      <c r="A131" s="1"/>
      <c r="B131" s="1"/>
      <c r="C131" s="1"/>
      <c r="D131" s="1" t="s">
        <v>24</v>
      </c>
      <c r="E131" s="1"/>
      <c r="F131" s="1"/>
      <c r="G131" s="14"/>
      <c r="H131" s="61">
        <f>H129+H130</f>
        <v>34164162</v>
      </c>
      <c r="J131" s="1"/>
      <c r="K131" s="940">
        <f>K129+K130</f>
        <v>-3032087</v>
      </c>
      <c r="L131" s="1"/>
      <c r="M131" s="61">
        <f>M129+M130</f>
        <v>-110096.9531233767</v>
      </c>
      <c r="N131" s="61">
        <f>N129+N130</f>
        <v>-2921990.0468766242</v>
      </c>
      <c r="O131" s="1"/>
      <c r="P131" s="1"/>
      <c r="Q131" s="1"/>
      <c r="R131" s="1"/>
      <c r="S131" s="531"/>
      <c r="T131" s="531"/>
      <c r="U131" s="1"/>
      <c r="V131" s="1"/>
      <c r="W131" s="531"/>
      <c r="X131" s="1"/>
      <c r="Y131" s="53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row>
    <row r="132" spans="1:256">
      <c r="A132" s="1"/>
      <c r="B132" s="1"/>
      <c r="C132" s="1"/>
      <c r="D132" s="1"/>
      <c r="E132" s="1"/>
      <c r="F132" s="1"/>
      <c r="G132" s="129"/>
      <c r="H132" s="25"/>
      <c r="I132" s="1"/>
      <c r="J132" s="1"/>
      <c r="K132" s="940"/>
      <c r="L132" s="1"/>
      <c r="M132" s="61"/>
      <c r="N132" s="61"/>
      <c r="O132" s="1"/>
      <c r="P132" s="1"/>
      <c r="Q132" s="1"/>
      <c r="R132" s="1"/>
      <c r="S132" s="531"/>
      <c r="T132" s="531"/>
      <c r="U132" s="1"/>
      <c r="V132" s="1"/>
      <c r="W132" s="531"/>
      <c r="X132" s="1"/>
      <c r="Y132" s="53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row>
    <row r="133" spans="1:256" ht="12.75">
      <c r="A133" s="1"/>
      <c r="B133" s="9" t="s">
        <v>270</v>
      </c>
      <c r="C133" s="10" t="s">
        <v>558</v>
      </c>
      <c r="D133" s="1"/>
      <c r="E133" s="1"/>
      <c r="F133" s="1"/>
      <c r="G133" s="129"/>
      <c r="H133" s="25"/>
      <c r="I133" s="1"/>
      <c r="J133" s="1"/>
      <c r="K133" s="940"/>
      <c r="L133" s="1"/>
      <c r="M133" s="61"/>
      <c r="N133" s="61"/>
      <c r="O133" s="1"/>
      <c r="P133" s="1"/>
      <c r="Q133" s="1"/>
      <c r="R133" s="1"/>
      <c r="S133" s="531"/>
      <c r="T133" s="531"/>
      <c r="U133" s="1"/>
      <c r="V133" s="1"/>
      <c r="W133" s="531"/>
      <c r="X133" s="1"/>
      <c r="Y133" s="53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row>
    <row r="134" spans="1:256">
      <c r="A134" s="1"/>
      <c r="B134" s="1"/>
      <c r="C134" s="6" t="s">
        <v>13</v>
      </c>
      <c r="D134" s="352" t="s">
        <v>559</v>
      </c>
      <c r="E134" s="1"/>
      <c r="F134" s="1"/>
      <c r="G134" s="14"/>
      <c r="H134" s="61"/>
      <c r="J134" s="1"/>
      <c r="K134" s="940">
        <f>K20</f>
        <v>392353508.57726282</v>
      </c>
      <c r="L134" s="1"/>
      <c r="M134" s="61"/>
      <c r="N134" s="61"/>
      <c r="O134" s="1"/>
      <c r="P134" s="1"/>
      <c r="Q134" s="1"/>
      <c r="R134" s="1"/>
      <c r="S134" s="531"/>
      <c r="T134" s="531"/>
      <c r="U134" s="1"/>
      <c r="V134" s="1"/>
      <c r="W134" s="531"/>
      <c r="X134" s="1"/>
      <c r="Y134" s="53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row>
    <row r="135" spans="1:256">
      <c r="A135" s="1"/>
      <c r="B135" s="1"/>
      <c r="C135" s="6" t="s">
        <v>22</v>
      </c>
      <c r="D135" s="352" t="s">
        <v>560</v>
      </c>
      <c r="E135" s="1"/>
      <c r="F135" s="1"/>
      <c r="G135" s="14"/>
      <c r="H135" s="61"/>
      <c r="J135" s="1"/>
      <c r="K135" s="940">
        <f>K122*-1</f>
        <v>-41261670</v>
      </c>
      <c r="L135" s="1"/>
      <c r="M135" s="61"/>
      <c r="N135" s="61"/>
      <c r="O135" s="1"/>
      <c r="P135" s="1"/>
      <c r="Q135" s="1"/>
      <c r="R135" s="1"/>
      <c r="S135" s="531"/>
      <c r="T135" s="531"/>
      <c r="U135" s="1"/>
      <c r="V135" s="1"/>
      <c r="W135" s="531"/>
      <c r="X135" s="1"/>
      <c r="Y135" s="53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row>
    <row r="136" spans="1:256">
      <c r="A136" s="1"/>
      <c r="B136" s="1"/>
      <c r="C136" s="6" t="s">
        <v>30</v>
      </c>
      <c r="D136" s="352" t="s">
        <v>561</v>
      </c>
      <c r="E136" s="1"/>
      <c r="F136" s="1"/>
      <c r="G136" s="14"/>
      <c r="H136" s="61"/>
      <c r="J136" s="1"/>
      <c r="K136" s="940">
        <f>K55</f>
        <v>8942136</v>
      </c>
      <c r="L136" s="1"/>
      <c r="M136" s="61">
        <f>M55</f>
        <v>232493.60225847617</v>
      </c>
      <c r="N136" s="61">
        <f>N55</f>
        <v>8709642.3977415226</v>
      </c>
      <c r="O136" s="125" t="s">
        <v>157</v>
      </c>
      <c r="P136" s="1">
        <f>K136-M136-N136</f>
        <v>0</v>
      </c>
      <c r="Q136" s="1"/>
      <c r="R136" s="1"/>
      <c r="S136" s="531"/>
      <c r="T136" s="531"/>
      <c r="U136" s="1"/>
      <c r="V136" s="1"/>
      <c r="W136" s="531"/>
      <c r="X136" s="1"/>
      <c r="Y136" s="53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row>
    <row r="137" spans="1:256" ht="12" thickBot="1">
      <c r="A137" s="1"/>
      <c r="B137" s="1"/>
      <c r="C137" s="6" t="s">
        <v>85</v>
      </c>
      <c r="D137" s="352" t="s">
        <v>562</v>
      </c>
      <c r="E137" s="1"/>
      <c r="F137" s="1"/>
      <c r="G137" s="14"/>
      <c r="H137" s="61"/>
      <c r="J137" s="1"/>
      <c r="K137" s="975">
        <f>K56+K62+K59</f>
        <v>10167729.86568</v>
      </c>
      <c r="L137" s="1"/>
      <c r="M137" s="61">
        <f>M56+M62</f>
        <v>283474.07832059951</v>
      </c>
      <c r="N137" s="61">
        <f>N56+N62</f>
        <v>7523445.5804794012</v>
      </c>
      <c r="O137" s="125" t="s">
        <v>157</v>
      </c>
      <c r="P137" s="1">
        <f>K137-M137-N137</f>
        <v>2360810.2068799986</v>
      </c>
      <c r="Q137" s="1"/>
      <c r="R137" s="1"/>
      <c r="S137" s="531"/>
      <c r="T137" s="531"/>
      <c r="U137" s="1"/>
      <c r="V137" s="1"/>
      <c r="W137" s="531"/>
      <c r="X137" s="1"/>
      <c r="Y137" s="53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row>
    <row r="138" spans="1:256">
      <c r="A138" s="1"/>
      <c r="B138" s="1"/>
      <c r="C138" s="6" t="s">
        <v>88</v>
      </c>
      <c r="D138" s="25" t="s">
        <v>563</v>
      </c>
      <c r="E138" s="1"/>
      <c r="F138" s="1"/>
      <c r="G138" s="14"/>
      <c r="H138" s="61"/>
      <c r="J138" s="1"/>
      <c r="K138" s="940">
        <f>SUM(K134:K137)</f>
        <v>370201704.4429428</v>
      </c>
      <c r="L138" s="1"/>
      <c r="M138" s="61"/>
      <c r="N138" s="61"/>
      <c r="O138" s="1"/>
      <c r="P138" s="1"/>
      <c r="Q138" s="1"/>
      <c r="R138" s="1"/>
      <c r="S138" s="531"/>
      <c r="T138" s="531"/>
      <c r="U138" s="1"/>
      <c r="V138" s="1"/>
      <c r="W138" s="531"/>
      <c r="X138" s="1"/>
      <c r="Y138" s="53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row>
    <row r="139" spans="1:256">
      <c r="A139" s="1"/>
      <c r="B139" s="1"/>
      <c r="C139" s="6" t="s">
        <v>91</v>
      </c>
      <c r="D139" s="352" t="s">
        <v>564</v>
      </c>
      <c r="E139" s="1"/>
      <c r="F139" s="1"/>
      <c r="G139" s="14"/>
      <c r="H139" s="61"/>
      <c r="J139" s="1"/>
      <c r="K139" s="940">
        <f>K28</f>
        <v>206687913</v>
      </c>
      <c r="L139" s="1"/>
      <c r="M139" s="61"/>
      <c r="N139" s="61"/>
      <c r="O139" s="1"/>
      <c r="P139" s="1"/>
      <c r="Q139" s="1"/>
      <c r="R139" s="1"/>
      <c r="S139" s="531"/>
      <c r="T139" s="531"/>
      <c r="U139" s="1"/>
      <c r="V139" s="1"/>
      <c r="W139" s="531"/>
      <c r="X139" s="1"/>
      <c r="Y139" s="53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row>
    <row r="140" spans="1:256">
      <c r="A140" s="1"/>
      <c r="B140" s="1"/>
      <c r="C140" s="6" t="s">
        <v>94</v>
      </c>
      <c r="D140" s="352" t="s">
        <v>565</v>
      </c>
      <c r="E140" s="1"/>
      <c r="F140" s="1"/>
      <c r="G140" s="14"/>
      <c r="H140" s="61"/>
      <c r="J140" s="1"/>
      <c r="K140" s="940">
        <f>K131</f>
        <v>-3032087</v>
      </c>
      <c r="L140" s="1"/>
      <c r="M140" s="61"/>
      <c r="N140" s="61"/>
      <c r="O140" s="1"/>
      <c r="P140" s="1"/>
      <c r="Q140" s="1"/>
      <c r="R140" s="1"/>
      <c r="S140" s="531"/>
      <c r="T140" s="531"/>
      <c r="U140" s="1"/>
      <c r="V140" s="1"/>
      <c r="W140" s="531"/>
      <c r="X140" s="1"/>
      <c r="Y140" s="53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row>
    <row r="141" spans="1:256">
      <c r="A141" s="1"/>
      <c r="B141" s="1"/>
      <c r="C141" s="6" t="s">
        <v>96</v>
      </c>
      <c r="D141" s="352" t="s">
        <v>566</v>
      </c>
      <c r="E141" s="1"/>
      <c r="F141" s="1"/>
      <c r="G141" s="14"/>
      <c r="H141" s="61"/>
      <c r="J141" s="531"/>
      <c r="K141" s="940">
        <f>K36+K42</f>
        <v>62337576.074880004</v>
      </c>
      <c r="L141" s="1"/>
      <c r="M141" s="61">
        <f>M36+M42</f>
        <v>1620763.49741389</v>
      </c>
      <c r="N141" s="61">
        <f>N36+N42</f>
        <v>60716812.5774661</v>
      </c>
      <c r="O141" s="125" t="s">
        <v>157</v>
      </c>
      <c r="P141" s="1">
        <f>K141-M141-N141</f>
        <v>0</v>
      </c>
      <c r="Q141" s="1"/>
      <c r="R141" s="1"/>
      <c r="S141" s="531"/>
      <c r="T141" s="531"/>
      <c r="U141" s="1"/>
      <c r="V141" s="1"/>
      <c r="W141" s="531"/>
      <c r="X141" s="1"/>
      <c r="Y141" s="53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row>
    <row r="142" spans="1:256">
      <c r="A142" s="1"/>
      <c r="B142" s="1"/>
      <c r="C142" s="796" t="s">
        <v>567</v>
      </c>
      <c r="D142" s="352" t="s">
        <v>568</v>
      </c>
      <c r="E142" s="1"/>
      <c r="F142" s="1"/>
      <c r="G142" s="14"/>
      <c r="H142" s="61"/>
      <c r="J142" s="1"/>
      <c r="K142" s="940">
        <f>K47+K52</f>
        <v>514977.51522454544</v>
      </c>
      <c r="L142" s="1"/>
      <c r="M142" s="61">
        <f>M45+M52</f>
        <v>13080.271438982927</v>
      </c>
      <c r="N142" s="61">
        <f>N45+N52</f>
        <v>347152.41313101712</v>
      </c>
      <c r="O142" s="125" t="s">
        <v>157</v>
      </c>
      <c r="P142" s="1">
        <f>K142-M142-N142</f>
        <v>154744.8306545454</v>
      </c>
      <c r="Q142" s="146" t="s">
        <v>207</v>
      </c>
      <c r="R142" s="1"/>
      <c r="S142" s="531"/>
      <c r="T142" s="531"/>
      <c r="U142" s="1"/>
      <c r="V142" s="1"/>
      <c r="W142" s="531"/>
      <c r="X142" s="1"/>
      <c r="Y142" s="53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row>
    <row r="143" spans="1:256">
      <c r="A143" s="1"/>
      <c r="B143" s="1"/>
      <c r="C143" s="796" t="s">
        <v>569</v>
      </c>
      <c r="D143" s="352" t="s">
        <v>570</v>
      </c>
      <c r="E143" s="1"/>
      <c r="F143" s="1"/>
      <c r="G143" s="14"/>
      <c r="H143" s="61"/>
      <c r="J143" s="1"/>
      <c r="K143" s="940">
        <f>K79</f>
        <v>16725058.068119999</v>
      </c>
      <c r="L143" s="1"/>
      <c r="M143" s="61">
        <f>M79</f>
        <v>434847.89296868327</v>
      </c>
      <c r="N143" s="61">
        <f>N79</f>
        <v>16290210.175151316</v>
      </c>
      <c r="O143" s="125" t="s">
        <v>157</v>
      </c>
      <c r="P143" s="1">
        <f>K143-M143-N143</f>
        <v>0</v>
      </c>
      <c r="Q143" s="1"/>
      <c r="R143" s="1"/>
      <c r="S143" s="531"/>
      <c r="T143" s="531"/>
      <c r="U143" s="1"/>
      <c r="V143" s="1"/>
      <c r="W143" s="531"/>
      <c r="X143" s="1"/>
      <c r="Y143" s="53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row>
    <row r="144" spans="1:256">
      <c r="A144" s="1"/>
      <c r="B144" s="1"/>
      <c r="C144" s="796" t="s">
        <v>571</v>
      </c>
      <c r="D144" s="352" t="s">
        <v>572</v>
      </c>
      <c r="E144" s="1"/>
      <c r="F144" s="1"/>
      <c r="G144" s="14"/>
      <c r="H144" s="61"/>
      <c r="J144" s="1"/>
      <c r="K144" s="940">
        <f>K88</f>
        <v>570236.85868999991</v>
      </c>
      <c r="L144" s="1"/>
      <c r="M144" s="61"/>
      <c r="N144" s="61"/>
      <c r="O144" s="1"/>
      <c r="P144" s="1"/>
      <c r="Q144" s="1"/>
      <c r="R144" s="1"/>
      <c r="S144" s="531"/>
      <c r="T144" s="531"/>
      <c r="U144" s="1"/>
      <c r="V144" s="1"/>
      <c r="W144" s="531"/>
      <c r="X144" s="1"/>
      <c r="Y144" s="53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row>
    <row r="145" spans="1:256">
      <c r="A145" s="1"/>
      <c r="B145" s="1"/>
      <c r="C145" s="796" t="s">
        <v>573</v>
      </c>
      <c r="D145" s="352" t="s">
        <v>574</v>
      </c>
      <c r="E145" s="1"/>
      <c r="F145" s="1"/>
      <c r="G145" s="14"/>
      <c r="H145" s="61"/>
      <c r="J145" s="1"/>
      <c r="K145" s="940">
        <f>K63</f>
        <v>3045913</v>
      </c>
      <c r="L145" s="1"/>
      <c r="M145" s="61">
        <f>M63</f>
        <v>110598.9837293203</v>
      </c>
      <c r="N145" s="61">
        <f>N63</f>
        <v>2935314.0162706799</v>
      </c>
      <c r="O145" s="125" t="s">
        <v>157</v>
      </c>
      <c r="P145" s="1">
        <f>K145-M145-N145</f>
        <v>0</v>
      </c>
      <c r="Q145" s="1"/>
      <c r="R145" s="1"/>
      <c r="S145" s="531"/>
      <c r="T145" s="531"/>
      <c r="U145" s="1"/>
      <c r="V145" s="1"/>
      <c r="W145" s="531"/>
      <c r="X145" s="1"/>
      <c r="Y145" s="53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row>
    <row r="146" spans="1:256">
      <c r="A146" s="1"/>
      <c r="B146" s="1"/>
      <c r="C146" s="796" t="s">
        <v>575</v>
      </c>
      <c r="D146" s="352" t="s">
        <v>576</v>
      </c>
      <c r="E146" s="1"/>
      <c r="F146" s="1"/>
      <c r="G146" s="14"/>
      <c r="H146" s="61"/>
      <c r="J146" s="1"/>
      <c r="K146" s="940">
        <f>K106</f>
        <v>3534015.1026375</v>
      </c>
      <c r="L146" s="1"/>
      <c r="M146" s="61"/>
      <c r="N146" s="61"/>
      <c r="O146" s="1"/>
      <c r="P146" s="1"/>
      <c r="Q146" s="1"/>
      <c r="R146" s="1"/>
      <c r="S146" s="531"/>
      <c r="T146" s="531"/>
      <c r="U146" s="1"/>
      <c r="V146" s="1"/>
      <c r="W146" s="531"/>
      <c r="X146" s="1"/>
      <c r="Y146" s="53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row>
    <row r="147" spans="1:256" ht="12" thickBot="1">
      <c r="A147" s="1"/>
      <c r="B147" s="1"/>
      <c r="C147" s="1"/>
      <c r="D147" s="1"/>
      <c r="E147" s="352" t="s">
        <v>1</v>
      </c>
      <c r="F147" s="1"/>
      <c r="G147" s="129"/>
      <c r="H147" s="25"/>
      <c r="I147" s="1"/>
      <c r="J147" s="1"/>
      <c r="K147" s="976">
        <f>SUM(K138:K146)</f>
        <v>660585307.06249499</v>
      </c>
      <c r="L147" s="1"/>
      <c r="M147" s="898">
        <f>M136+M137+M141+M142+M143+M145</f>
        <v>2695258.326129952</v>
      </c>
      <c r="N147" s="898">
        <f>N136+N137+N141+N142+N143+N145</f>
        <v>96522577.160240039</v>
      </c>
      <c r="O147" s="125" t="s">
        <v>157</v>
      </c>
      <c r="P147" s="1"/>
      <c r="Q147" s="1"/>
      <c r="R147" s="1"/>
      <c r="S147" s="531"/>
      <c r="T147" s="531"/>
      <c r="U147" s="1"/>
      <c r="V147" s="1"/>
      <c r="W147" s="531"/>
      <c r="X147" s="1"/>
      <c r="Y147" s="53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row>
    <row r="148" spans="1:256" ht="12" thickTop="1">
      <c r="A148" s="1"/>
      <c r="B148" s="1"/>
      <c r="C148" s="1"/>
      <c r="D148" s="1"/>
      <c r="E148" s="1"/>
      <c r="F148" s="1"/>
      <c r="G148" s="1"/>
      <c r="H148" s="1"/>
      <c r="I148" s="1"/>
      <c r="J148" s="1"/>
      <c r="K148" s="977" t="s">
        <v>1</v>
      </c>
      <c r="L148" s="95"/>
      <c r="M148" s="95" t="s">
        <v>166</v>
      </c>
      <c r="N148" s="95" t="s">
        <v>118</v>
      </c>
      <c r="O148" s="1"/>
      <c r="P148" s="1"/>
      <c r="Q148" s="1"/>
      <c r="R148" s="1"/>
      <c r="S148" s="531"/>
      <c r="T148" s="531"/>
      <c r="U148" s="1"/>
      <c r="V148" s="1"/>
      <c r="W148" s="531"/>
      <c r="X148" s="1"/>
      <c r="Y148" s="53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row>
    <row r="149" spans="1:256" ht="12.75">
      <c r="A149" s="125"/>
      <c r="B149" s="9"/>
      <c r="C149" s="10"/>
      <c r="D149" s="1"/>
      <c r="E149" s="1"/>
      <c r="F149" s="1"/>
      <c r="G149" s="1"/>
      <c r="H149" s="1"/>
      <c r="I149" s="1"/>
      <c r="J149" s="1"/>
      <c r="K149" s="978">
        <f>K20+K28+K71+K90+K106+K131-K122</f>
        <v>660585307.06249499</v>
      </c>
      <c r="L149" s="62"/>
      <c r="M149" s="936">
        <f>M20+M28+M71+M90+M106+M131-M122</f>
        <v>23078858.204070494</v>
      </c>
      <c r="N149" s="936">
        <f>N20+N28+N71+N90+N106+N131-N122</f>
        <v>637506448.85842443</v>
      </c>
      <c r="O149" s="1">
        <f>637506430-N149</f>
        <v>-18.858424425125122</v>
      </c>
      <c r="P149" s="1"/>
      <c r="Q149" s="1"/>
      <c r="R149" s="1"/>
      <c r="S149" s="531"/>
      <c r="T149" s="531"/>
      <c r="U149" s="1"/>
      <c r="V149" s="1"/>
      <c r="W149" s="531"/>
      <c r="X149" s="1"/>
      <c r="Y149" s="531"/>
      <c r="Z149" s="1"/>
      <c r="AA149" s="1"/>
      <c r="AB149" s="1">
        <f>AB13+AB17+AB71+AB79</f>
        <v>60216591.570165411</v>
      </c>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row>
    <row r="150" spans="1:256">
      <c r="A150" s="1"/>
      <c r="B150" s="1"/>
      <c r="C150" s="6" t="s">
        <v>13</v>
      </c>
      <c r="D150" s="1" t="s">
        <v>99</v>
      </c>
      <c r="E150" s="1"/>
      <c r="F150" s="1"/>
      <c r="G150" s="1"/>
      <c r="H150" s="1"/>
      <c r="I150" s="1"/>
      <c r="J150" s="1"/>
      <c r="K150" s="61">
        <f>K7</f>
        <v>110787566</v>
      </c>
      <c r="L150" s="61"/>
      <c r="M150" s="61">
        <f>M7</f>
        <v>4022765</v>
      </c>
      <c r="N150" s="61">
        <f>N7</f>
        <v>106764801</v>
      </c>
      <c r="O150" s="1"/>
      <c r="P150" s="1"/>
      <c r="Q150" s="1"/>
      <c r="R150" s="1"/>
      <c r="S150" s="531"/>
      <c r="T150" s="531"/>
      <c r="U150" s="1"/>
      <c r="V150" s="1"/>
      <c r="W150" s="531"/>
      <c r="X150" s="1"/>
      <c r="Y150" s="53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row>
    <row r="151" spans="1:256">
      <c r="A151" s="1"/>
      <c r="B151" s="1"/>
      <c r="C151" s="6" t="s">
        <v>22</v>
      </c>
      <c r="D151" s="1" t="s">
        <v>100</v>
      </c>
      <c r="E151" s="1"/>
      <c r="F151" s="1"/>
      <c r="G151" s="1"/>
      <c r="H151" s="1"/>
      <c r="I151" s="1"/>
      <c r="J151" s="1"/>
      <c r="K151" s="65">
        <f>K149/K150</f>
        <v>5.962630382749766</v>
      </c>
      <c r="L151" s="65"/>
      <c r="M151" s="65">
        <f>M149/M150</f>
        <v>5.7370634884390448</v>
      </c>
      <c r="N151" s="65">
        <f>N149/N150</f>
        <v>5.9711294629624652</v>
      </c>
      <c r="O151" s="1"/>
      <c r="P151" s="1"/>
      <c r="Q151" s="1"/>
      <c r="R151" s="1"/>
      <c r="S151" s="531"/>
      <c r="T151" s="531"/>
      <c r="U151" s="1"/>
      <c r="V151" s="1"/>
      <c r="W151" s="531"/>
      <c r="X151" s="1"/>
      <c r="Y151" s="53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row>
    <row r="152" spans="1:256">
      <c r="A152" s="1"/>
      <c r="B152" s="1"/>
      <c r="C152" s="1"/>
      <c r="D152" s="1"/>
      <c r="E152" s="1"/>
      <c r="F152" s="1"/>
      <c r="G152" s="1"/>
      <c r="H152" s="1"/>
      <c r="I152" s="1"/>
      <c r="J152" s="1"/>
      <c r="K152" s="1"/>
      <c r="L152" s="1"/>
      <c r="M152" s="1"/>
      <c r="N152" s="1"/>
      <c r="O152" s="1"/>
      <c r="P152" s="1"/>
      <c r="Q152" s="1"/>
      <c r="R152" s="1"/>
      <c r="S152" s="531"/>
      <c r="T152" s="531"/>
      <c r="U152" s="1"/>
      <c r="V152" s="1"/>
      <c r="W152" s="531"/>
      <c r="X152" s="1"/>
      <c r="Y152" s="53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row>
    <row r="153" spans="1:256">
      <c r="A153" s="1"/>
      <c r="B153" s="1"/>
      <c r="C153" s="1"/>
      <c r="D153" s="1"/>
      <c r="E153" s="1"/>
      <c r="F153" s="1"/>
      <c r="G153" s="1"/>
      <c r="H153" s="1"/>
      <c r="I153" s="1"/>
      <c r="J153" s="1"/>
      <c r="K153" s="1"/>
      <c r="L153" s="1"/>
      <c r="M153" s="1"/>
      <c r="N153" s="1">
        <f>N149-423026-585000</f>
        <v>636498422.85842443</v>
      </c>
      <c r="O153" s="1"/>
      <c r="P153" s="1"/>
      <c r="Q153" s="1"/>
      <c r="R153" s="1"/>
      <c r="S153" s="531"/>
      <c r="T153" s="531"/>
      <c r="U153" s="1"/>
      <c r="V153" s="1"/>
      <c r="W153" s="531"/>
      <c r="X153" s="1"/>
      <c r="Y153" s="53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row>
    <row r="154" spans="1:256">
      <c r="A154" s="1"/>
      <c r="B154" s="1"/>
      <c r="C154" s="1"/>
      <c r="D154" s="1"/>
      <c r="E154" s="1"/>
      <c r="F154" s="1"/>
      <c r="G154" s="1"/>
      <c r="H154" s="1"/>
      <c r="I154" s="1"/>
      <c r="J154" s="1"/>
      <c r="K154" s="1"/>
      <c r="L154" s="1"/>
      <c r="M154" s="1"/>
      <c r="N154" s="1"/>
      <c r="O154" s="1"/>
      <c r="P154" s="1"/>
      <c r="Q154" s="1"/>
      <c r="R154" s="1"/>
      <c r="S154" s="531"/>
      <c r="T154" s="531"/>
      <c r="U154" s="1"/>
      <c r="V154" s="1"/>
      <c r="W154" s="531"/>
      <c r="X154" s="1"/>
      <c r="Y154" s="53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row>
    <row r="155" spans="1:256">
      <c r="A155" s="1"/>
      <c r="B155" s="1"/>
      <c r="C155" s="1"/>
      <c r="D155" s="1"/>
      <c r="E155" s="1"/>
      <c r="F155" s="1"/>
      <c r="G155" s="1"/>
      <c r="H155" s="1"/>
      <c r="I155" s="1"/>
      <c r="J155" s="1"/>
      <c r="K155" s="1"/>
      <c r="L155" s="1"/>
      <c r="M155" s="1"/>
      <c r="N155" s="1"/>
      <c r="O155" s="1"/>
      <c r="P155" s="1"/>
      <c r="Q155" s="1"/>
      <c r="R155" s="1"/>
      <c r="S155" s="531"/>
      <c r="T155" s="531"/>
      <c r="U155" s="1"/>
      <c r="V155" s="1"/>
      <c r="W155" s="531"/>
      <c r="X155" s="1"/>
      <c r="Y155" s="53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row>
    <row r="156" spans="1:256" ht="12.75">
      <c r="A156" s="1"/>
      <c r="B156" s="10" t="s">
        <v>101</v>
      </c>
      <c r="C156" s="1"/>
      <c r="D156" s="1"/>
      <c r="E156" s="1"/>
      <c r="F156" s="1"/>
      <c r="G156" s="17" t="s">
        <v>102</v>
      </c>
      <c r="H156" s="17" t="s">
        <v>103</v>
      </c>
      <c r="I156" s="17" t="s">
        <v>19</v>
      </c>
      <c r="J156" s="1"/>
      <c r="K156" s="1"/>
      <c r="L156" s="1"/>
      <c r="M156" s="1"/>
      <c r="N156" s="1"/>
      <c r="O156" s="1"/>
      <c r="P156" s="1"/>
      <c r="Q156" s="1"/>
      <c r="R156" s="1"/>
      <c r="S156" s="531"/>
      <c r="T156" s="531"/>
      <c r="U156" s="1"/>
      <c r="V156" s="1"/>
      <c r="W156" s="531"/>
      <c r="X156" s="1"/>
      <c r="Y156" s="53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row>
    <row r="157" spans="1:256">
      <c r="A157" s="1"/>
      <c r="B157" s="1"/>
      <c r="C157" s="6" t="s">
        <v>13</v>
      </c>
      <c r="D157" s="352" t="s">
        <v>686</v>
      </c>
      <c r="E157" s="1"/>
      <c r="F157" s="1"/>
      <c r="G157" s="1"/>
      <c r="H157" s="1"/>
      <c r="I157" s="62">
        <f>N149</f>
        <v>637506448.85842443</v>
      </c>
      <c r="J157" s="1"/>
      <c r="K157" s="1"/>
      <c r="L157" s="1"/>
      <c r="M157" s="1"/>
      <c r="N157" s="1"/>
      <c r="O157" s="1"/>
      <c r="P157" s="1"/>
      <c r="Q157" s="1"/>
      <c r="R157" s="1"/>
      <c r="S157" s="531"/>
      <c r="T157" s="531"/>
      <c r="U157" s="1"/>
      <c r="V157" s="1"/>
      <c r="W157" s="531"/>
      <c r="X157" s="1"/>
      <c r="Y157" s="53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row>
    <row r="158" spans="1:256">
      <c r="A158" s="1"/>
      <c r="B158" s="1"/>
      <c r="C158" s="6" t="s">
        <v>22</v>
      </c>
      <c r="D158" s="1" t="s">
        <v>104</v>
      </c>
      <c r="E158" s="1"/>
      <c r="F158" s="1"/>
      <c r="G158" s="96">
        <f>Rates!H41</f>
        <v>0</v>
      </c>
      <c r="H158" s="99">
        <f>Rates!G41</f>
        <v>0</v>
      </c>
      <c r="I158" s="62">
        <f>-H158*G158</f>
        <v>0</v>
      </c>
      <c r="J158" s="1"/>
      <c r="K158" s="1"/>
      <c r="L158" s="1"/>
      <c r="M158" s="1"/>
      <c r="N158" s="1"/>
      <c r="O158" s="1"/>
      <c r="P158" s="1"/>
      <c r="Q158" s="1"/>
      <c r="R158" s="1"/>
      <c r="S158" s="531"/>
      <c r="T158" s="531"/>
      <c r="U158" s="1"/>
      <c r="V158" s="1"/>
      <c r="W158" s="531"/>
      <c r="X158" s="1"/>
      <c r="Y158" s="53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row>
    <row r="159" spans="1:256">
      <c r="A159" s="1"/>
      <c r="B159" s="1"/>
      <c r="C159" s="6" t="s">
        <v>30</v>
      </c>
      <c r="D159" s="21" t="s">
        <v>105</v>
      </c>
      <c r="E159" s="1"/>
      <c r="F159" s="1"/>
      <c r="G159" s="96">
        <f>Rates!H42</f>
        <v>0</v>
      </c>
      <c r="H159" s="98">
        <f>Rates!G42</f>
        <v>0</v>
      </c>
      <c r="I159" s="62">
        <f>-H159*G159</f>
        <v>0</v>
      </c>
      <c r="J159" s="16"/>
      <c r="K159" s="1">
        <f>K149-K20</f>
        <v>268231798.48523217</v>
      </c>
      <c r="L159" s="1"/>
      <c r="M159" s="1"/>
      <c r="N159" s="434"/>
      <c r="O159" s="1"/>
      <c r="P159" s="1"/>
      <c r="Q159" s="1"/>
      <c r="R159" s="1"/>
      <c r="S159" s="531"/>
      <c r="T159" s="531"/>
      <c r="U159" s="1"/>
      <c r="V159" s="1"/>
      <c r="W159" s="531"/>
      <c r="X159" s="1"/>
      <c r="Y159" s="53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row>
    <row r="160" spans="1:256">
      <c r="A160" s="1"/>
      <c r="B160" s="1"/>
      <c r="C160" s="6" t="s">
        <v>85</v>
      </c>
      <c r="D160" s="16" t="s">
        <v>106</v>
      </c>
      <c r="E160" s="1"/>
      <c r="F160" s="1"/>
      <c r="G160" s="97">
        <f>Rates!H43</f>
        <v>2631447</v>
      </c>
      <c r="H160" s="98">
        <f>Rates!G43</f>
        <v>4.7891700000000004</v>
      </c>
      <c r="I160" s="100">
        <f>-H160*G160</f>
        <v>-12602447.02899</v>
      </c>
      <c r="J160" s="16"/>
      <c r="K160" s="1"/>
      <c r="L160" s="1"/>
      <c r="M160" s="1"/>
      <c r="N160" s="1"/>
      <c r="O160" s="1"/>
      <c r="P160" s="1"/>
      <c r="Q160" s="1"/>
      <c r="R160" s="1"/>
      <c r="S160" s="531"/>
      <c r="T160" s="531"/>
      <c r="U160" s="1"/>
      <c r="V160" s="1"/>
      <c r="W160" s="531"/>
      <c r="X160" s="1"/>
      <c r="Y160" s="53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row>
    <row r="161" spans="1:256">
      <c r="A161" s="6"/>
      <c r="B161" s="1"/>
      <c r="C161" s="1"/>
      <c r="D161" s="1" t="s">
        <v>107</v>
      </c>
      <c r="E161" s="1"/>
      <c r="F161" s="1"/>
      <c r="G161" s="21"/>
      <c r="H161" s="1"/>
      <c r="I161" s="62">
        <f>SUM(I157:I160)</f>
        <v>624904001.82943439</v>
      </c>
      <c r="J161" s="1"/>
      <c r="K161" s="1"/>
      <c r="L161" s="1"/>
      <c r="M161" s="1"/>
      <c r="N161" s="1"/>
      <c r="O161" s="1"/>
      <c r="P161" s="1"/>
      <c r="Q161" s="1"/>
      <c r="R161" s="1"/>
      <c r="S161" s="531"/>
      <c r="T161" s="531"/>
      <c r="U161" s="1"/>
      <c r="V161" s="1"/>
      <c r="W161" s="531"/>
      <c r="X161" s="1"/>
      <c r="Y161" s="53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row>
  </sheetData>
  <phoneticPr fontId="17" type="noConversion"/>
  <printOptions horizontalCentered="1"/>
  <pageMargins left="0.5" right="0.5" top="0.75" bottom="0.75" header="0.5" footer="0.5"/>
  <pageSetup scale="81" fitToHeight="2" orientation="portrait" horizontalDpi="300" verticalDpi="300" r:id="rId1"/>
  <headerFooter alignWithMargins="0">
    <oddFooter>&amp;L&amp;D&amp;C&amp;P&amp;R&amp;A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autoPageBreaks="0"/>
  </sheetPr>
  <dimension ref="A2:AE152"/>
  <sheetViews>
    <sheetView showOutlineSymbols="0" zoomScaleNormal="100" workbookViewId="0">
      <selection activeCell="L8" sqref="L8"/>
    </sheetView>
  </sheetViews>
  <sheetFormatPr defaultColWidth="13.6640625" defaultRowHeight="11.25"/>
  <cols>
    <col min="1" max="5" width="4.6640625" style="1" customWidth="1"/>
    <col min="6" max="6" width="21" style="1" customWidth="1"/>
    <col min="7" max="7" width="16" style="15" bestFit="1" customWidth="1"/>
    <col min="8" max="8" width="15.6640625" style="1" customWidth="1"/>
    <col min="9" max="9" width="13.6640625" style="1" customWidth="1"/>
    <col min="10" max="10" width="15.5" style="28" customWidth="1"/>
    <col min="11" max="11" width="14.83203125" style="28" customWidth="1"/>
    <col min="12" max="12" width="13.6640625" style="19" customWidth="1"/>
    <col min="13" max="16" width="13.6640625" style="1"/>
    <col min="17" max="17" width="15.1640625" style="1" customWidth="1"/>
    <col min="18" max="18" width="14.6640625" style="1" customWidth="1"/>
    <col min="19" max="19" width="15" style="1" customWidth="1"/>
    <col min="20" max="20" width="13.6640625" style="1"/>
    <col min="21" max="21" width="19.33203125" style="1" customWidth="1"/>
    <col min="22" max="22" width="15.1640625" style="1" customWidth="1"/>
    <col min="23" max="16384" width="13.6640625" style="1"/>
  </cols>
  <sheetData>
    <row r="2" spans="1:18" ht="12.75">
      <c r="A2" s="29" t="s">
        <v>0</v>
      </c>
      <c r="J2" s="345"/>
      <c r="K2" s="346" t="s">
        <v>305</v>
      </c>
      <c r="R2" s="352"/>
    </row>
    <row r="3" spans="1:18" ht="12.75">
      <c r="A3" s="29" t="s">
        <v>4</v>
      </c>
      <c r="J3" s="821"/>
      <c r="K3" s="822" t="s">
        <v>582</v>
      </c>
    </row>
    <row r="4" spans="1:18" ht="12.75">
      <c r="A4" s="3" t="str">
        <f>Costs!A4</f>
        <v>Docket No. 12-057-08</v>
      </c>
      <c r="Q4" s="352"/>
      <c r="R4" s="352"/>
    </row>
    <row r="5" spans="1:18" ht="12.75">
      <c r="A5" s="122" t="str">
        <f>Costs!A5</f>
        <v>Filed August 1, 2012 for Rates Effective September 1, 2012.</v>
      </c>
      <c r="R5" s="352"/>
    </row>
    <row r="6" spans="1:18">
      <c r="A6" s="121"/>
    </row>
    <row r="7" spans="1:18">
      <c r="Q7" s="352"/>
      <c r="R7" s="352"/>
    </row>
    <row r="8" spans="1:18">
      <c r="Q8" s="352"/>
      <c r="R8" s="352"/>
    </row>
    <row r="9" spans="1:18" ht="12.75">
      <c r="A9" s="30" t="s">
        <v>108</v>
      </c>
      <c r="B9" s="31" t="s">
        <v>259</v>
      </c>
      <c r="Q9" s="352"/>
      <c r="R9" s="352"/>
    </row>
    <row r="10" spans="1:18">
      <c r="Q10" s="352"/>
      <c r="R10" s="352"/>
    </row>
    <row r="11" spans="1:18" ht="12.75">
      <c r="B11" s="30" t="s">
        <v>11</v>
      </c>
      <c r="C11" s="31" t="s">
        <v>109</v>
      </c>
      <c r="J11" s="61"/>
      <c r="Q11" s="352"/>
      <c r="R11" s="352"/>
    </row>
    <row r="12" spans="1:18" ht="12.75">
      <c r="B12" s="31"/>
      <c r="C12" s="31"/>
      <c r="J12" s="61"/>
      <c r="Q12" s="352"/>
      <c r="R12" s="352"/>
    </row>
    <row r="13" spans="1:18">
      <c r="C13" s="6" t="s">
        <v>13</v>
      </c>
      <c r="D13" s="1" t="s">
        <v>110</v>
      </c>
      <c r="J13" s="353" t="s">
        <v>677</v>
      </c>
      <c r="K13" s="279" t="s">
        <v>162</v>
      </c>
    </row>
    <row r="14" spans="1:18">
      <c r="A14" s="534"/>
      <c r="B14" s="531"/>
      <c r="C14" s="531"/>
      <c r="D14" s="6" t="s">
        <v>20</v>
      </c>
      <c r="E14" s="1" t="s">
        <v>41</v>
      </c>
      <c r="G14" s="62">
        <f>G17-SUM(G15:G16)</f>
        <v>538708783.96914887</v>
      </c>
      <c r="H14" s="72"/>
      <c r="I14" s="62"/>
      <c r="J14" s="819">
        <v>463013896.52594632</v>
      </c>
      <c r="K14" s="62">
        <f>G14-J14</f>
        <v>75694887.443202555</v>
      </c>
      <c r="L14" s="955"/>
    </row>
    <row r="15" spans="1:18">
      <c r="A15" s="534"/>
      <c r="B15" s="531"/>
      <c r="C15" s="531"/>
      <c r="D15" s="6" t="s">
        <v>21</v>
      </c>
      <c r="E15" s="125" t="s">
        <v>288</v>
      </c>
      <c r="G15" s="75">
        <v>0</v>
      </c>
      <c r="H15" s="236" t="s">
        <v>246</v>
      </c>
      <c r="I15" s="62"/>
      <c r="J15" s="819">
        <v>0</v>
      </c>
      <c r="K15" s="62">
        <f>G15-J15</f>
        <v>0</v>
      </c>
      <c r="L15" s="955"/>
    </row>
    <row r="16" spans="1:18">
      <c r="A16" s="531"/>
      <c r="B16" s="531"/>
      <c r="C16" s="531"/>
      <c r="D16" s="141" t="s">
        <v>38</v>
      </c>
      <c r="E16" s="32" t="s">
        <v>111</v>
      </c>
      <c r="F16" s="32"/>
      <c r="G16" s="124">
        <f>Costs!N36+Costs!N42+Costs!N45+Costs!N52+Costs!N57+Costs!N64+Costs!N79</f>
        <v>98797664.889275551</v>
      </c>
      <c r="H16" s="939" t="s">
        <v>674</v>
      </c>
      <c r="I16" s="73"/>
      <c r="J16" s="820">
        <v>96204739.382861659</v>
      </c>
      <c r="K16" s="100">
        <f>G16-J16</f>
        <v>2592925.5064138919</v>
      </c>
      <c r="L16" s="955"/>
    </row>
    <row r="17" spans="1:31">
      <c r="A17" s="534"/>
      <c r="B17" s="531"/>
      <c r="C17" s="531"/>
      <c r="E17" s="1" t="s">
        <v>24</v>
      </c>
      <c r="G17" s="343">
        <f>Costs!N149</f>
        <v>637506448.85842443</v>
      </c>
      <c r="H17" s="236" t="s">
        <v>245</v>
      </c>
      <c r="I17" s="62"/>
      <c r="J17" s="62">
        <f>SUM(J14:J16)</f>
        <v>559218635.90880799</v>
      </c>
      <c r="K17" s="62">
        <f>SUM(K14:K16)</f>
        <v>78287812.949616447</v>
      </c>
      <c r="L17" s="955"/>
    </row>
    <row r="18" spans="1:31">
      <c r="E18" s="125" t="s">
        <v>428</v>
      </c>
      <c r="G18" s="62">
        <f>G17-(G14+G15+G16)</f>
        <v>0</v>
      </c>
      <c r="L18" s="955"/>
    </row>
    <row r="19" spans="1:31">
      <c r="C19" s="6" t="s">
        <v>22</v>
      </c>
      <c r="D19" s="1" t="s">
        <v>114</v>
      </c>
      <c r="G19" s="62"/>
      <c r="H19" s="74" t="s">
        <v>113</v>
      </c>
      <c r="I19" s="62" t="s">
        <v>112</v>
      </c>
      <c r="J19" s="1"/>
      <c r="L19" s="955"/>
    </row>
    <row r="20" spans="1:31">
      <c r="A20" s="534"/>
      <c r="B20" s="531"/>
      <c r="C20" s="531"/>
      <c r="D20" s="6" t="s">
        <v>20</v>
      </c>
      <c r="E20" s="1" t="s">
        <v>115</v>
      </c>
      <c r="G20" s="62">
        <f>G22-G21</f>
        <v>23288891</v>
      </c>
      <c r="H20" s="354"/>
      <c r="I20" s="355" t="s">
        <v>315</v>
      </c>
      <c r="J20" s="1"/>
      <c r="L20" s="963" t="s">
        <v>680</v>
      </c>
      <c r="M20" s="910"/>
      <c r="N20" s="910"/>
      <c r="O20" s="910"/>
      <c r="P20" s="910"/>
    </row>
    <row r="21" spans="1:31">
      <c r="A21" s="534"/>
      <c r="B21" s="531"/>
      <c r="C21" s="531"/>
      <c r="D21" s="6" t="s">
        <v>21</v>
      </c>
      <c r="E21" s="32" t="s">
        <v>111</v>
      </c>
      <c r="F21" s="32"/>
      <c r="G21" s="906">
        <v>-5896338</v>
      </c>
      <c r="H21" s="298"/>
      <c r="I21" s="298"/>
      <c r="J21" s="130" t="s">
        <v>169</v>
      </c>
      <c r="L21" s="963" t="s">
        <v>681</v>
      </c>
      <c r="M21" s="910"/>
      <c r="N21" s="910"/>
      <c r="O21" s="910"/>
      <c r="P21" s="910"/>
    </row>
    <row r="22" spans="1:31">
      <c r="A22" s="531"/>
      <c r="B22" s="531"/>
      <c r="C22" s="531"/>
      <c r="E22" s="1" t="s">
        <v>116</v>
      </c>
      <c r="G22" s="906">
        <f>20000000-2607447</f>
        <v>17392553</v>
      </c>
      <c r="H22" s="148" t="s">
        <v>209</v>
      </c>
      <c r="I22" s="256"/>
      <c r="L22" s="963" t="s">
        <v>682</v>
      </c>
      <c r="M22" s="910"/>
      <c r="N22" s="910"/>
      <c r="O22" s="910"/>
      <c r="P22" s="910"/>
    </row>
    <row r="23" spans="1:31">
      <c r="G23" s="62"/>
      <c r="H23" s="62"/>
      <c r="I23" s="236" t="s">
        <v>285</v>
      </c>
    </row>
    <row r="24" spans="1:31">
      <c r="G24" s="62"/>
      <c r="I24" s="125" t="s">
        <v>286</v>
      </c>
      <c r="J24" s="1"/>
      <c r="K24" s="62"/>
    </row>
    <row r="25" spans="1:31" ht="12.75">
      <c r="B25" s="30" t="s">
        <v>26</v>
      </c>
      <c r="C25" s="31" t="s">
        <v>117</v>
      </c>
      <c r="J25" s="1"/>
    </row>
    <row r="26" spans="1:31" ht="12.75">
      <c r="B26" s="31"/>
      <c r="C26" s="31"/>
      <c r="J26" s="1"/>
      <c r="AB26" s="352" t="s">
        <v>415</v>
      </c>
      <c r="AC26" s="18">
        <f>S61</f>
        <v>1.10168</v>
      </c>
      <c r="AE26" s="352" t="s">
        <v>428</v>
      </c>
    </row>
    <row r="27" spans="1:31" ht="12" thickBot="1">
      <c r="C27" s="6" t="s">
        <v>13</v>
      </c>
      <c r="D27" s="1" t="s">
        <v>118</v>
      </c>
      <c r="J27" s="1"/>
      <c r="AB27" s="352" t="s">
        <v>419</v>
      </c>
    </row>
    <row r="28" spans="1:31">
      <c r="A28" s="534"/>
      <c r="B28" s="531"/>
      <c r="D28" s="6" t="s">
        <v>20</v>
      </c>
      <c r="E28" s="1" t="s">
        <v>119</v>
      </c>
      <c r="G28" s="442">
        <f>'191 Sales Volumes '!P13</f>
        <v>104133354</v>
      </c>
      <c r="H28" s="125" t="s">
        <v>247</v>
      </c>
      <c r="J28" s="1"/>
      <c r="P28" s="398" t="s">
        <v>340</v>
      </c>
      <c r="Q28" s="385"/>
      <c r="R28" s="385"/>
      <c r="S28" s="385"/>
      <c r="T28" s="385"/>
      <c r="U28" s="385"/>
      <c r="V28" s="385"/>
      <c r="W28" s="385"/>
      <c r="X28" s="385"/>
      <c r="Y28" s="385"/>
      <c r="Z28" s="386"/>
      <c r="AB28" s="352" t="s">
        <v>416</v>
      </c>
      <c r="AC28" s="1">
        <f>G16-I62</f>
        <v>98322607.340140715</v>
      </c>
      <c r="AD28" s="1">
        <f>AC26*AC28</f>
        <v>108320050.05448622</v>
      </c>
    </row>
    <row r="29" spans="1:31">
      <c r="A29" s="531"/>
      <c r="B29" s="531"/>
      <c r="D29" s="6" t="s">
        <v>21</v>
      </c>
      <c r="E29" s="32" t="s">
        <v>120</v>
      </c>
      <c r="F29" s="32"/>
      <c r="G29" s="443">
        <f>'191 Sales Volumes '!P17</f>
        <v>2631447</v>
      </c>
      <c r="H29" s="125" t="s">
        <v>248</v>
      </c>
      <c r="J29" s="18"/>
      <c r="P29" s="387"/>
      <c r="Q29" s="388" t="s">
        <v>488</v>
      </c>
      <c r="R29" s="389"/>
      <c r="S29" s="389"/>
      <c r="T29" s="388" t="s">
        <v>429</v>
      </c>
      <c r="U29" s="389"/>
      <c r="V29" s="529" t="s">
        <v>413</v>
      </c>
      <c r="W29" s="389"/>
      <c r="X29" s="389"/>
      <c r="Y29" s="389"/>
      <c r="Z29" s="390"/>
      <c r="AB29" s="352" t="s">
        <v>417</v>
      </c>
    </row>
    <row r="30" spans="1:31">
      <c r="A30" s="531"/>
      <c r="B30" s="531"/>
      <c r="E30" s="1" t="s">
        <v>24</v>
      </c>
      <c r="G30" s="61">
        <f>G28+G29</f>
        <v>106764801</v>
      </c>
      <c r="J30" s="1"/>
      <c r="P30" s="387"/>
      <c r="Q30" s="389"/>
      <c r="R30" s="389"/>
      <c r="S30" s="389"/>
      <c r="T30" s="389"/>
      <c r="U30" s="389"/>
      <c r="V30" s="389"/>
      <c r="W30" s="389"/>
      <c r="X30" s="389"/>
      <c r="Y30" s="389"/>
      <c r="Z30" s="390"/>
      <c r="AB30" s="352" t="s">
        <v>418</v>
      </c>
      <c r="AC30" s="1">
        <f>H66-M62</f>
        <v>96700502.289805442</v>
      </c>
      <c r="AD30" s="18">
        <f>AD28/AC30</f>
        <v>1.1201601593532338</v>
      </c>
      <c r="AE30" s="1">
        <f>AD30-U61</f>
        <v>1.5935323371962795E-7</v>
      </c>
    </row>
    <row r="31" spans="1:31">
      <c r="A31" s="531"/>
      <c r="B31" s="531"/>
      <c r="G31" s="61"/>
      <c r="J31" s="1"/>
      <c r="L31" s="19">
        <f>39939011/99365711</f>
        <v>0.40193956846944917</v>
      </c>
      <c r="P31" s="387"/>
      <c r="Q31" s="389"/>
      <c r="R31" s="389"/>
      <c r="S31" s="388" t="s">
        <v>337</v>
      </c>
      <c r="T31" s="388" t="s">
        <v>338</v>
      </c>
      <c r="U31" s="388" t="s">
        <v>339</v>
      </c>
      <c r="V31" s="389"/>
      <c r="W31" s="389"/>
      <c r="X31" s="389"/>
      <c r="Y31" s="389"/>
      <c r="Z31" s="390"/>
    </row>
    <row r="32" spans="1:31" ht="12.75">
      <c r="A32" s="531"/>
      <c r="B32" s="531"/>
      <c r="C32" s="6" t="s">
        <v>22</v>
      </c>
      <c r="D32" s="1" t="s">
        <v>121</v>
      </c>
      <c r="G32" s="61"/>
      <c r="J32" s="1"/>
      <c r="L32" s="196"/>
      <c r="P32" s="387"/>
      <c r="Q32" s="389" t="s">
        <v>231</v>
      </c>
      <c r="R32" s="389" t="s">
        <v>134</v>
      </c>
      <c r="S32" s="444">
        <v>1.10168</v>
      </c>
      <c r="T32" s="444">
        <v>0</v>
      </c>
      <c r="U32" s="391">
        <f>S32+T32</f>
        <v>1.10168</v>
      </c>
      <c r="V32" s="389"/>
      <c r="W32" s="389"/>
      <c r="X32" s="389"/>
      <c r="Y32" s="389"/>
      <c r="Z32" s="390"/>
    </row>
    <row r="33" spans="1:26" ht="12.75">
      <c r="A33" s="531"/>
      <c r="B33" s="531"/>
      <c r="C33" s="6"/>
      <c r="D33" s="6" t="s">
        <v>20</v>
      </c>
      <c r="E33" s="1" t="s">
        <v>119</v>
      </c>
      <c r="G33" s="442">
        <f>'191 Sales Volumes '!P41</f>
        <v>3877748</v>
      </c>
      <c r="H33" s="125" t="s">
        <v>249</v>
      </c>
      <c r="J33" s="1"/>
      <c r="P33" s="387"/>
      <c r="Q33" s="389"/>
      <c r="R33" s="389" t="s">
        <v>137</v>
      </c>
      <c r="S33" s="444">
        <v>0.51724999999999999</v>
      </c>
      <c r="T33" s="444">
        <v>0</v>
      </c>
      <c r="U33" s="391">
        <f>S33+T33</f>
        <v>0.51724999999999999</v>
      </c>
      <c r="V33" s="389"/>
      <c r="W33" s="389"/>
      <c r="X33" s="389"/>
      <c r="Y33" s="389"/>
      <c r="Z33" s="390"/>
    </row>
    <row r="34" spans="1:26" ht="12.75">
      <c r="A34" s="531"/>
      <c r="B34" s="531"/>
      <c r="D34" s="6" t="s">
        <v>21</v>
      </c>
      <c r="E34" s="32" t="s">
        <v>120</v>
      </c>
      <c r="G34" s="443">
        <f>'191 Sales Volumes '!P45</f>
        <v>145017</v>
      </c>
      <c r="H34" s="125" t="s">
        <v>250</v>
      </c>
      <c r="J34" s="1"/>
      <c r="N34" s="18"/>
      <c r="P34" s="387"/>
      <c r="Q34" s="389" t="s">
        <v>316</v>
      </c>
      <c r="R34" s="389" t="s">
        <v>134</v>
      </c>
      <c r="S34" s="444">
        <v>1.0729900000000001</v>
      </c>
      <c r="T34" s="444">
        <v>0</v>
      </c>
      <c r="U34" s="391">
        <f t="shared" ref="U34:U39" si="0">S34+T34</f>
        <v>1.0729900000000001</v>
      </c>
      <c r="V34" s="389"/>
      <c r="W34" s="389"/>
      <c r="X34" s="389"/>
      <c r="Y34" s="389"/>
      <c r="Z34" s="390"/>
    </row>
    <row r="35" spans="1:26" ht="12.75">
      <c r="A35" s="531"/>
      <c r="B35" s="531"/>
      <c r="C35" s="6"/>
      <c r="E35" s="1" t="s">
        <v>24</v>
      </c>
      <c r="G35" s="61">
        <f>SUM(G33:G34)</f>
        <v>4022765</v>
      </c>
      <c r="J35" s="1">
        <f>+G35+G30</f>
        <v>110787566</v>
      </c>
      <c r="L35" s="352" t="s">
        <v>478</v>
      </c>
      <c r="M35" s="352"/>
      <c r="N35" s="751" t="s">
        <v>477</v>
      </c>
      <c r="P35" s="387"/>
      <c r="Q35" s="389"/>
      <c r="R35" s="389" t="s">
        <v>137</v>
      </c>
      <c r="S35" s="444">
        <v>0.51722999999999997</v>
      </c>
      <c r="T35" s="444">
        <v>0</v>
      </c>
      <c r="U35" s="391">
        <f t="shared" si="0"/>
        <v>0.51722999999999997</v>
      </c>
      <c r="V35" s="389"/>
      <c r="W35" s="389"/>
      <c r="X35" s="389"/>
      <c r="Y35" s="389"/>
      <c r="Z35" s="390"/>
    </row>
    <row r="36" spans="1:26" ht="12.75">
      <c r="A36" s="531"/>
      <c r="B36" s="531"/>
      <c r="N36" s="503">
        <f>((I66-I62)-(H66-M62))/(H66-M62)</f>
        <v>-4.4200731624486442E-2</v>
      </c>
      <c r="P36" s="387"/>
      <c r="Q36" s="389" t="s">
        <v>141</v>
      </c>
      <c r="R36" s="389"/>
      <c r="S36" s="444">
        <v>0</v>
      </c>
      <c r="T36" s="444">
        <v>0</v>
      </c>
      <c r="U36" s="391">
        <f t="shared" si="0"/>
        <v>0</v>
      </c>
      <c r="V36" s="389"/>
      <c r="W36" s="389"/>
      <c r="X36" s="389"/>
      <c r="Y36" s="389"/>
      <c r="Z36" s="390"/>
    </row>
    <row r="37" spans="1:26" ht="12.75">
      <c r="G37" s="1"/>
      <c r="M37" s="352" t="s">
        <v>407</v>
      </c>
      <c r="N37" s="753">
        <f>IF(N35="yes",'Seasonal Sales Volumes'!K8,0)</f>
        <v>0</v>
      </c>
      <c r="P37" s="387"/>
      <c r="Q37" s="389" t="s">
        <v>143</v>
      </c>
      <c r="R37" s="389"/>
      <c r="S37" s="444">
        <v>0.79500000000000004</v>
      </c>
      <c r="T37" s="444">
        <v>0</v>
      </c>
      <c r="U37" s="391">
        <f t="shared" si="0"/>
        <v>0.79500000000000004</v>
      </c>
      <c r="V37" s="389"/>
      <c r="W37" s="389"/>
      <c r="X37" s="389"/>
      <c r="Y37" s="389"/>
      <c r="Z37" s="390"/>
    </row>
    <row r="38" spans="1:26" ht="12.75">
      <c r="B38" s="30" t="s">
        <v>32</v>
      </c>
      <c r="C38" s="31" t="s">
        <v>122</v>
      </c>
      <c r="G38" s="34" t="s">
        <v>123</v>
      </c>
      <c r="H38" s="35" t="s">
        <v>124</v>
      </c>
      <c r="I38" s="35" t="s">
        <v>77</v>
      </c>
      <c r="J38" s="36" t="s">
        <v>125</v>
      </c>
      <c r="K38" s="36" t="s">
        <v>126</v>
      </c>
      <c r="L38" s="37" t="s">
        <v>127</v>
      </c>
      <c r="P38" s="387"/>
      <c r="Q38" s="392" t="s">
        <v>335</v>
      </c>
      <c r="R38" s="392"/>
      <c r="S38" s="444">
        <v>0.17984</v>
      </c>
      <c r="T38" s="444">
        <v>0</v>
      </c>
      <c r="U38" s="393">
        <f t="shared" si="0"/>
        <v>0.17984</v>
      </c>
      <c r="V38" s="389"/>
      <c r="W38" s="389"/>
      <c r="X38" s="389"/>
      <c r="Y38" s="389"/>
      <c r="Z38" s="390"/>
    </row>
    <row r="39" spans="1:26" ht="12.75">
      <c r="B39" s="31"/>
      <c r="C39" s="31"/>
      <c r="G39" s="33"/>
      <c r="H39" s="6"/>
      <c r="I39" s="32"/>
      <c r="J39" s="38"/>
      <c r="K39" s="38"/>
      <c r="L39" s="39"/>
      <c r="N39" s="553"/>
      <c r="P39" s="387"/>
      <c r="Q39" s="389" t="s">
        <v>336</v>
      </c>
      <c r="R39" s="389"/>
      <c r="S39" s="444">
        <v>0</v>
      </c>
      <c r="T39" s="444">
        <v>0</v>
      </c>
      <c r="U39" s="391">
        <f t="shared" si="0"/>
        <v>0</v>
      </c>
      <c r="V39" s="389"/>
      <c r="W39" s="389"/>
      <c r="X39" s="389"/>
      <c r="Y39" s="389"/>
      <c r="Z39" s="390"/>
    </row>
    <row r="40" spans="1:26">
      <c r="C40" s="6" t="s">
        <v>13</v>
      </c>
      <c r="D40" s="1" t="s">
        <v>41</v>
      </c>
      <c r="G40" s="156" t="s">
        <v>213</v>
      </c>
      <c r="H40" s="152"/>
      <c r="P40" s="387"/>
      <c r="Q40" s="389"/>
      <c r="R40" s="389"/>
      <c r="S40" s="389"/>
      <c r="T40" s="389"/>
      <c r="U40" s="389"/>
      <c r="V40" s="389"/>
      <c r="W40" s="389"/>
      <c r="X40" s="389"/>
      <c r="Y40" s="389"/>
      <c r="Z40" s="390"/>
    </row>
    <row r="41" spans="1:26">
      <c r="D41" s="6" t="s">
        <v>20</v>
      </c>
      <c r="E41" s="1" t="s">
        <v>128</v>
      </c>
      <c r="G41" s="310">
        <v>0</v>
      </c>
      <c r="H41" s="297">
        <v>0</v>
      </c>
      <c r="I41" s="62">
        <f>G41*H41</f>
        <v>0</v>
      </c>
      <c r="J41" s="814">
        <v>0</v>
      </c>
      <c r="K41" s="65">
        <f>G41-J41</f>
        <v>0</v>
      </c>
      <c r="L41" s="40" t="str">
        <f>IF(J41&gt;0,K41/J41,IF(J41&lt;0,K41/J41,"n.a."))</f>
        <v>n.a.</v>
      </c>
      <c r="M41" s="154"/>
      <c r="P41" s="387"/>
      <c r="Q41" s="389"/>
      <c r="R41" s="389"/>
      <c r="S41" s="389"/>
      <c r="T41" s="389"/>
      <c r="U41" s="389"/>
      <c r="V41" s="389"/>
      <c r="W41" s="389"/>
      <c r="X41" s="389"/>
      <c r="Y41" s="389"/>
      <c r="Z41" s="390"/>
    </row>
    <row r="42" spans="1:26">
      <c r="D42" s="6" t="s">
        <v>21</v>
      </c>
      <c r="E42" s="125" t="s">
        <v>258</v>
      </c>
      <c r="G42" s="64"/>
      <c r="H42" s="550">
        <v>0</v>
      </c>
      <c r="I42" s="62">
        <f>G42*H42</f>
        <v>0</v>
      </c>
      <c r="J42" s="815"/>
      <c r="K42" s="65">
        <f>G42-J42</f>
        <v>0</v>
      </c>
      <c r="L42" s="40" t="str">
        <f>IF(J42&gt;0,K42/J42,IF(J42&lt;0,K42/J42,"n.a."))</f>
        <v>n.a.</v>
      </c>
      <c r="M42" s="155" t="s">
        <v>187</v>
      </c>
      <c r="O42" s="531"/>
      <c r="P42" s="387"/>
      <c r="Q42" s="389"/>
      <c r="R42" s="389"/>
      <c r="S42" s="389"/>
      <c r="T42" s="389"/>
      <c r="U42" s="389"/>
      <c r="V42" s="389"/>
      <c r="W42" s="389"/>
      <c r="X42" s="389"/>
      <c r="Y42" s="389"/>
      <c r="Z42" s="390"/>
    </row>
    <row r="43" spans="1:26">
      <c r="A43" s="531"/>
      <c r="B43" s="531"/>
      <c r="D43" s="6" t="s">
        <v>38</v>
      </c>
      <c r="E43" s="1" t="s">
        <v>129</v>
      </c>
      <c r="G43" s="311">
        <v>4.7891700000000004</v>
      </c>
      <c r="H43" s="179">
        <f>G29</f>
        <v>2631447</v>
      </c>
      <c r="I43" s="62">
        <f>G43*H43</f>
        <v>12602447.02899</v>
      </c>
      <c r="J43" s="816">
        <v>3.7187700000000001</v>
      </c>
      <c r="K43" s="65">
        <f>G43-J43</f>
        <v>1.0704000000000002</v>
      </c>
      <c r="L43" s="40">
        <f>IF(J43&gt;0,K43/J43,IF(J43&lt;0,K43/J43,"n.a."))</f>
        <v>0.2878371074306828</v>
      </c>
      <c r="M43" s="293">
        <f>(G43-J43)*H43</f>
        <v>2816700.8688000008</v>
      </c>
      <c r="P43" s="387"/>
      <c r="Q43" s="389"/>
      <c r="R43" s="389"/>
      <c r="S43" s="389"/>
      <c r="T43" s="389"/>
      <c r="U43" s="389"/>
      <c r="V43" s="389"/>
      <c r="W43" s="389"/>
      <c r="X43" s="389"/>
      <c r="Y43" s="389"/>
      <c r="Z43" s="390"/>
    </row>
    <row r="44" spans="1:26">
      <c r="A44" s="531"/>
      <c r="B44" s="531"/>
      <c r="D44" s="6" t="s">
        <v>39</v>
      </c>
      <c r="E44" s="125" t="s">
        <v>210</v>
      </c>
      <c r="G44" s="158"/>
      <c r="H44" s="61"/>
      <c r="I44" s="62"/>
      <c r="J44" s="65"/>
      <c r="K44" s="65"/>
      <c r="P44" s="387"/>
      <c r="Q44" s="389"/>
      <c r="R44" s="389"/>
      <c r="S44" s="389"/>
      <c r="T44" s="389"/>
      <c r="U44" s="389"/>
      <c r="V44" s="389"/>
      <c r="W44" s="389"/>
      <c r="X44" s="389"/>
      <c r="Y44" s="389"/>
      <c r="Z44" s="390"/>
    </row>
    <row r="45" spans="1:26">
      <c r="A45" s="531"/>
      <c r="B45" s="531"/>
      <c r="E45" s="6" t="s">
        <v>130</v>
      </c>
      <c r="F45" s="1" t="s">
        <v>41</v>
      </c>
      <c r="G45" s="159">
        <f>ROUND((G14-SUM(I41:I43))/G28,5)</f>
        <v>5.0522400000000003</v>
      </c>
      <c r="H45" s="61">
        <f>G28</f>
        <v>104133354</v>
      </c>
      <c r="I45" s="62">
        <f>G45*H45</f>
        <v>526106696.41296005</v>
      </c>
      <c r="J45" s="817">
        <v>4.3997900000000003</v>
      </c>
      <c r="K45" s="65">
        <f>G45-J45</f>
        <v>0.65244999999999997</v>
      </c>
      <c r="L45" s="40">
        <f>IF(J45&gt;0,K45/J45,IF(J45&lt;0,K45/J45,"n.a."))</f>
        <v>0.14829116844213017</v>
      </c>
      <c r="M45" s="293">
        <f>(G45-J45)*H45</f>
        <v>67941806.817299992</v>
      </c>
      <c r="P45" s="387"/>
      <c r="Q45" s="389"/>
      <c r="R45" s="389"/>
      <c r="S45" s="389"/>
      <c r="T45" s="389"/>
      <c r="U45" s="389"/>
      <c r="V45" s="389"/>
      <c r="W45" s="389"/>
      <c r="X45" s="389"/>
      <c r="Y45" s="389"/>
      <c r="Z45" s="390"/>
    </row>
    <row r="46" spans="1:26">
      <c r="A46" s="534"/>
      <c r="B46" s="531"/>
      <c r="E46" s="6" t="s">
        <v>131</v>
      </c>
      <c r="F46" s="1" t="s">
        <v>132</v>
      </c>
      <c r="G46" s="190">
        <f>ROUND(G20/G28,5)</f>
        <v>0.22364000000000001</v>
      </c>
      <c r="H46" s="61">
        <f>H45</f>
        <v>104133354</v>
      </c>
      <c r="I46" s="63">
        <f>G46*H46</f>
        <v>23288383.288559999</v>
      </c>
      <c r="J46" s="818">
        <v>2.9860000000000001E-2</v>
      </c>
      <c r="K46" s="66">
        <f>G46-J46</f>
        <v>0.19378000000000001</v>
      </c>
      <c r="L46" s="41">
        <f>IF(J46&gt;0,K46/J46,IF(J46&lt;0,K46/J46,"n.a."))</f>
        <v>6.4896182183523106</v>
      </c>
      <c r="M46" s="293">
        <f>(G46-J46)*H46</f>
        <v>20178961.338120002</v>
      </c>
      <c r="N46" s="347">
        <f>M45+M46</f>
        <v>88120768.15541999</v>
      </c>
      <c r="O46" s="933"/>
      <c r="P46" s="387"/>
      <c r="Q46" s="389"/>
      <c r="R46" s="389"/>
      <c r="S46" s="389"/>
      <c r="T46" s="389"/>
      <c r="U46" s="389"/>
      <c r="V46" s="389"/>
      <c r="W46" s="389"/>
      <c r="X46" s="389"/>
      <c r="Y46" s="389"/>
      <c r="Z46" s="390"/>
    </row>
    <row r="47" spans="1:26">
      <c r="A47" s="6"/>
      <c r="F47" s="1" t="s">
        <v>24</v>
      </c>
      <c r="G47" s="65">
        <f>G45+G46</f>
        <v>5.2758799999999999</v>
      </c>
      <c r="H47" s="61"/>
      <c r="I47" s="62">
        <f>I45+I46</f>
        <v>549395079.70152009</v>
      </c>
      <c r="J47" s="65">
        <f>J45+J46</f>
        <v>4.4296500000000005</v>
      </c>
      <c r="K47" s="65">
        <f>K45+K46</f>
        <v>0.84623000000000004</v>
      </c>
      <c r="L47" s="19">
        <f>K47/J47</f>
        <v>0.19103766663280394</v>
      </c>
      <c r="M47" s="344">
        <f>(G47-J47)*H45+I67+M43</f>
        <v>86666473.913495481</v>
      </c>
      <c r="P47" s="387"/>
      <c r="Q47" s="389"/>
      <c r="R47" s="389"/>
      <c r="S47" s="389"/>
      <c r="T47" s="389"/>
      <c r="U47" s="389"/>
      <c r="V47" s="389"/>
      <c r="W47" s="389"/>
      <c r="X47" s="389"/>
      <c r="Y47" s="389"/>
      <c r="Z47" s="390"/>
    </row>
    <row r="48" spans="1:26">
      <c r="G48" s="28"/>
      <c r="H48" s="61"/>
      <c r="K48" s="65"/>
      <c r="P48" s="387"/>
      <c r="Q48" s="389"/>
      <c r="R48" s="389"/>
      <c r="S48" s="389"/>
      <c r="T48" s="389"/>
      <c r="U48" s="954"/>
      <c r="V48" s="389"/>
      <c r="W48" s="389"/>
      <c r="X48" s="389"/>
      <c r="Y48" s="389"/>
      <c r="Z48" s="390"/>
    </row>
    <row r="49" spans="3:31">
      <c r="C49" s="6" t="s">
        <v>22</v>
      </c>
      <c r="D49" s="1" t="s">
        <v>111</v>
      </c>
      <c r="G49" s="28"/>
      <c r="H49" s="61"/>
      <c r="K49" s="65"/>
      <c r="P49" s="387"/>
      <c r="Q49" s="389"/>
      <c r="R49" s="389"/>
      <c r="S49" s="389"/>
      <c r="T49" s="389"/>
      <c r="U49" s="954"/>
      <c r="V49" s="389"/>
      <c r="W49" s="389"/>
      <c r="X49" s="389"/>
      <c r="Y49" s="389"/>
      <c r="Z49" s="390"/>
    </row>
    <row r="50" spans="3:31">
      <c r="D50" s="6" t="s">
        <v>20</v>
      </c>
      <c r="E50" s="1" t="s">
        <v>133</v>
      </c>
      <c r="G50" s="28"/>
      <c r="H50" s="70" t="s">
        <v>77</v>
      </c>
      <c r="K50" s="65"/>
      <c r="P50" s="387"/>
      <c r="Q50" s="389"/>
      <c r="R50" s="389"/>
      <c r="S50" s="389"/>
      <c r="T50" s="389"/>
      <c r="U50" s="954"/>
      <c r="V50" s="389"/>
      <c r="W50" s="389"/>
      <c r="X50" s="389"/>
      <c r="Y50" s="389"/>
      <c r="Z50" s="390"/>
    </row>
    <row r="51" spans="3:31">
      <c r="E51" s="6" t="s">
        <v>130</v>
      </c>
      <c r="F51" s="1" t="s">
        <v>134</v>
      </c>
      <c r="G51" s="65">
        <f>ROUND((1+L$51)*J51,5)</f>
        <v>1.05298</v>
      </c>
      <c r="H51" s="70" t="s">
        <v>135</v>
      </c>
      <c r="I51" s="6" t="s">
        <v>136</v>
      </c>
      <c r="J51" s="614">
        <f>U32</f>
        <v>1.10168</v>
      </c>
      <c r="K51" s="65">
        <f>G51-J51</f>
        <v>-4.8699999999999966E-2</v>
      </c>
      <c r="L51" s="810">
        <f>IF(N35="yes",N36,(I67-(I61-J61*H61+I62-J62*H62))/(H66-J61*H61-J62*H62))</f>
        <v>-4.4200731624486372E-2</v>
      </c>
      <c r="M51" s="160" t="s">
        <v>190</v>
      </c>
      <c r="P51" s="394"/>
      <c r="Q51" s="389"/>
      <c r="R51" s="389"/>
      <c r="S51" s="389"/>
      <c r="T51" s="389"/>
      <c r="U51" s="954"/>
      <c r="V51" s="389"/>
      <c r="W51" s="389"/>
      <c r="X51" s="389"/>
      <c r="Y51" s="389"/>
      <c r="Z51" s="390"/>
    </row>
    <row r="52" spans="3:31">
      <c r="E52" s="6" t="s">
        <v>131</v>
      </c>
      <c r="F52" s="1" t="s">
        <v>137</v>
      </c>
      <c r="G52" s="65">
        <f>(1+L$51)*J52</f>
        <v>0.49438717156723444</v>
      </c>
      <c r="H52" s="70" t="s">
        <v>138</v>
      </c>
      <c r="I52" s="6" t="s">
        <v>139</v>
      </c>
      <c r="J52" s="614">
        <f>U33</f>
        <v>0.51724999999999999</v>
      </c>
      <c r="K52" s="65">
        <f>G52-J52</f>
        <v>-2.2862828432765547E-2</v>
      </c>
      <c r="L52" s="42">
        <f>L$51</f>
        <v>-4.4200731624486372E-2</v>
      </c>
      <c r="P52" s="387"/>
      <c r="Q52" s="389"/>
      <c r="R52" s="389"/>
      <c r="S52" s="389"/>
      <c r="T52" s="389"/>
      <c r="U52" s="389"/>
      <c r="V52" s="389"/>
      <c r="W52" s="389"/>
      <c r="X52" s="389"/>
      <c r="Y52" s="389"/>
      <c r="Z52" s="390"/>
    </row>
    <row r="53" spans="3:31">
      <c r="D53" s="6" t="s">
        <v>21</v>
      </c>
      <c r="E53" s="125" t="s">
        <v>316</v>
      </c>
      <c r="G53" s="65"/>
      <c r="H53" s="70" t="s">
        <v>140</v>
      </c>
      <c r="J53" s="614"/>
      <c r="K53" s="65"/>
      <c r="P53" s="387"/>
      <c r="Q53" s="805" t="s">
        <v>579</v>
      </c>
      <c r="R53" s="389"/>
      <c r="S53" s="389"/>
      <c r="T53" s="389" t="s">
        <v>317</v>
      </c>
      <c r="U53" s="389"/>
      <c r="V53" s="389"/>
      <c r="W53" s="389"/>
      <c r="X53" s="389"/>
      <c r="Y53" s="389"/>
      <c r="Z53" s="390"/>
    </row>
    <row r="54" spans="3:31">
      <c r="E54" s="6" t="s">
        <v>130</v>
      </c>
      <c r="F54" s="1" t="s">
        <v>134</v>
      </c>
      <c r="G54" s="65">
        <f>ROUND((1+L$51)*J54,5)</f>
        <v>1.02556</v>
      </c>
      <c r="H54" s="61"/>
      <c r="J54" s="614">
        <f>U34</f>
        <v>1.0729900000000001</v>
      </c>
      <c r="K54" s="65">
        <f>G54-J54</f>
        <v>-4.7430000000000083E-2</v>
      </c>
      <c r="L54" s="42">
        <f>L$51</f>
        <v>-4.4200731624486372E-2</v>
      </c>
      <c r="P54" s="387"/>
      <c r="Q54" s="805" t="s">
        <v>580</v>
      </c>
      <c r="R54" s="389"/>
      <c r="S54" s="389"/>
      <c r="T54" s="389" t="s">
        <v>318</v>
      </c>
      <c r="U54" s="389"/>
      <c r="V54" s="389"/>
      <c r="W54" s="389"/>
      <c r="X54" s="389"/>
      <c r="Y54" s="389"/>
      <c r="Z54" s="390"/>
    </row>
    <row r="55" spans="3:31">
      <c r="E55" s="6" t="s">
        <v>131</v>
      </c>
      <c r="F55" s="1" t="s">
        <v>137</v>
      </c>
      <c r="G55" s="65">
        <f>ROUND((1+L$51)*J55,5)</f>
        <v>0.49436999999999998</v>
      </c>
      <c r="H55" s="61"/>
      <c r="J55" s="614">
        <f>U35</f>
        <v>0.51722999999999997</v>
      </c>
      <c r="K55" s="65">
        <f>G55-J55</f>
        <v>-2.2859999999999991E-2</v>
      </c>
      <c r="L55" s="42">
        <f>L$51</f>
        <v>-4.4200731624486372E-2</v>
      </c>
      <c r="P55" s="387"/>
      <c r="Q55" s="389"/>
      <c r="R55" s="389"/>
      <c r="S55" s="389"/>
      <c r="T55" s="389"/>
      <c r="U55" s="389"/>
      <c r="V55" s="389"/>
      <c r="W55" s="389"/>
      <c r="X55" s="389"/>
      <c r="Y55" s="389"/>
      <c r="Z55" s="390"/>
    </row>
    <row r="56" spans="3:31">
      <c r="D56" s="6" t="s">
        <v>38</v>
      </c>
      <c r="G56" s="14"/>
      <c r="H56" s="61"/>
      <c r="J56" s="615"/>
      <c r="K56" s="65"/>
      <c r="P56" s="387"/>
      <c r="Q56" s="389"/>
      <c r="R56" s="389"/>
      <c r="S56" s="389"/>
      <c r="T56" s="389"/>
      <c r="U56" s="389"/>
      <c r="V56" s="389"/>
      <c r="W56" s="389"/>
      <c r="X56" s="389"/>
      <c r="Y56" s="389"/>
      <c r="Z56" s="390"/>
    </row>
    <row r="57" spans="3:31">
      <c r="E57" s="6"/>
      <c r="G57" s="67"/>
      <c r="H57" s="61"/>
      <c r="J57" s="616"/>
      <c r="K57" s="67">
        <f t="shared" ref="K57:K64" si="1">G57-J57</f>
        <v>0</v>
      </c>
      <c r="L57" s="42">
        <f>L$51</f>
        <v>-4.4200731624486372E-2</v>
      </c>
      <c r="P57" s="387"/>
      <c r="Q57" s="389" t="s">
        <v>319</v>
      </c>
      <c r="R57" s="389" t="s">
        <v>320</v>
      </c>
      <c r="S57" s="389" t="s">
        <v>321</v>
      </c>
      <c r="T57" s="389" t="s">
        <v>321</v>
      </c>
      <c r="U57" s="389" t="s">
        <v>322</v>
      </c>
      <c r="V57" s="389" t="s">
        <v>323</v>
      </c>
      <c r="W57" s="389" t="s">
        <v>324</v>
      </c>
      <c r="X57" s="389"/>
      <c r="Y57" s="389"/>
      <c r="Z57" s="390"/>
      <c r="AB57" s="352"/>
    </row>
    <row r="58" spans="3:31" ht="12" thickBot="1">
      <c r="E58" s="6"/>
      <c r="G58" s="65"/>
      <c r="H58" s="61"/>
      <c r="J58" s="614"/>
      <c r="K58" s="65">
        <f t="shared" si="1"/>
        <v>0</v>
      </c>
      <c r="L58" s="42">
        <f>L$51</f>
        <v>-4.4200731624486372E-2</v>
      </c>
      <c r="P58" s="387"/>
      <c r="Q58" s="389"/>
      <c r="R58" s="389"/>
      <c r="S58" s="389"/>
      <c r="T58" s="389"/>
      <c r="U58" s="389" t="s">
        <v>325</v>
      </c>
      <c r="V58" s="389"/>
      <c r="W58" s="389"/>
      <c r="X58" s="389"/>
      <c r="Y58" s="389"/>
      <c r="Z58" s="390"/>
      <c r="AB58" s="352"/>
    </row>
    <row r="59" spans="3:31">
      <c r="D59" s="6" t="s">
        <v>39</v>
      </c>
      <c r="E59" s="1" t="s">
        <v>141</v>
      </c>
      <c r="G59" s="65">
        <f>ROUND((1+L$51)*J59,5)</f>
        <v>0</v>
      </c>
      <c r="H59" s="61"/>
      <c r="J59" s="614">
        <v>0</v>
      </c>
      <c r="K59" s="65">
        <f t="shared" si="1"/>
        <v>0</v>
      </c>
      <c r="L59" s="42">
        <f>L$51</f>
        <v>-4.4200731624486372E-2</v>
      </c>
      <c r="P59" s="387"/>
      <c r="Q59" s="389" t="s">
        <v>326</v>
      </c>
      <c r="R59" s="389" t="s">
        <v>327</v>
      </c>
      <c r="S59" s="389" t="s">
        <v>328</v>
      </c>
      <c r="T59" s="389" t="s">
        <v>329</v>
      </c>
      <c r="U59" s="389" t="s">
        <v>330</v>
      </c>
      <c r="V59" s="389" t="s">
        <v>331</v>
      </c>
      <c r="W59" s="389" t="s">
        <v>332</v>
      </c>
      <c r="X59" s="388" t="s">
        <v>468</v>
      </c>
      <c r="Y59" s="389" t="s">
        <v>333</v>
      </c>
      <c r="Z59" s="389"/>
      <c r="AA59" s="555"/>
      <c r="AB59" s="556"/>
      <c r="AC59" s="385"/>
      <c r="AD59" s="557" t="s">
        <v>469</v>
      </c>
      <c r="AE59" s="558" t="s">
        <v>480</v>
      </c>
    </row>
    <row r="60" spans="3:31">
      <c r="D60" s="6" t="s">
        <v>142</v>
      </c>
      <c r="E60" s="1" t="s">
        <v>143</v>
      </c>
      <c r="G60" s="65">
        <f>ROUND((1+L$51)*J60,5)</f>
        <v>0.75985999999999998</v>
      </c>
      <c r="H60" s="61"/>
      <c r="J60" s="614">
        <f>U37</f>
        <v>0.79500000000000004</v>
      </c>
      <c r="K60" s="65">
        <f t="shared" si="1"/>
        <v>-3.514000000000006E-2</v>
      </c>
      <c r="L60" s="42">
        <f>L$51</f>
        <v>-4.4200731624486372E-2</v>
      </c>
      <c r="P60" s="387"/>
      <c r="Q60" s="389"/>
      <c r="R60" s="389"/>
      <c r="S60" s="389"/>
      <c r="T60" s="389"/>
      <c r="U60" s="960">
        <v>1.12022</v>
      </c>
      <c r="V60" s="389"/>
      <c r="W60" s="389" t="s">
        <v>334</v>
      </c>
      <c r="X60" s="389"/>
      <c r="Y60" s="389"/>
      <c r="Z60" s="389"/>
      <c r="AA60" s="387"/>
      <c r="AB60" s="389"/>
      <c r="AC60" s="389"/>
      <c r="AD60" s="389"/>
      <c r="AE60" s="390"/>
    </row>
    <row r="61" spans="3:31">
      <c r="D61" s="6" t="s">
        <v>144</v>
      </c>
      <c r="E61" s="125" t="s">
        <v>180</v>
      </c>
      <c r="G61" s="142">
        <f>G62</f>
        <v>0.18053092049158934</v>
      </c>
      <c r="H61" s="71">
        <f>Costs!G159</f>
        <v>0</v>
      </c>
      <c r="I61" s="62">
        <f>G61*H61</f>
        <v>0</v>
      </c>
      <c r="J61" s="614">
        <f>$U$38*(1-$H$75)</f>
        <v>0.17930048000000001</v>
      </c>
      <c r="K61" s="65">
        <f t="shared" si="1"/>
        <v>1.2304404915893241E-3</v>
      </c>
      <c r="L61" s="131">
        <f>K61/J61</f>
        <v>6.8624495126244174E-3</v>
      </c>
      <c r="M61" s="125" t="s">
        <v>189</v>
      </c>
      <c r="P61" s="387">
        <v>1</v>
      </c>
      <c r="Q61" s="389" t="s">
        <v>231</v>
      </c>
      <c r="R61" s="389" t="s">
        <v>134</v>
      </c>
      <c r="S61" s="958">
        <f>U32</f>
        <v>1.10168</v>
      </c>
      <c r="T61" s="958">
        <f>S32</f>
        <v>1.10168</v>
      </c>
      <c r="U61" s="956">
        <f>ROUND(S61*($J$84-$J$94)/($J$88-$J$93),5)</f>
        <v>1.12016</v>
      </c>
      <c r="V61" s="953">
        <f>IF('Seasonal Sales Volumes'!$N$1="yes",0,W61-U61)</f>
        <v>-6.7180000000000017E-2</v>
      </c>
      <c r="W61" s="391">
        <f>ROUND(S61*(1+$J$96),5)+AB61</f>
        <v>1.05298</v>
      </c>
      <c r="X61" s="391">
        <f>IF($V$29="no",U61-V61,0)</f>
        <v>0</v>
      </c>
      <c r="Y61" s="391">
        <f>ROUND(U61*($J$85)/($J$84-$J$94),5)-V61</f>
        <v>0</v>
      </c>
      <c r="Z61" s="389"/>
      <c r="AA61" s="559">
        <v>1.20251</v>
      </c>
      <c r="AB61" s="809">
        <f>IF($N$35="yes",AD61,0)</f>
        <v>0</v>
      </c>
      <c r="AC61" s="389"/>
      <c r="AD61" s="560"/>
      <c r="AE61" s="390">
        <f>'Seasonal Sales Volumes'!D4*AD61</f>
        <v>0</v>
      </c>
    </row>
    <row r="62" spans="3:31">
      <c r="D62" s="6" t="s">
        <v>145</v>
      </c>
      <c r="E62" s="352" t="s">
        <v>335</v>
      </c>
      <c r="G62" s="440">
        <f>I79</f>
        <v>0.18053092049158934</v>
      </c>
      <c r="H62" s="71">
        <f>Costs!G160</f>
        <v>2631447</v>
      </c>
      <c r="I62" s="62">
        <f>I79*H62</f>
        <v>475057.54913483129</v>
      </c>
      <c r="J62" s="614">
        <f>$U$38*(1-$H$75)</f>
        <v>0.17930048000000001</v>
      </c>
      <c r="K62" s="65">
        <f t="shared" si="1"/>
        <v>1.2304404915893241E-3</v>
      </c>
      <c r="L62" s="131">
        <f>K62/J62</f>
        <v>6.8624495126244174E-3</v>
      </c>
      <c r="M62" s="1">
        <f>J62*H62</f>
        <v>471819.71019456006</v>
      </c>
      <c r="P62" s="387">
        <v>2</v>
      </c>
      <c r="Q62" s="389"/>
      <c r="R62" s="389" t="s">
        <v>137</v>
      </c>
      <c r="S62" s="958">
        <f>U33</f>
        <v>0.51724999999999999</v>
      </c>
      <c r="T62" s="958">
        <f>S33</f>
        <v>0.51724999999999999</v>
      </c>
      <c r="U62" s="956">
        <f>ROUND(S62*($J$84-$J$94)/($J$88-$J$93),5)</f>
        <v>0.52593000000000001</v>
      </c>
      <c r="V62" s="953">
        <f>IF('Seasonal Sales Volumes'!$N$1="yes",0,W62-U62)</f>
        <v>-3.1540000000000012E-2</v>
      </c>
      <c r="W62" s="391">
        <f>ROUND(S62*(1+$J$96),5)+AB62</f>
        <v>0.49439</v>
      </c>
      <c r="X62" s="391">
        <f>IF($V$29="no",U62-V62,0)</f>
        <v>0</v>
      </c>
      <c r="Y62" s="391">
        <f>ROUND(U62*($J$85)/($J$84-$J$94),5)-V62</f>
        <v>0</v>
      </c>
      <c r="Z62" s="389"/>
      <c r="AA62" s="559">
        <v>0.56459999999999999</v>
      </c>
      <c r="AB62" s="809">
        <f>IF($N$35="yes",AD62,0)</f>
        <v>0</v>
      </c>
      <c r="AC62" s="389"/>
      <c r="AD62" s="560">
        <f>T33</f>
        <v>0</v>
      </c>
      <c r="AE62" s="390">
        <f>AD62*'Seasonal Sales Volumes'!C4</f>
        <v>0</v>
      </c>
    </row>
    <row r="63" spans="3:31">
      <c r="D63" s="6" t="s">
        <v>146</v>
      </c>
      <c r="E63" s="1" t="s">
        <v>147</v>
      </c>
      <c r="G63" s="65">
        <f>ROUND((1+L$51)*J63,5)</f>
        <v>0</v>
      </c>
      <c r="I63" s="62"/>
      <c r="J63" s="614">
        <v>0</v>
      </c>
      <c r="K63" s="65">
        <f t="shared" si="1"/>
        <v>0</v>
      </c>
      <c r="L63" s="42">
        <f>L$51</f>
        <v>-4.4200731624486372E-2</v>
      </c>
      <c r="P63" s="387" t="s">
        <v>334</v>
      </c>
      <c r="Q63" s="389"/>
      <c r="R63" s="389"/>
      <c r="S63" s="389"/>
      <c r="T63" s="389"/>
      <c r="U63" s="389"/>
      <c r="V63" s="391"/>
      <c r="W63" s="391"/>
      <c r="X63" s="389"/>
      <c r="Y63" s="389"/>
      <c r="Z63" s="389"/>
      <c r="AA63" s="387"/>
      <c r="AB63" s="560"/>
      <c r="AC63" s="389"/>
      <c r="AD63" s="560"/>
      <c r="AE63" s="390"/>
    </row>
    <row r="64" spans="3:31">
      <c r="D64" s="6" t="s">
        <v>148</v>
      </c>
      <c r="E64" s="1" t="s">
        <v>149</v>
      </c>
      <c r="G64" s="65">
        <f>ROUND((1+L$51)*J64,5)</f>
        <v>0</v>
      </c>
      <c r="I64" s="62"/>
      <c r="J64" s="614">
        <f>U39</f>
        <v>0</v>
      </c>
      <c r="K64" s="65">
        <f t="shared" si="1"/>
        <v>0</v>
      </c>
      <c r="L64" s="42">
        <f>L$51</f>
        <v>-4.4200731624486372E-2</v>
      </c>
      <c r="P64" s="387">
        <v>3</v>
      </c>
      <c r="Q64" s="389" t="s">
        <v>316</v>
      </c>
      <c r="R64" s="389" t="s">
        <v>134</v>
      </c>
      <c r="S64" s="958">
        <f>U34</f>
        <v>1.0729900000000001</v>
      </c>
      <c r="T64" s="958">
        <f>S34</f>
        <v>1.0729900000000001</v>
      </c>
      <c r="U64" s="391">
        <f>ROUND(S64*($J$84-$J$94)/($J$88-$J$93),5)</f>
        <v>1.0909899999999999</v>
      </c>
      <c r="V64" s="391">
        <f>IF('Seasonal Sales Volumes'!$N$1="yes",0,W64-U64)</f>
        <v>-6.5429999999999877E-2</v>
      </c>
      <c r="W64" s="391">
        <f>ROUND(S64*(1+$J$96),5)+AB64</f>
        <v>1.02556</v>
      </c>
      <c r="X64" s="391">
        <f>IF($V$29="no",U64-V64,0)</f>
        <v>0</v>
      </c>
      <c r="Y64" s="391">
        <f>ROUND(U64*($J$85)/($J$84-$J$94),5)-V64</f>
        <v>-1.2490009027033011E-16</v>
      </c>
      <c r="Z64" s="389"/>
      <c r="AA64" s="559">
        <v>1.1712</v>
      </c>
      <c r="AB64" s="809">
        <f>IF($N$35="yes",AD64,0)</f>
        <v>0</v>
      </c>
      <c r="AC64" s="389"/>
      <c r="AD64" s="560">
        <f>T34</f>
        <v>0</v>
      </c>
      <c r="AE64" s="390">
        <f>AD64*'Seasonal Sales Volumes'!D5</f>
        <v>0</v>
      </c>
    </row>
    <row r="65" spans="3:31">
      <c r="G65" s="1"/>
      <c r="H65" s="141" t="s">
        <v>252</v>
      </c>
      <c r="I65" s="128" t="s">
        <v>253</v>
      </c>
      <c r="J65" s="1"/>
      <c r="L65" s="42"/>
      <c r="P65" s="387">
        <v>4</v>
      </c>
      <c r="Q65" s="389"/>
      <c r="R65" s="389" t="s">
        <v>137</v>
      </c>
      <c r="S65" s="958">
        <f>U35</f>
        <v>0.51722999999999997</v>
      </c>
      <c r="T65" s="958">
        <f>S35</f>
        <v>0.51722999999999997</v>
      </c>
      <c r="U65" s="391">
        <f>ROUND(S65*($J$84-$J$94)/($J$88-$J$93),5)</f>
        <v>0.52590999999999999</v>
      </c>
      <c r="V65" s="391">
        <f>IF('Seasonal Sales Volumes'!$N$1="yes",0,W65-U65)</f>
        <v>-3.1540000000000012E-2</v>
      </c>
      <c r="W65" s="391">
        <f>ROUND(S65*(1+$J$96),5)+AB65</f>
        <v>0.49436999999999998</v>
      </c>
      <c r="X65" s="391">
        <f>IF($V$29="no",U65-V65,0)</f>
        <v>0</v>
      </c>
      <c r="Y65" s="391">
        <f>ROUND(U65*($J$85)/($J$84-$J$94),5)-V65</f>
        <v>0</v>
      </c>
      <c r="Z65" s="389"/>
      <c r="AA65" s="559">
        <v>0.56457000000000002</v>
      </c>
      <c r="AB65" s="809">
        <f>IF($N$35="yes",AD65,0)</f>
        <v>0</v>
      </c>
      <c r="AC65" s="389"/>
      <c r="AD65" s="560">
        <f>T35</f>
        <v>0</v>
      </c>
      <c r="AE65" s="390">
        <f>AD65*'Seasonal Sales Volumes'!C5</f>
        <v>0</v>
      </c>
    </row>
    <row r="66" spans="3:31">
      <c r="G66" s="157" t="s">
        <v>188</v>
      </c>
      <c r="H66" s="298">
        <v>97172322</v>
      </c>
      <c r="I66" s="807">
        <f>IF(N35="yes",G16+N37,G16+G21)</f>
        <v>92901326.889275551</v>
      </c>
      <c r="J66" s="240" t="s">
        <v>251</v>
      </c>
      <c r="P66" s="387"/>
      <c r="Q66" s="389"/>
      <c r="R66" s="389"/>
      <c r="S66" s="389"/>
      <c r="T66" s="389"/>
      <c r="U66" s="389"/>
      <c r="V66" s="391"/>
      <c r="W66" s="391"/>
      <c r="X66" s="389"/>
      <c r="Y66" s="389"/>
      <c r="Z66" s="389"/>
      <c r="AA66" s="387"/>
      <c r="AB66" s="560"/>
      <c r="AC66" s="389"/>
      <c r="AD66" s="560"/>
      <c r="AE66" s="390"/>
    </row>
    <row r="67" spans="3:31">
      <c r="H67" s="20" t="s">
        <v>150</v>
      </c>
      <c r="I67" s="343">
        <f>I66-H66</f>
        <v>-4270995.1107244492</v>
      </c>
      <c r="J67" s="15"/>
      <c r="M67" s="1">
        <f>Costs!Z82</f>
        <v>-4271665.5557599971</v>
      </c>
      <c r="N67" s="445">
        <f>N46+M67</f>
        <v>83849102.599659994</v>
      </c>
      <c r="P67" s="387">
        <v>5</v>
      </c>
      <c r="Q67" s="389" t="s">
        <v>141</v>
      </c>
      <c r="R67" s="389"/>
      <c r="S67" s="391">
        <f>U36</f>
        <v>0</v>
      </c>
      <c r="T67" s="391">
        <f>S36</f>
        <v>0</v>
      </c>
      <c r="U67" s="391">
        <f>S67*($G$16-$I$62)/($H$66-$M$62)</f>
        <v>0</v>
      </c>
      <c r="V67" s="391">
        <f t="shared" ref="V67" si="2">IF($V$29="no",T38,W67-U67)</f>
        <v>0</v>
      </c>
      <c r="W67" s="391">
        <f t="shared" ref="W67" si="3">IF($V$29="no",(U67+V67),G57)</f>
        <v>0</v>
      </c>
      <c r="X67" s="391"/>
      <c r="Y67" s="391">
        <f>ROUND((U67*$G$21)/($G$16-$I$62),5)-V67</f>
        <v>0</v>
      </c>
      <c r="Z67" s="389"/>
      <c r="AA67" s="387"/>
      <c r="AB67" s="560"/>
      <c r="AC67" s="389"/>
      <c r="AD67" s="560"/>
      <c r="AE67" s="390"/>
    </row>
    <row r="68" spans="3:31">
      <c r="H68" s="20"/>
      <c r="I68" s="15"/>
      <c r="K68" s="940">
        <f>+G17+G21</f>
        <v>631610110.85842443</v>
      </c>
      <c r="P68" s="387" t="s">
        <v>334</v>
      </c>
      <c r="Q68" s="389"/>
      <c r="R68" s="389"/>
      <c r="S68" s="389"/>
      <c r="T68" s="389"/>
      <c r="U68" s="389"/>
      <c r="V68" s="391"/>
      <c r="W68" s="391"/>
      <c r="X68" s="389"/>
      <c r="Y68" s="389"/>
      <c r="Z68" s="389"/>
      <c r="AA68" s="387"/>
      <c r="AB68" s="560"/>
      <c r="AC68" s="389"/>
      <c r="AD68" s="560"/>
      <c r="AE68" s="390"/>
    </row>
    <row r="69" spans="3:31">
      <c r="C69" s="1" t="s">
        <v>151</v>
      </c>
      <c r="P69" s="387">
        <v>6</v>
      </c>
      <c r="Q69" s="389" t="s">
        <v>143</v>
      </c>
      <c r="R69" s="389"/>
      <c r="S69" s="958">
        <f>U37</f>
        <v>0.79500000000000004</v>
      </c>
      <c r="T69" s="958">
        <f>S37</f>
        <v>0.79500000000000004</v>
      </c>
      <c r="U69" s="391">
        <f>ROUND(S69*($J$84-$J$94)/($J$88-$J$93),5)</f>
        <v>0.80833999999999995</v>
      </c>
      <c r="V69" s="391">
        <f>IF('Seasonal Sales Volumes'!$N$1="yes",0,W69-U69)</f>
        <v>-4.8479999999999968E-2</v>
      </c>
      <c r="W69" s="391">
        <f>ROUND(S69*(1+$J$96),5)+AB69</f>
        <v>0.75985999999999998</v>
      </c>
      <c r="X69" s="391">
        <f>IF($V$29="no",U69-V69,0)</f>
        <v>0</v>
      </c>
      <c r="Y69" s="391">
        <f>ROUND(U69*($J$85)/($J$84-$J$94),5)-V69</f>
        <v>0</v>
      </c>
      <c r="Z69" s="389"/>
      <c r="AA69" s="559">
        <v>0.86775999999999998</v>
      </c>
      <c r="AB69" s="809">
        <f>IF($N$35="yes",AD69,0)</f>
        <v>0</v>
      </c>
      <c r="AC69" s="389"/>
      <c r="AD69" s="560">
        <f>T37</f>
        <v>0</v>
      </c>
      <c r="AE69" s="390">
        <f>AD69*'Seasonal Sales Volumes'!E6</f>
        <v>0</v>
      </c>
    </row>
    <row r="70" spans="3:31">
      <c r="P70" s="387"/>
      <c r="Q70" s="389"/>
      <c r="R70" s="389"/>
      <c r="S70" s="389"/>
      <c r="T70" s="389"/>
      <c r="U70" s="389"/>
      <c r="V70" s="389"/>
      <c r="W70" s="389"/>
      <c r="X70" s="389"/>
      <c r="Y70" s="389"/>
      <c r="Z70" s="389"/>
      <c r="AA70" s="387"/>
      <c r="AB70" s="560"/>
      <c r="AC70" s="389"/>
      <c r="AD70" s="560"/>
      <c r="AE70" s="390"/>
    </row>
    <row r="71" spans="3:31">
      <c r="C71" s="1" t="s">
        <v>152</v>
      </c>
      <c r="P71" s="387">
        <v>7</v>
      </c>
      <c r="Q71" s="505" t="s">
        <v>335</v>
      </c>
      <c r="R71" s="505"/>
      <c r="S71" s="959">
        <f>J62</f>
        <v>0.17930048000000001</v>
      </c>
      <c r="T71" s="959">
        <f>S71</f>
        <v>0.17930048000000001</v>
      </c>
      <c r="U71" s="554">
        <f>G62</f>
        <v>0.18053092049158934</v>
      </c>
      <c r="V71" s="554">
        <v>0</v>
      </c>
      <c r="W71" s="554">
        <f>G62</f>
        <v>0.18053092049158934</v>
      </c>
      <c r="X71" s="554"/>
      <c r="Y71" s="554"/>
      <c r="Z71" s="389"/>
      <c r="AA71" s="559">
        <v>0.17937</v>
      </c>
      <c r="AB71" s="560"/>
      <c r="AC71" s="389"/>
      <c r="AD71" s="560"/>
      <c r="AE71" s="390"/>
    </row>
    <row r="72" spans="3:31">
      <c r="P72" s="387"/>
      <c r="Q72" s="389"/>
      <c r="R72" s="389"/>
      <c r="S72" s="389"/>
      <c r="T72" s="389"/>
      <c r="U72" s="389"/>
      <c r="V72" s="389"/>
      <c r="W72" s="389"/>
      <c r="X72" s="389"/>
      <c r="Y72" s="389"/>
      <c r="Z72" s="389"/>
      <c r="AA72" s="387"/>
      <c r="AB72" s="560"/>
      <c r="AC72" s="389"/>
      <c r="AD72" s="560"/>
      <c r="AE72" s="390"/>
    </row>
    <row r="73" spans="3:31">
      <c r="C73" s="1" t="s">
        <v>153</v>
      </c>
      <c r="P73" s="387">
        <v>8</v>
      </c>
      <c r="Q73" s="389" t="s">
        <v>336</v>
      </c>
      <c r="R73" s="389"/>
      <c r="S73" s="391">
        <f>U39</f>
        <v>0</v>
      </c>
      <c r="T73" s="391">
        <f>S39</f>
        <v>0</v>
      </c>
      <c r="U73" s="391">
        <f>ROUND(S73*($J$84-$J$94)/($J$88-$J$93),5)</f>
        <v>0</v>
      </c>
      <c r="V73" s="391">
        <f>IF('Seasonal Sales Volumes'!$N$1="yes",0,W73-U73)</f>
        <v>0</v>
      </c>
      <c r="W73" s="391">
        <f>ROUND(S73*(1+$J$96),5)+AB73</f>
        <v>0</v>
      </c>
      <c r="X73" s="391">
        <f>IF($V$29="no",U73-V73,0)</f>
        <v>0</v>
      </c>
      <c r="Y73" s="391">
        <f>ROUND(U73*($J$85)/($J$84-$J$94),5)-V73</f>
        <v>0</v>
      </c>
      <c r="Z73" s="389"/>
      <c r="AA73" s="561">
        <v>6.2332000000000001</v>
      </c>
      <c r="AB73" s="809">
        <f>IF($N$35="yes",AD73,0)</f>
        <v>0</v>
      </c>
      <c r="AC73" s="389"/>
      <c r="AD73" s="560">
        <f>T39</f>
        <v>0</v>
      </c>
      <c r="AE73" s="390">
        <f>SUM(AE61:AE72)</f>
        <v>0</v>
      </c>
    </row>
    <row r="74" spans="3:31">
      <c r="H74" s="352" t="s">
        <v>584</v>
      </c>
      <c r="N74" s="43"/>
      <c r="P74" s="387"/>
      <c r="Q74" s="389"/>
      <c r="R74" s="389"/>
      <c r="S74" s="389"/>
      <c r="T74" s="389"/>
      <c r="U74" s="389"/>
      <c r="V74" s="389"/>
      <c r="W74" s="389"/>
      <c r="X74" s="389"/>
      <c r="Y74" s="389"/>
      <c r="Z74" s="389"/>
      <c r="AA74" s="387"/>
      <c r="AB74" s="562"/>
      <c r="AC74" s="389"/>
      <c r="AD74" s="389"/>
      <c r="AE74" s="390"/>
    </row>
    <row r="75" spans="3:31" ht="12" thickBot="1">
      <c r="F75" s="543" t="s">
        <v>314</v>
      </c>
      <c r="G75" s="811">
        <v>2.5000000000000001E-3</v>
      </c>
      <c r="H75" s="828">
        <v>3.0000000000000001E-3</v>
      </c>
      <c r="I75" s="312">
        <v>0.17652000000000001</v>
      </c>
      <c r="J75" s="564" t="s">
        <v>397</v>
      </c>
      <c r="K75" s="565"/>
      <c r="P75" s="395"/>
      <c r="Q75" s="396"/>
      <c r="R75" s="396"/>
      <c r="S75" s="396"/>
      <c r="T75" s="396"/>
      <c r="U75" s="396"/>
      <c r="V75" s="396"/>
      <c r="W75" s="396"/>
      <c r="X75" s="396"/>
      <c r="Y75" s="396"/>
      <c r="Z75" s="396"/>
      <c r="AA75" s="387"/>
      <c r="AB75" s="389"/>
      <c r="AC75" s="389"/>
      <c r="AD75" s="389"/>
      <c r="AE75" s="390"/>
    </row>
    <row r="76" spans="3:31">
      <c r="F76" s="532" t="s">
        <v>399</v>
      </c>
      <c r="G76" s="567">
        <f>U77</f>
        <v>0.18098337893893668</v>
      </c>
      <c r="I76" s="312">
        <v>2.6700000000000001E-3</v>
      </c>
      <c r="J76" s="532" t="s">
        <v>639</v>
      </c>
      <c r="K76" s="531"/>
      <c r="L76" s="1"/>
      <c r="AA76" s="387"/>
      <c r="AB76" s="389"/>
      <c r="AC76" s="389"/>
      <c r="AD76" s="389"/>
      <c r="AE76" s="390"/>
    </row>
    <row r="77" spans="3:31">
      <c r="G77" s="1"/>
      <c r="I77" s="566">
        <f>I75+I76</f>
        <v>0.17919000000000002</v>
      </c>
      <c r="J77" s="907">
        <v>4.9399999999999999E-3</v>
      </c>
      <c r="K77" s="532" t="s">
        <v>640</v>
      </c>
      <c r="L77" s="1"/>
      <c r="Q77" s="352" t="s">
        <v>476</v>
      </c>
      <c r="S77" s="18"/>
      <c r="T77" s="817">
        <v>0.17893999999999999</v>
      </c>
      <c r="U77" s="18">
        <f>G62/(1-G75)</f>
        <v>0.18098337893893668</v>
      </c>
      <c r="AA77" s="387"/>
      <c r="AB77" s="389"/>
      <c r="AC77" s="389"/>
      <c r="AD77" s="389"/>
      <c r="AE77" s="390"/>
    </row>
    <row r="78" spans="3:31">
      <c r="G78" s="1">
        <f>G76*H62</f>
        <v>476248.16955872811</v>
      </c>
      <c r="I78" s="937">
        <v>2.5000000000000001E-3</v>
      </c>
      <c r="J78" s="532" t="s">
        <v>398</v>
      </c>
      <c r="K78" s="531"/>
      <c r="L78" s="1"/>
      <c r="N78" s="18"/>
      <c r="AA78" s="387"/>
      <c r="AB78" s="389"/>
      <c r="AC78" s="389"/>
      <c r="AD78" s="560"/>
      <c r="AE78" s="390"/>
    </row>
    <row r="79" spans="3:31">
      <c r="G79" s="1">
        <f>I62</f>
        <v>475057.54913483129</v>
      </c>
      <c r="I79" s="566">
        <f>(I77/(1-J77))/(1-I78)</f>
        <v>0.18053092049158934</v>
      </c>
      <c r="J79" s="531"/>
      <c r="K79" s="531"/>
      <c r="L79" s="1"/>
      <c r="AA79" s="387"/>
      <c r="AB79" s="389"/>
      <c r="AC79" s="389"/>
      <c r="AD79" s="560"/>
      <c r="AE79" s="390"/>
    </row>
    <row r="80" spans="3:31">
      <c r="G80" s="1">
        <f>G78-G79</f>
        <v>1190.6204238968203</v>
      </c>
      <c r="J80" s="352"/>
      <c r="K80" s="1"/>
      <c r="L80" s="1"/>
      <c r="U80" s="523"/>
      <c r="AA80" s="387"/>
      <c r="AB80" s="389"/>
      <c r="AC80" s="389"/>
      <c r="AD80" s="560"/>
      <c r="AE80" s="390"/>
    </row>
    <row r="81" spans="1:31">
      <c r="G81" s="1"/>
      <c r="J81" s="1"/>
      <c r="K81" s="1"/>
      <c r="L81" s="1"/>
      <c r="P81" s="806" t="s">
        <v>581</v>
      </c>
      <c r="AA81" s="387"/>
      <c r="AB81" s="389"/>
      <c r="AC81" s="389"/>
      <c r="AD81" s="560"/>
      <c r="AE81" s="390"/>
    </row>
    <row r="82" spans="1:31" ht="12" thickBot="1">
      <c r="E82" s="506"/>
      <c r="F82" s="507" t="s">
        <v>461</v>
      </c>
      <c r="G82" s="216"/>
      <c r="H82" s="216"/>
      <c r="I82" s="216"/>
      <c r="J82" s="508"/>
      <c r="K82" s="1"/>
      <c r="L82" s="1"/>
      <c r="W82" s="18"/>
      <c r="AA82" s="387"/>
      <c r="AB82" s="389"/>
      <c r="AC82" s="389"/>
      <c r="AD82" s="560"/>
      <c r="AE82" s="390"/>
    </row>
    <row r="83" spans="1:31">
      <c r="E83" s="509"/>
      <c r="F83" s="510" t="s">
        <v>466</v>
      </c>
      <c r="G83" s="389"/>
      <c r="H83" s="510" t="s">
        <v>320</v>
      </c>
      <c r="I83" s="510" t="s">
        <v>321</v>
      </c>
      <c r="J83" s="511" t="s">
        <v>322</v>
      </c>
      <c r="K83" s="1"/>
      <c r="L83" s="1"/>
      <c r="P83" s="555"/>
      <c r="Q83" s="385"/>
      <c r="R83" s="385"/>
      <c r="S83" s="385"/>
      <c r="T83" s="385"/>
      <c r="U83" s="385"/>
      <c r="V83" s="385"/>
      <c r="W83" s="385"/>
      <c r="X83" s="385"/>
      <c r="Y83" s="385"/>
      <c r="Z83" s="386"/>
      <c r="AA83" s="389"/>
      <c r="AB83" s="389"/>
      <c r="AC83" s="389"/>
      <c r="AD83" s="560"/>
      <c r="AE83" s="390"/>
    </row>
    <row r="84" spans="1:31">
      <c r="A84" s="531"/>
      <c r="B84" s="531"/>
      <c r="C84" s="531"/>
      <c r="E84" s="509">
        <v>1</v>
      </c>
      <c r="F84" s="388" t="s">
        <v>456</v>
      </c>
      <c r="G84" s="389"/>
      <c r="H84" s="512"/>
      <c r="I84" s="389"/>
      <c r="J84" s="513">
        <f>G16</f>
        <v>98797664.889275551</v>
      </c>
      <c r="K84" s="1"/>
      <c r="L84" s="1"/>
      <c r="P84" s="387"/>
      <c r="Q84" s="389"/>
      <c r="R84" s="389"/>
      <c r="S84" s="389"/>
      <c r="T84" s="389"/>
      <c r="U84" s="389"/>
      <c r="V84" s="389"/>
      <c r="W84" s="389"/>
      <c r="X84" s="389"/>
      <c r="Y84" s="389"/>
      <c r="Z84" s="390"/>
      <c r="AA84" s="389"/>
      <c r="AB84" s="389"/>
      <c r="AC84" s="389"/>
      <c r="AD84" s="560"/>
      <c r="AE84" s="390"/>
    </row>
    <row r="85" spans="1:31">
      <c r="A85" s="531"/>
      <c r="B85" s="531"/>
      <c r="C85" s="531"/>
      <c r="E85" s="509">
        <v>2</v>
      </c>
      <c r="F85" s="388" t="s">
        <v>457</v>
      </c>
      <c r="G85" s="389"/>
      <c r="H85" s="504"/>
      <c r="I85" s="389"/>
      <c r="J85" s="808">
        <f>IF($N$35="yes",$N$37,$G$21)</f>
        <v>-5896338</v>
      </c>
      <c r="K85" s="1"/>
      <c r="L85" s="1"/>
      <c r="P85" s="394" t="s">
        <v>472</v>
      </c>
      <c r="Q85" s="388" t="s">
        <v>470</v>
      </c>
      <c r="R85" s="388" t="s">
        <v>450</v>
      </c>
      <c r="S85" s="388" t="s">
        <v>471</v>
      </c>
      <c r="T85" s="388" t="s">
        <v>451</v>
      </c>
      <c r="U85" s="388" t="s">
        <v>452</v>
      </c>
      <c r="V85" s="529" t="s">
        <v>453</v>
      </c>
      <c r="W85" s="388" t="s">
        <v>454</v>
      </c>
      <c r="X85" s="388" t="s">
        <v>455</v>
      </c>
      <c r="Y85" s="388" t="s">
        <v>224</v>
      </c>
      <c r="Z85" s="390"/>
      <c r="AA85" s="389"/>
      <c r="AB85" s="389"/>
      <c r="AC85" s="389"/>
      <c r="AD85" s="560"/>
      <c r="AE85" s="390"/>
    </row>
    <row r="86" spans="1:31">
      <c r="A86" s="531"/>
      <c r="B86" s="531"/>
      <c r="C86" s="531"/>
      <c r="E86" s="509">
        <v>3</v>
      </c>
      <c r="F86" s="388" t="s">
        <v>458</v>
      </c>
      <c r="G86" s="389"/>
      <c r="H86" s="504"/>
      <c r="I86" s="389"/>
      <c r="J86" s="513">
        <f>J84+J85</f>
        <v>92901326.889275551</v>
      </c>
      <c r="K86" s="1"/>
      <c r="L86" s="1"/>
      <c r="P86" s="394" t="s">
        <v>441</v>
      </c>
      <c r="Q86" s="391">
        <f>Rates!$G$45</f>
        <v>5.0522400000000003</v>
      </c>
      <c r="R86" s="391">
        <f>$J$45</f>
        <v>4.3997900000000003</v>
      </c>
      <c r="S86" s="391">
        <f>Q86</f>
        <v>5.0522400000000003</v>
      </c>
      <c r="T86" s="391">
        <f>R86</f>
        <v>4.3997900000000003</v>
      </c>
      <c r="U86" s="391">
        <f>Q86-R86</f>
        <v>0.65244999999999997</v>
      </c>
      <c r="V86" s="391">
        <f>S86-T86</f>
        <v>0.65244999999999997</v>
      </c>
      <c r="W86" s="512">
        <f>U86*'Seasonal Sales Volumes'!C4</f>
        <v>18227273.816999998</v>
      </c>
      <c r="X86" s="512">
        <f>V86*'Seasonal Sales Volumes'!D4</f>
        <v>46088397.933849998</v>
      </c>
      <c r="Y86" s="512">
        <f>W86+X86</f>
        <v>64315671.750849992</v>
      </c>
      <c r="Z86" s="390"/>
      <c r="AA86" s="389"/>
      <c r="AB86" s="389"/>
      <c r="AC86" s="389"/>
      <c r="AD86" s="560"/>
      <c r="AE86" s="390"/>
    </row>
    <row r="87" spans="1:31">
      <c r="A87" s="531"/>
      <c r="B87" s="531"/>
      <c r="C87" s="531"/>
      <c r="E87" s="509"/>
      <c r="F87" s="389"/>
      <c r="G87" s="389"/>
      <c r="H87" s="505"/>
      <c r="I87" s="389"/>
      <c r="J87" s="514"/>
      <c r="K87" s="1"/>
      <c r="L87" s="1"/>
      <c r="P87" s="394" t="s">
        <v>442</v>
      </c>
      <c r="Q87" s="391">
        <f>Rates!$G$45</f>
        <v>5.0522400000000003</v>
      </c>
      <c r="R87" s="391">
        <f t="shared" ref="R87:R88" si="4">$J$45</f>
        <v>4.3997900000000003</v>
      </c>
      <c r="S87" s="391">
        <f t="shared" ref="S87:T88" si="5">Q87</f>
        <v>5.0522400000000003</v>
      </c>
      <c r="T87" s="391">
        <f t="shared" si="5"/>
        <v>4.3997900000000003</v>
      </c>
      <c r="U87" s="391">
        <f>Q87-R87</f>
        <v>0.65244999999999997</v>
      </c>
      <c r="V87" s="391">
        <f>S87-T87</f>
        <v>0.65244999999999997</v>
      </c>
      <c r="W87" s="512">
        <f>U87*'Seasonal Sales Volumes'!C5</f>
        <v>1575306.5976</v>
      </c>
      <c r="X87" s="512">
        <f>V87*'Seasonal Sales Volumes'!D5</f>
        <v>1598321.1188999999</v>
      </c>
      <c r="Y87" s="512">
        <f t="shared" ref="Y87:Y89" si="6">W87+X87</f>
        <v>3173627.7165000001</v>
      </c>
      <c r="Z87" s="390"/>
      <c r="AA87" s="389"/>
      <c r="AB87" s="389"/>
      <c r="AC87" s="389"/>
      <c r="AD87" s="560"/>
      <c r="AE87" s="390"/>
    </row>
    <row r="88" spans="1:31">
      <c r="A88" s="531"/>
      <c r="B88" s="531"/>
      <c r="C88" s="531"/>
      <c r="E88" s="509">
        <v>4</v>
      </c>
      <c r="F88" s="388" t="s">
        <v>459</v>
      </c>
      <c r="G88" s="389"/>
      <c r="H88" s="505"/>
      <c r="I88" s="389"/>
      <c r="J88" s="514">
        <f>$H$66</f>
        <v>97172322</v>
      </c>
      <c r="K88" s="1"/>
      <c r="L88" s="1"/>
      <c r="P88" s="394" t="s">
        <v>443</v>
      </c>
      <c r="Q88" s="391">
        <f>Rates!$G$45</f>
        <v>5.0522400000000003</v>
      </c>
      <c r="R88" s="391">
        <f t="shared" si="4"/>
        <v>4.3997900000000003</v>
      </c>
      <c r="S88" s="391">
        <f t="shared" si="5"/>
        <v>5.0522400000000003</v>
      </c>
      <c r="T88" s="391">
        <f t="shared" si="5"/>
        <v>4.3997900000000003</v>
      </c>
      <c r="U88" s="391">
        <f>Q88-R88</f>
        <v>0.65244999999999997</v>
      </c>
      <c r="V88" s="391">
        <f>S88-T88</f>
        <v>0.65244999999999997</v>
      </c>
      <c r="W88" s="512">
        <f>U88*'Seasonal Sales Volumes'!C6</f>
        <v>181726.89849999998</v>
      </c>
      <c r="X88" s="512">
        <f>V88*'Seasonal Sales Volumes'!D6</f>
        <v>200452.21349999998</v>
      </c>
      <c r="Y88" s="512">
        <f t="shared" si="6"/>
        <v>382179.11199999996</v>
      </c>
      <c r="Z88" s="390"/>
      <c r="AA88" s="389"/>
      <c r="AB88" s="389"/>
      <c r="AC88" s="389"/>
      <c r="AD88" s="560"/>
      <c r="AE88" s="390"/>
    </row>
    <row r="89" spans="1:31">
      <c r="B89" s="531"/>
      <c r="C89" s="531"/>
      <c r="E89" s="509"/>
      <c r="F89" s="389"/>
      <c r="G89" s="389"/>
      <c r="H89" s="505"/>
      <c r="I89" s="389"/>
      <c r="J89" s="515"/>
      <c r="K89" s="1"/>
      <c r="L89" s="1"/>
      <c r="P89" s="394" t="s">
        <v>444</v>
      </c>
      <c r="Q89" s="391"/>
      <c r="R89" s="391"/>
      <c r="S89" s="391">
        <f t="shared" ref="S89" si="7">Q89-R89</f>
        <v>0</v>
      </c>
      <c r="T89" s="388">
        <f>S89*'Seasonal Sales Volumes'!D29</f>
        <v>0</v>
      </c>
      <c r="U89" s="389"/>
      <c r="V89" s="505"/>
      <c r="W89" s="512">
        <f>U89*'Seasonal Sales Volumes'!B29</f>
        <v>0</v>
      </c>
      <c r="X89" s="512">
        <f>V89*'Seasonal Sales Volumes'!C29</f>
        <v>0</v>
      </c>
      <c r="Y89" s="512">
        <f t="shared" si="6"/>
        <v>0</v>
      </c>
      <c r="Z89" s="390"/>
      <c r="AA89" s="389"/>
      <c r="AB89" s="389"/>
      <c r="AC89" s="389"/>
      <c r="AD89" s="560"/>
      <c r="AE89" s="390"/>
    </row>
    <row r="90" spans="1:31" ht="12" thickBot="1">
      <c r="E90" s="509">
        <v>5</v>
      </c>
      <c r="F90" s="388" t="s">
        <v>460</v>
      </c>
      <c r="G90" s="389"/>
      <c r="H90" s="504"/>
      <c r="I90" s="389"/>
      <c r="J90" s="513">
        <f>J86-J88</f>
        <v>-4270995.1107244492</v>
      </c>
      <c r="K90" s="1"/>
      <c r="L90" s="1"/>
      <c r="P90" s="387"/>
      <c r="Q90" s="389"/>
      <c r="R90" s="389"/>
      <c r="S90" s="389"/>
      <c r="T90" s="500"/>
      <c r="U90" s="389"/>
      <c r="V90" s="505"/>
      <c r="W90" s="502">
        <f>SUM(W86:W89)</f>
        <v>19984307.313099999</v>
      </c>
      <c r="X90" s="502">
        <f>SUM(X86:X89)</f>
        <v>47887171.266249999</v>
      </c>
      <c r="Y90" s="502">
        <f>SUM(Y86:Y89)</f>
        <v>67871478.579349995</v>
      </c>
      <c r="Z90" s="390"/>
      <c r="AA90" s="396"/>
      <c r="AB90" s="396"/>
      <c r="AC90" s="396"/>
      <c r="AD90" s="563"/>
      <c r="AE90" s="397"/>
    </row>
    <row r="91" spans="1:31" ht="12" thickTop="1">
      <c r="E91" s="509"/>
      <c r="F91" s="389"/>
      <c r="G91" s="389"/>
      <c r="H91" s="389"/>
      <c r="I91" s="389"/>
      <c r="J91" s="514"/>
      <c r="K91" s="1"/>
      <c r="L91" s="1"/>
      <c r="P91" s="801"/>
      <c r="Q91" s="803"/>
      <c r="R91" s="803"/>
      <c r="S91" s="389"/>
      <c r="T91" s="389"/>
      <c r="U91" s="389"/>
      <c r="V91" s="505"/>
      <c r="W91" s="389"/>
      <c r="X91" s="389"/>
      <c r="Y91" s="389"/>
      <c r="Z91" s="390"/>
    </row>
    <row r="92" spans="1:31">
      <c r="E92" s="516" t="s">
        <v>462</v>
      </c>
      <c r="F92" s="388" t="s">
        <v>465</v>
      </c>
      <c r="G92" s="389"/>
      <c r="H92" s="389"/>
      <c r="I92" s="389"/>
      <c r="J92" s="514"/>
      <c r="K92" s="1"/>
      <c r="L92" s="1"/>
      <c r="P92" s="394" t="s">
        <v>473</v>
      </c>
      <c r="Q92" s="800"/>
      <c r="R92" s="800"/>
      <c r="S92" s="389"/>
      <c r="T92" s="389"/>
      <c r="U92" s="389"/>
      <c r="V92" s="505"/>
      <c r="W92" s="389"/>
      <c r="X92" s="389"/>
      <c r="Y92" s="389"/>
      <c r="Z92" s="390"/>
    </row>
    <row r="93" spans="1:31">
      <c r="E93" s="516" t="s">
        <v>463</v>
      </c>
      <c r="F93" s="804" t="s">
        <v>577</v>
      </c>
      <c r="G93" s="389"/>
      <c r="H93" s="389">
        <f>H62</f>
        <v>2631447</v>
      </c>
      <c r="I93" s="391">
        <f>J62</f>
        <v>0.17930048000000001</v>
      </c>
      <c r="J93" s="513">
        <f>H93*I93</f>
        <v>471819.71019456006</v>
      </c>
      <c r="K93" s="1"/>
      <c r="L93" s="1"/>
      <c r="P93" s="394" t="s">
        <v>441</v>
      </c>
      <c r="Q93" s="391">
        <f>$G$46</f>
        <v>0.22364000000000001</v>
      </c>
      <c r="R93" s="391">
        <f>$J$46</f>
        <v>2.9860000000000001E-2</v>
      </c>
      <c r="S93" s="391">
        <f>Q93</f>
        <v>0.22364000000000001</v>
      </c>
      <c r="T93" s="391">
        <f>R93</f>
        <v>2.9860000000000001E-2</v>
      </c>
      <c r="U93" s="391">
        <f>Q93-R93</f>
        <v>0.19378000000000001</v>
      </c>
      <c r="V93" s="391">
        <f>S93-T93</f>
        <v>0.19378000000000001</v>
      </c>
      <c r="W93" s="512">
        <f>U93*'Seasonal Sales Volumes'!C4</f>
        <v>5413565.9748</v>
      </c>
      <c r="X93" s="512">
        <f>V93*'Seasonal Sales Volumes'!D4</f>
        <v>13688420.18794</v>
      </c>
      <c r="Y93" s="512">
        <f>W93+X93</f>
        <v>19101986.16274</v>
      </c>
      <c r="Z93" s="390"/>
    </row>
    <row r="94" spans="1:31">
      <c r="E94" s="516" t="s">
        <v>464</v>
      </c>
      <c r="F94" s="804" t="s">
        <v>578</v>
      </c>
      <c r="G94" s="389"/>
      <c r="H94" s="389">
        <f>H62</f>
        <v>2631447</v>
      </c>
      <c r="I94" s="391">
        <f>G62</f>
        <v>0.18053092049158934</v>
      </c>
      <c r="J94" s="513">
        <f>H94*I94</f>
        <v>475057.54913483129</v>
      </c>
      <c r="K94" s="1"/>
      <c r="L94" s="1"/>
      <c r="P94" s="394" t="s">
        <v>442</v>
      </c>
      <c r="Q94" s="391">
        <f t="shared" ref="Q94:Q95" si="8">$G$46</f>
        <v>0.22364000000000001</v>
      </c>
      <c r="R94" s="391">
        <f t="shared" ref="R94:R95" si="9">$J$46</f>
        <v>2.9860000000000001E-2</v>
      </c>
      <c r="S94" s="391">
        <f t="shared" ref="S94:T96" si="10">Q94</f>
        <v>0.22364000000000001</v>
      </c>
      <c r="T94" s="391">
        <f t="shared" si="10"/>
        <v>2.9860000000000001E-2</v>
      </c>
      <c r="U94" s="391">
        <f t="shared" ref="U94:U96" si="11">Q94-R94</f>
        <v>0.19378000000000001</v>
      </c>
      <c r="V94" s="391">
        <f t="shared" ref="V94:V96" si="12">S94-T94</f>
        <v>0.19378000000000001</v>
      </c>
      <c r="W94" s="512">
        <f>U94*'Seasonal Sales Volumes'!C5</f>
        <v>467871.73344000004</v>
      </c>
      <c r="X94" s="512">
        <f>V94*'Seasonal Sales Volumes'!D5</f>
        <v>474707.12916000001</v>
      </c>
      <c r="Y94" s="512">
        <f t="shared" ref="Y94:Y96" si="13">W94+X94</f>
        <v>942578.86260000011</v>
      </c>
      <c r="Z94" s="390"/>
    </row>
    <row r="95" spans="1:31">
      <c r="D95" s="44"/>
      <c r="E95" s="509"/>
      <c r="F95" s="389"/>
      <c r="G95" s="517"/>
      <c r="H95" s="389"/>
      <c r="I95" s="389"/>
      <c r="J95" s="518"/>
      <c r="P95" s="394" t="s">
        <v>443</v>
      </c>
      <c r="Q95" s="391">
        <f t="shared" si="8"/>
        <v>0.22364000000000001</v>
      </c>
      <c r="R95" s="391">
        <f t="shared" si="9"/>
        <v>2.9860000000000001E-2</v>
      </c>
      <c r="S95" s="391">
        <f t="shared" si="10"/>
        <v>0.22364000000000001</v>
      </c>
      <c r="T95" s="391">
        <f t="shared" si="10"/>
        <v>2.9860000000000001E-2</v>
      </c>
      <c r="U95" s="391">
        <f t="shared" si="11"/>
        <v>0.19378000000000001</v>
      </c>
      <c r="V95" s="391">
        <f t="shared" si="12"/>
        <v>0.19378000000000001</v>
      </c>
      <c r="W95" s="512">
        <f>U95*'Seasonal Sales Volumes'!C6</f>
        <v>53973.543400000002</v>
      </c>
      <c r="X95" s="512">
        <f>V95*'Seasonal Sales Volumes'!D6</f>
        <v>59535.029399999999</v>
      </c>
      <c r="Y95" s="512">
        <f t="shared" si="13"/>
        <v>113508.57279999999</v>
      </c>
      <c r="Z95" s="390"/>
    </row>
    <row r="96" spans="1:31">
      <c r="E96" s="519">
        <v>7</v>
      </c>
      <c r="F96" s="520" t="s">
        <v>467</v>
      </c>
      <c r="G96" s="521"/>
      <c r="H96" s="497"/>
      <c r="I96" s="497"/>
      <c r="J96" s="522">
        <f>L51</f>
        <v>-4.4200731624486372E-2</v>
      </c>
      <c r="P96" s="394" t="s">
        <v>444</v>
      </c>
      <c r="Q96" s="391"/>
      <c r="R96" s="391"/>
      <c r="S96" s="391">
        <f t="shared" si="10"/>
        <v>0</v>
      </c>
      <c r="T96" s="391">
        <f t="shared" si="10"/>
        <v>0</v>
      </c>
      <c r="U96" s="391">
        <f t="shared" si="11"/>
        <v>0</v>
      </c>
      <c r="V96" s="391">
        <f t="shared" si="12"/>
        <v>0</v>
      </c>
      <c r="W96" s="512">
        <f>U96*'Seasonal Sales Volumes'!C7</f>
        <v>0</v>
      </c>
      <c r="X96" s="512">
        <f>V96*'Seasonal Sales Volumes'!D7</f>
        <v>0</v>
      </c>
      <c r="Y96" s="512">
        <f t="shared" si="13"/>
        <v>0</v>
      </c>
      <c r="Z96" s="390"/>
    </row>
    <row r="97" spans="16:27" ht="12" thickBot="1">
      <c r="P97" s="798"/>
      <c r="Q97" s="800"/>
      <c r="R97" s="800"/>
      <c r="S97" s="389"/>
      <c r="T97" s="389"/>
      <c r="U97" s="389"/>
      <c r="V97" s="505"/>
      <c r="W97" s="502">
        <f>SUM(W93:W96)</f>
        <v>5935411.2516399994</v>
      </c>
      <c r="X97" s="502">
        <f>SUM(X93:X96)</f>
        <v>14222662.3465</v>
      </c>
      <c r="Y97" s="502">
        <f>SUM(Y93:Y96)</f>
        <v>20158073.598139998</v>
      </c>
      <c r="Z97" s="812">
        <f>Y90+Y97</f>
        <v>88029552.177489996</v>
      </c>
    </row>
    <row r="98" spans="16:27" ht="12" thickTop="1">
      <c r="P98" s="387"/>
      <c r="Q98" s="389"/>
      <c r="R98" s="389"/>
      <c r="S98" s="389"/>
      <c r="T98" s="389"/>
      <c r="U98" s="389"/>
      <c r="V98" s="505"/>
      <c r="W98" s="389"/>
      <c r="X98" s="389"/>
      <c r="Y98" s="389"/>
      <c r="Z98" s="390"/>
    </row>
    <row r="99" spans="16:27">
      <c r="P99" s="387"/>
      <c r="Q99" s="389"/>
      <c r="R99" s="389"/>
      <c r="S99" s="389"/>
      <c r="T99" s="389"/>
      <c r="U99" s="389"/>
      <c r="V99" s="505"/>
      <c r="W99" s="389"/>
      <c r="X99" s="389"/>
      <c r="Y99" s="389"/>
      <c r="Z99" s="390"/>
    </row>
    <row r="100" spans="16:27">
      <c r="P100" s="797" t="s">
        <v>474</v>
      </c>
      <c r="Q100" s="388" t="s">
        <v>470</v>
      </c>
      <c r="R100" s="388" t="s">
        <v>450</v>
      </c>
      <c r="S100" s="388" t="s">
        <v>471</v>
      </c>
      <c r="T100" s="388" t="s">
        <v>451</v>
      </c>
      <c r="U100" s="388" t="s">
        <v>452</v>
      </c>
      <c r="V100" s="529" t="s">
        <v>453</v>
      </c>
      <c r="W100" s="388" t="s">
        <v>454</v>
      </c>
      <c r="X100" s="388" t="s">
        <v>455</v>
      </c>
      <c r="Y100" s="388" t="s">
        <v>224</v>
      </c>
      <c r="Z100" s="390"/>
    </row>
    <row r="101" spans="16:27">
      <c r="P101" s="802" t="s">
        <v>446</v>
      </c>
      <c r="Q101" s="391">
        <f>U62</f>
        <v>0.52593000000000001</v>
      </c>
      <c r="R101" s="391">
        <f>T62</f>
        <v>0.51724999999999999</v>
      </c>
      <c r="S101" s="391">
        <f>U61</f>
        <v>1.12016</v>
      </c>
      <c r="T101" s="391">
        <f>T61</f>
        <v>1.10168</v>
      </c>
      <c r="U101" s="391">
        <f>Q101-R101</f>
        <v>8.680000000000021E-3</v>
      </c>
      <c r="V101" s="391">
        <f>S101-T101</f>
        <v>1.8480000000000052E-2</v>
      </c>
      <c r="W101" s="512">
        <f>U101*'Seasonal Sales Volumes'!C4</f>
        <v>242490.20880000058</v>
      </c>
      <c r="X101" s="512">
        <f>V101*'Seasonal Sales Volumes'!D4</f>
        <v>1305408.2210400037</v>
      </c>
      <c r="Y101" s="512">
        <f>W101+X101</f>
        <v>1547898.4298400043</v>
      </c>
      <c r="Z101" s="390"/>
    </row>
    <row r="102" spans="16:27">
      <c r="P102" s="802" t="s">
        <v>447</v>
      </c>
      <c r="Q102" s="391">
        <f>U65</f>
        <v>0.52590999999999999</v>
      </c>
      <c r="R102" s="391">
        <f>T65</f>
        <v>0.51722999999999997</v>
      </c>
      <c r="S102" s="391">
        <f>U64</f>
        <v>1.0909899999999999</v>
      </c>
      <c r="T102" s="391">
        <f>T64</f>
        <v>1.0729900000000001</v>
      </c>
      <c r="U102" s="391">
        <f>Q102-R102</f>
        <v>8.680000000000021E-3</v>
      </c>
      <c r="V102" s="391">
        <f>S102-T102</f>
        <v>1.7999999999999794E-2</v>
      </c>
      <c r="W102" s="512">
        <f>U102*'Seasonal Sales Volumes'!C5</f>
        <v>20957.408640000052</v>
      </c>
      <c r="X102" s="512">
        <f>V102*'Seasonal Sales Volumes'!D5</f>
        <v>44094.995999999497</v>
      </c>
      <c r="Y102" s="512">
        <f t="shared" ref="Y102:Y104" si="14">W102+X102</f>
        <v>65052.40463999955</v>
      </c>
      <c r="Z102" s="390"/>
    </row>
    <row r="103" spans="16:27">
      <c r="P103" s="802" t="s">
        <v>448</v>
      </c>
      <c r="Q103" s="391">
        <f>U69</f>
        <v>0.80833999999999995</v>
      </c>
      <c r="R103" s="391">
        <f>T69</f>
        <v>0.79500000000000004</v>
      </c>
      <c r="S103" s="391">
        <f>U69</f>
        <v>0.80833999999999995</v>
      </c>
      <c r="T103" s="391">
        <f t="shared" ref="T103" si="15">R103</f>
        <v>0.79500000000000004</v>
      </c>
      <c r="U103" s="391">
        <f>Q103-R103</f>
        <v>1.3339999999999907E-2</v>
      </c>
      <c r="V103" s="391">
        <f>S103-T103</f>
        <v>1.3339999999999907E-2</v>
      </c>
      <c r="W103" s="512">
        <f>U103*'Seasonal Sales Volumes'!C6</f>
        <v>3715.5901999999742</v>
      </c>
      <c r="X103" s="512">
        <f>V103*'Seasonal Sales Volumes'!D6</f>
        <v>4098.4481999999716</v>
      </c>
      <c r="Y103" s="512">
        <f t="shared" si="14"/>
        <v>7814.0383999999458</v>
      </c>
      <c r="Z103" s="390"/>
    </row>
    <row r="104" spans="16:27">
      <c r="P104" s="802" t="s">
        <v>449</v>
      </c>
      <c r="Q104" s="391">
        <f>U77</f>
        <v>0.18098337893893668</v>
      </c>
      <c r="R104" s="391">
        <f>T77</f>
        <v>0.17893999999999999</v>
      </c>
      <c r="S104" s="391">
        <f>Q104</f>
        <v>0.18098337893893668</v>
      </c>
      <c r="T104" s="391">
        <f>R104</f>
        <v>0.17893999999999999</v>
      </c>
      <c r="U104" s="391">
        <f>Q104-R104</f>
        <v>2.0433789389366908E-3</v>
      </c>
      <c r="V104" s="391">
        <f>S104-T104</f>
        <v>2.0433789389366908E-3</v>
      </c>
      <c r="W104" s="512">
        <f>U104*'Seasonal Sales Volumes'!C7</f>
        <v>3135.180826557832</v>
      </c>
      <c r="X104" s="512">
        <f>V104*'Seasonal Sales Volumes'!D7</f>
        <v>2241.8625521703061</v>
      </c>
      <c r="Y104" s="512">
        <f t="shared" si="14"/>
        <v>5377.0433787281381</v>
      </c>
      <c r="Z104" s="390"/>
    </row>
    <row r="105" spans="16:27" ht="12" thickBot="1">
      <c r="P105" s="387"/>
      <c r="Q105" s="389"/>
      <c r="R105" s="389"/>
      <c r="S105" s="389"/>
      <c r="T105" s="500"/>
      <c r="U105" s="389"/>
      <c r="V105" s="505"/>
      <c r="W105" s="502">
        <f>SUM(W101:W104)</f>
        <v>270298.38846655848</v>
      </c>
      <c r="X105" s="502">
        <f>SUM(X101:X104)</f>
        <v>1355843.5277921737</v>
      </c>
      <c r="Y105" s="502">
        <f>SUM(Y101:Y104)</f>
        <v>1626141.9162587321</v>
      </c>
      <c r="Z105" s="390">
        <v>0</v>
      </c>
      <c r="AA105" s="352" t="s">
        <v>479</v>
      </c>
    </row>
    <row r="106" spans="16:27" ht="12" thickTop="1">
      <c r="P106" s="801"/>
      <c r="Q106" s="803"/>
      <c r="R106" s="803"/>
      <c r="S106" s="389"/>
      <c r="T106" s="389"/>
      <c r="U106" s="389"/>
      <c r="V106" s="505"/>
      <c r="W106" s="389"/>
      <c r="X106" s="389"/>
      <c r="Y106" s="389"/>
      <c r="Z106" s="390"/>
    </row>
    <row r="107" spans="16:27">
      <c r="P107" s="797" t="s">
        <v>475</v>
      </c>
      <c r="Q107" s="800"/>
      <c r="R107" s="800"/>
      <c r="S107" s="389"/>
      <c r="T107" s="389"/>
      <c r="U107" s="389"/>
      <c r="V107" s="505"/>
      <c r="W107" s="389"/>
      <c r="X107" s="389"/>
      <c r="Y107" s="389"/>
      <c r="Z107" s="390"/>
    </row>
    <row r="108" spans="16:27">
      <c r="P108" s="802" t="s">
        <v>446</v>
      </c>
      <c r="Q108" s="391">
        <f>V62</f>
        <v>-3.1540000000000012E-2</v>
      </c>
      <c r="R108" s="799">
        <f>T33</f>
        <v>0</v>
      </c>
      <c r="S108" s="391">
        <f>V61</f>
        <v>-6.7180000000000017E-2</v>
      </c>
      <c r="T108" s="799">
        <f>T32</f>
        <v>0</v>
      </c>
      <c r="U108" s="391">
        <f>Q108-R108</f>
        <v>-3.1540000000000012E-2</v>
      </c>
      <c r="V108" s="391">
        <f>S108-T108</f>
        <v>-6.7180000000000017E-2</v>
      </c>
      <c r="W108" s="512">
        <f>U108*'Seasonal Sales Volumes'!C4</f>
        <v>-881122.2564000003</v>
      </c>
      <c r="X108" s="512">
        <f>V108*'Seasonal Sales Volumes'!D4</f>
        <v>-4745526.2061400013</v>
      </c>
      <c r="Y108" s="512">
        <f>W108+X108</f>
        <v>-5626648.4625400016</v>
      </c>
      <c r="Z108" s="390"/>
    </row>
    <row r="109" spans="16:27">
      <c r="P109" s="802" t="s">
        <v>447</v>
      </c>
      <c r="Q109" s="391">
        <f>V65</f>
        <v>-3.1540000000000012E-2</v>
      </c>
      <c r="R109" s="799">
        <f>T35</f>
        <v>0</v>
      </c>
      <c r="S109" s="391">
        <f>V64</f>
        <v>-6.5429999999999877E-2</v>
      </c>
      <c r="T109" s="799">
        <f>T34</f>
        <v>0</v>
      </c>
      <c r="U109" s="391">
        <f t="shared" ref="U109:U111" si="16">Q109-R109</f>
        <v>-3.1540000000000012E-2</v>
      </c>
      <c r="V109" s="391">
        <f t="shared" ref="V109:V111" si="17">S109-T109</f>
        <v>-6.5429999999999877E-2</v>
      </c>
      <c r="W109" s="512">
        <f>U109*'Seasonal Sales Volumes'!C5</f>
        <v>-76151.689920000033</v>
      </c>
      <c r="X109" s="512">
        <f>V109*'Seasonal Sales Volumes'!D5</f>
        <v>-160285.31045999969</v>
      </c>
      <c r="Y109" s="512">
        <f t="shared" ref="Y109:Y111" si="18">W109+X109</f>
        <v>-236437.00037999972</v>
      </c>
      <c r="Z109" s="390"/>
    </row>
    <row r="110" spans="16:27">
      <c r="P110" s="802" t="s">
        <v>448</v>
      </c>
      <c r="Q110" s="391">
        <f>V69</f>
        <v>-4.8479999999999968E-2</v>
      </c>
      <c r="R110" s="799">
        <f>T37</f>
        <v>0</v>
      </c>
      <c r="S110" s="391">
        <f>Q110</f>
        <v>-4.8479999999999968E-2</v>
      </c>
      <c r="T110" s="391">
        <f>R110</f>
        <v>0</v>
      </c>
      <c r="U110" s="391">
        <f t="shared" si="16"/>
        <v>-4.8479999999999968E-2</v>
      </c>
      <c r="V110" s="391">
        <f t="shared" si="17"/>
        <v>-4.8479999999999968E-2</v>
      </c>
      <c r="W110" s="512">
        <f>U110*'Seasonal Sales Volumes'!C6</f>
        <v>-13503.134399999992</v>
      </c>
      <c r="X110" s="512">
        <f>V110*'Seasonal Sales Volumes'!D6</f>
        <v>-14894.51039999999</v>
      </c>
      <c r="Y110" s="512">
        <f t="shared" si="18"/>
        <v>-28397.64479999998</v>
      </c>
      <c r="Z110" s="390"/>
    </row>
    <row r="111" spans="16:27">
      <c r="P111" s="802" t="s">
        <v>449</v>
      </c>
      <c r="Q111" s="391"/>
      <c r="R111" s="391"/>
      <c r="S111" s="391"/>
      <c r="T111" s="391"/>
      <c r="U111" s="391">
        <f t="shared" si="16"/>
        <v>0</v>
      </c>
      <c r="V111" s="391">
        <f t="shared" si="17"/>
        <v>0</v>
      </c>
      <c r="W111" s="512">
        <f>U111*'Seasonal Sales Volumes'!C22</f>
        <v>0</v>
      </c>
      <c r="X111" s="512">
        <f>V111*'Seasonal Sales Volumes'!D22</f>
        <v>0</v>
      </c>
      <c r="Y111" s="512">
        <f t="shared" si="18"/>
        <v>0</v>
      </c>
      <c r="Z111" s="390"/>
    </row>
    <row r="112" spans="16:27" ht="12" thickBot="1">
      <c r="P112" s="798"/>
      <c r="Q112" s="800"/>
      <c r="R112" s="800"/>
      <c r="S112" s="389"/>
      <c r="T112" s="389"/>
      <c r="U112" s="389"/>
      <c r="V112" s="505"/>
      <c r="W112" s="502">
        <f>SUM(W108:W111)</f>
        <v>-970777.08072000032</v>
      </c>
      <c r="X112" s="502">
        <f>SUM(X108:X111)</f>
        <v>-4920706.0270000007</v>
      </c>
      <c r="Y112" s="502">
        <f>SUM(Y108:Y111)</f>
        <v>-5891483.1077200016</v>
      </c>
      <c r="Z112" s="812">
        <f>Y105+Y112+Z105</f>
        <v>-4265341.1914612697</v>
      </c>
    </row>
    <row r="113" spans="6:26" ht="12" thickTop="1">
      <c r="P113" s="387"/>
      <c r="Q113" s="389"/>
      <c r="R113" s="389"/>
      <c r="S113" s="389"/>
      <c r="T113" s="389"/>
      <c r="U113" s="389"/>
      <c r="V113" s="389"/>
      <c r="W113" s="389"/>
      <c r="X113" s="389"/>
      <c r="Y113" s="389"/>
      <c r="Z113" s="390"/>
    </row>
    <row r="114" spans="6:26">
      <c r="P114" s="387"/>
      <c r="Q114" s="389"/>
      <c r="R114" s="389"/>
      <c r="S114" s="389"/>
      <c r="T114" s="389"/>
      <c r="U114" s="389"/>
      <c r="V114" s="389"/>
      <c r="W114" s="389"/>
      <c r="X114" s="389"/>
      <c r="Y114" s="389"/>
      <c r="Z114" s="390"/>
    </row>
    <row r="115" spans="6:26" ht="12" thickBot="1">
      <c r="P115" s="394"/>
      <c r="Q115" s="388"/>
      <c r="R115" s="388"/>
      <c r="S115" s="388"/>
      <c r="T115" s="529"/>
      <c r="U115" s="529"/>
      <c r="V115" s="529"/>
      <c r="W115" s="529"/>
      <c r="X115" s="529"/>
      <c r="Y115" s="529" t="s">
        <v>224</v>
      </c>
      <c r="Z115" s="813">
        <f>Z97+Z112</f>
        <v>83764210.986028731</v>
      </c>
    </row>
    <row r="116" spans="6:26" ht="12.75" thickTop="1" thickBot="1">
      <c r="P116" s="395"/>
      <c r="Q116" s="396"/>
      <c r="R116" s="396"/>
      <c r="S116" s="396"/>
      <c r="T116" s="396"/>
      <c r="U116" s="396"/>
      <c r="V116" s="396"/>
      <c r="W116" s="396"/>
      <c r="X116" s="396"/>
      <c r="Y116" s="396"/>
      <c r="Z116" s="397"/>
    </row>
    <row r="123" spans="6:26" ht="12.75">
      <c r="F123" s="845"/>
      <c r="G123" s="846"/>
      <c r="H123" s="847"/>
      <c r="I123" s="847"/>
      <c r="J123" s="847"/>
      <c r="K123" s="848"/>
      <c r="L123" s="848"/>
      <c r="M123" s="848"/>
      <c r="N123" s="848"/>
      <c r="O123" s="848"/>
      <c r="P123" s="848"/>
      <c r="Q123" s="848"/>
      <c r="R123" s="848"/>
      <c r="S123" s="848"/>
      <c r="T123" s="848"/>
      <c r="U123" s="848"/>
      <c r="V123" s="849" t="s">
        <v>592</v>
      </c>
      <c r="W123" s="850"/>
    </row>
    <row r="124" spans="6:26" ht="12.75">
      <c r="F124" s="848"/>
      <c r="G124" s="851"/>
      <c r="H124" s="989" t="s">
        <v>593</v>
      </c>
      <c r="I124" s="989"/>
      <c r="J124" s="989"/>
      <c r="K124" s="989"/>
      <c r="L124" s="989"/>
      <c r="M124" s="989"/>
      <c r="N124" s="848"/>
      <c r="O124" s="989" t="s">
        <v>157</v>
      </c>
      <c r="P124" s="989"/>
      <c r="Q124" s="989"/>
      <c r="R124" s="989"/>
      <c r="S124" s="989"/>
      <c r="T124" s="989"/>
      <c r="U124" s="848"/>
      <c r="V124" s="990" t="s">
        <v>167</v>
      </c>
      <c r="W124" s="990"/>
    </row>
    <row r="125" spans="6:26" ht="12.75">
      <c r="F125" s="850"/>
      <c r="G125" s="848"/>
      <c r="H125" s="852" t="s">
        <v>430</v>
      </c>
      <c r="I125" s="852" t="s">
        <v>594</v>
      </c>
      <c r="J125" s="852" t="s">
        <v>430</v>
      </c>
      <c r="K125" s="852" t="s">
        <v>594</v>
      </c>
      <c r="L125" s="852" t="s">
        <v>77</v>
      </c>
      <c r="M125" s="852" t="s">
        <v>160</v>
      </c>
      <c r="N125" s="848"/>
      <c r="O125" s="852" t="s">
        <v>430</v>
      </c>
      <c r="P125" s="852" t="s">
        <v>594</v>
      </c>
      <c r="Q125" s="852" t="s">
        <v>430</v>
      </c>
      <c r="R125" s="852" t="s">
        <v>594</v>
      </c>
      <c r="S125" s="852" t="s">
        <v>77</v>
      </c>
      <c r="T125" s="852" t="s">
        <v>160</v>
      </c>
      <c r="U125" s="848"/>
      <c r="V125" s="852" t="s">
        <v>77</v>
      </c>
      <c r="W125" s="852" t="s">
        <v>160</v>
      </c>
    </row>
    <row r="126" spans="6:26" ht="13.5" thickBot="1">
      <c r="F126" s="853" t="s">
        <v>595</v>
      </c>
      <c r="G126" s="854" t="s">
        <v>596</v>
      </c>
      <c r="H126" s="853" t="s">
        <v>597</v>
      </c>
      <c r="I126" s="853" t="s">
        <v>597</v>
      </c>
      <c r="J126" s="853" t="s">
        <v>77</v>
      </c>
      <c r="K126" s="853" t="s">
        <v>77</v>
      </c>
      <c r="L126" s="853" t="s">
        <v>598</v>
      </c>
      <c r="M126" s="853" t="s">
        <v>162</v>
      </c>
      <c r="N126" s="848"/>
      <c r="O126" s="853" t="s">
        <v>597</v>
      </c>
      <c r="P126" s="853" t="s">
        <v>597</v>
      </c>
      <c r="Q126" s="853" t="s">
        <v>77</v>
      </c>
      <c r="R126" s="853" t="s">
        <v>77</v>
      </c>
      <c r="S126" s="853" t="s">
        <v>598</v>
      </c>
      <c r="T126" s="853" t="s">
        <v>162</v>
      </c>
      <c r="U126" s="848"/>
      <c r="V126" s="853" t="s">
        <v>598</v>
      </c>
      <c r="W126" s="853" t="s">
        <v>162</v>
      </c>
    </row>
    <row r="127" spans="6:26" ht="12.75">
      <c r="F127" s="848"/>
      <c r="G127" s="848"/>
      <c r="H127" s="848"/>
      <c r="I127" s="848"/>
      <c r="J127" s="848"/>
      <c r="K127" s="848"/>
      <c r="L127" s="848"/>
      <c r="M127" s="848"/>
      <c r="N127" s="848"/>
      <c r="O127" s="848"/>
      <c r="P127" s="848"/>
      <c r="Q127" s="848"/>
      <c r="R127" s="848"/>
      <c r="S127" s="848"/>
      <c r="T127" s="848"/>
      <c r="U127" s="848"/>
      <c r="V127" s="848"/>
      <c r="W127" s="848"/>
    </row>
    <row r="128" spans="6:26" ht="12.75">
      <c r="F128" s="855" t="s">
        <v>599</v>
      </c>
      <c r="G128" s="856">
        <f>'Seasonal Sales Volumes'!D4</f>
        <v>70638973</v>
      </c>
      <c r="H128" s="857">
        <f>J47</f>
        <v>4.4296500000000005</v>
      </c>
      <c r="I128" s="857">
        <f>G47</f>
        <v>5.2758799999999999</v>
      </c>
      <c r="J128" s="858">
        <f>ROUND(G128*H128,0)</f>
        <v>312905927</v>
      </c>
      <c r="K128" s="858">
        <f>ROUND(G128*I128,0)</f>
        <v>372682745</v>
      </c>
      <c r="L128" s="858">
        <f>K128-J128</f>
        <v>59776818</v>
      </c>
      <c r="M128" s="859"/>
      <c r="N128" s="858"/>
      <c r="O128" s="857">
        <f>S61</f>
        <v>1.10168</v>
      </c>
      <c r="P128" s="857">
        <f>IF('Seasonal Sales Volumes'!$N$1="yes",Rates!U61,Rates!W61)</f>
        <v>1.05298</v>
      </c>
      <c r="Q128" s="858">
        <f>ROUND('191 Sales Volumes '!P64*O128,0)</f>
        <v>77821544</v>
      </c>
      <c r="R128" s="858">
        <f>ROUND('Seasonal Sales Volumes'!D4*P128,0)</f>
        <v>74381426</v>
      </c>
      <c r="S128" s="858">
        <f>R128-Q128</f>
        <v>-3440118</v>
      </c>
      <c r="T128" s="859"/>
      <c r="U128" s="848"/>
      <c r="V128" s="858">
        <f>L128+S128</f>
        <v>56336700</v>
      </c>
      <c r="W128" s="859"/>
    </row>
    <row r="129" spans="6:23" ht="12.75">
      <c r="F129" s="855" t="s">
        <v>600</v>
      </c>
      <c r="G129" s="856">
        <f>'Seasonal Sales Volumes'!C4</f>
        <v>27936660</v>
      </c>
      <c r="H129" s="857">
        <f>J47</f>
        <v>4.4296500000000005</v>
      </c>
      <c r="I129" s="857">
        <f>G47</f>
        <v>5.2758799999999999</v>
      </c>
      <c r="J129" s="858">
        <f>ROUND(G129*H129,0)</f>
        <v>123749626</v>
      </c>
      <c r="K129" s="858">
        <f>ROUND(G129*I129,0)</f>
        <v>147390466</v>
      </c>
      <c r="L129" s="858">
        <f>K129-J129</f>
        <v>23640840</v>
      </c>
      <c r="M129" s="859"/>
      <c r="N129" s="848"/>
      <c r="O129" s="857">
        <f>S62</f>
        <v>0.51724999999999999</v>
      </c>
      <c r="P129" s="857">
        <f>IF('Seasonal Sales Volumes'!$N$1="yes",Rates!U62,Rates!W62)</f>
        <v>0.49439</v>
      </c>
      <c r="Q129" s="858">
        <f>ROUND('191 Sales Volumes '!P65*O129,0)</f>
        <v>14450237</v>
      </c>
      <c r="R129" s="858">
        <f>ROUND('Seasonal Sales Volumes'!C4*P129,0)</f>
        <v>13811605</v>
      </c>
      <c r="S129" s="858">
        <f>R129-Q129</f>
        <v>-638632</v>
      </c>
      <c r="T129" s="859"/>
      <c r="U129" s="848"/>
      <c r="V129" s="858">
        <f>L129+S129</f>
        <v>23002208</v>
      </c>
      <c r="W129" s="859"/>
    </row>
    <row r="130" spans="6:23" ht="12.75">
      <c r="F130" s="861" t="s">
        <v>1</v>
      </c>
      <c r="G130" s="862">
        <f>G128+G129</f>
        <v>98575633</v>
      </c>
      <c r="H130" s="857"/>
      <c r="I130" s="857"/>
      <c r="J130" s="878">
        <f>J128+J129</f>
        <v>436655553</v>
      </c>
      <c r="K130" s="878">
        <f>K128+K129</f>
        <v>520073211</v>
      </c>
      <c r="L130" s="878">
        <f>L128+L129</f>
        <v>83417658</v>
      </c>
      <c r="M130" s="879">
        <f>IF(L130=0,0,L130/J130)</f>
        <v>0.19103766670751579</v>
      </c>
      <c r="N130" s="848"/>
      <c r="O130" s="857"/>
      <c r="P130" s="857"/>
      <c r="Q130" s="878">
        <f>Q128+Q129</f>
        <v>92271781</v>
      </c>
      <c r="R130" s="878">
        <f>R128+R129</f>
        <v>88193031</v>
      </c>
      <c r="S130" s="878">
        <f>S128+S129</f>
        <v>-4078750</v>
      </c>
      <c r="T130" s="879">
        <f>IF(S130=0,0,S130/Q130)</f>
        <v>-4.4203655286549633E-2</v>
      </c>
      <c r="U130" s="848"/>
      <c r="V130" s="878">
        <f>V128+V129</f>
        <v>79338908</v>
      </c>
      <c r="W130" s="879">
        <f>IF(V130=0,0,V130/(Q130+J130))</f>
        <v>0.14999963681211453</v>
      </c>
    </row>
    <row r="131" spans="6:23" ht="12.75">
      <c r="F131" s="861"/>
      <c r="G131" s="848"/>
      <c r="H131" s="848"/>
      <c r="I131" s="848"/>
      <c r="J131" s="848"/>
      <c r="K131" s="848"/>
      <c r="L131" s="848"/>
      <c r="M131" s="848"/>
      <c r="N131" s="848"/>
      <c r="O131" s="848"/>
      <c r="P131" s="848"/>
      <c r="Q131" s="848"/>
      <c r="R131" s="848"/>
      <c r="S131" s="848"/>
      <c r="T131" s="848"/>
      <c r="U131" s="848"/>
      <c r="V131" s="848"/>
      <c r="W131" s="848"/>
    </row>
    <row r="132" spans="6:23" ht="12.75">
      <c r="F132" s="861"/>
      <c r="G132" s="860"/>
      <c r="H132" s="863"/>
      <c r="I132" s="848"/>
      <c r="J132" s="848"/>
      <c r="K132" s="848"/>
      <c r="L132" s="848"/>
      <c r="M132" s="848"/>
      <c r="N132" s="848"/>
      <c r="O132" s="848"/>
      <c r="P132" s="848"/>
      <c r="Q132" s="848"/>
      <c r="R132" s="848"/>
      <c r="S132" s="848"/>
      <c r="T132" s="848"/>
      <c r="U132" s="848"/>
      <c r="V132" s="848"/>
      <c r="W132" s="848"/>
    </row>
    <row r="133" spans="6:23" ht="12.75">
      <c r="F133" s="861" t="s">
        <v>607</v>
      </c>
      <c r="G133" s="856">
        <f>'Seasonal Sales Volumes'!D5</f>
        <v>2449722</v>
      </c>
      <c r="H133" s="857">
        <f>H128</f>
        <v>4.4296500000000005</v>
      </c>
      <c r="I133" s="857">
        <f>I128</f>
        <v>5.2758799999999999</v>
      </c>
      <c r="J133" s="858">
        <f>ROUND(G133*H133,0)</f>
        <v>10851411</v>
      </c>
      <c r="K133" s="858">
        <f>ROUND(G133*I133,0)</f>
        <v>12924439</v>
      </c>
      <c r="L133" s="858">
        <f>K133-J133</f>
        <v>2073028</v>
      </c>
      <c r="M133" s="859"/>
      <c r="N133" s="858"/>
      <c r="O133" s="857">
        <f>S64</f>
        <v>1.0729900000000001</v>
      </c>
      <c r="P133" s="857">
        <f>IF('Seasonal Sales Volumes'!$N$1="yes",Rates!U64,Rates!W64)</f>
        <v>1.02556</v>
      </c>
      <c r="Q133" s="858">
        <f>ROUND('191 Sales Volumes '!P70*O133,0)</f>
        <v>2628527</v>
      </c>
      <c r="R133" s="858">
        <f>ROUND('Seasonal Sales Volumes'!D5*P133,0)</f>
        <v>2512337</v>
      </c>
      <c r="S133" s="858">
        <f>R133-Q133</f>
        <v>-116190</v>
      </c>
      <c r="T133" s="859"/>
      <c r="U133" s="848"/>
      <c r="V133" s="858">
        <f>L133+S133</f>
        <v>1956838</v>
      </c>
      <c r="W133" s="859"/>
    </row>
    <row r="134" spans="6:23" ht="12.75">
      <c r="F134" s="861" t="s">
        <v>608</v>
      </c>
      <c r="G134" s="856">
        <f>'Seasonal Sales Volumes'!C5</f>
        <v>2414448</v>
      </c>
      <c r="H134" s="857">
        <f>H129</f>
        <v>4.4296500000000005</v>
      </c>
      <c r="I134" s="857">
        <f>I129</f>
        <v>5.2758799999999999</v>
      </c>
      <c r="J134" s="858">
        <f>ROUND(G134*H134,0)</f>
        <v>10695160</v>
      </c>
      <c r="K134" s="858">
        <f>ROUND(G134*I134,0)</f>
        <v>12738338</v>
      </c>
      <c r="L134" s="858">
        <f>K134-J134</f>
        <v>2043178</v>
      </c>
      <c r="M134" s="848"/>
      <c r="N134" s="848"/>
      <c r="O134" s="857">
        <f>S65</f>
        <v>0.51722999999999997</v>
      </c>
      <c r="P134" s="857">
        <f>IF('Seasonal Sales Volumes'!$N$1="yes",Rates!U65,Rates!W65)</f>
        <v>0.49436999999999998</v>
      </c>
      <c r="Q134" s="858">
        <f>ROUND('191 Sales Volumes '!P71*O134,0)</f>
        <v>1248825</v>
      </c>
      <c r="R134" s="858">
        <f>ROUND('Seasonal Sales Volumes'!C5*P134,0)</f>
        <v>1193631</v>
      </c>
      <c r="S134" s="858">
        <f>R134-Q134</f>
        <v>-55194</v>
      </c>
      <c r="T134" s="848"/>
      <c r="U134" s="848"/>
      <c r="V134" s="858">
        <f>L134+S134</f>
        <v>1987984</v>
      </c>
      <c r="W134" s="848"/>
    </row>
    <row r="135" spans="6:23" ht="12.75">
      <c r="F135" s="861" t="s">
        <v>1</v>
      </c>
      <c r="G135" s="862">
        <f>G133+G134</f>
        <v>4864170</v>
      </c>
      <c r="H135" s="857"/>
      <c r="I135" s="857"/>
      <c r="J135" s="878">
        <f>J133+J134</f>
        <v>21546571</v>
      </c>
      <c r="K135" s="878">
        <f>K133+K134</f>
        <v>25662777</v>
      </c>
      <c r="L135" s="878">
        <f>L133+L134</f>
        <v>4116206</v>
      </c>
      <c r="M135" s="879">
        <f>IF(L135=0,0,L135/J135)</f>
        <v>0.19103763656871434</v>
      </c>
      <c r="N135" s="848"/>
      <c r="O135" s="857"/>
      <c r="P135" s="857"/>
      <c r="Q135" s="878">
        <f>Q133+Q134</f>
        <v>3877352</v>
      </c>
      <c r="R135" s="878">
        <f>R133+R134</f>
        <v>3705968</v>
      </c>
      <c r="S135" s="878">
        <f>S133+S134</f>
        <v>-171384</v>
      </c>
      <c r="T135" s="879">
        <f>IF(S135=0,0,S135/Q135)</f>
        <v>-4.4201300268843273E-2</v>
      </c>
      <c r="U135" s="848"/>
      <c r="V135" s="878">
        <f>V133+V134</f>
        <v>3944822</v>
      </c>
      <c r="W135" s="879">
        <f>IF(V135=0,0,V135/(Q135+J135))</f>
        <v>0.15516181354073486</v>
      </c>
    </row>
    <row r="136" spans="6:23" ht="12.75">
      <c r="F136" s="861"/>
      <c r="G136" s="848"/>
      <c r="H136" s="848"/>
      <c r="I136" s="848"/>
      <c r="J136" s="848"/>
      <c r="K136" s="848"/>
      <c r="L136" s="848"/>
      <c r="M136" s="848"/>
      <c r="N136" s="848"/>
      <c r="O136" s="848"/>
      <c r="P136" s="848"/>
      <c r="Q136" s="848"/>
      <c r="R136" s="848"/>
      <c r="S136" s="848"/>
      <c r="T136" s="848"/>
      <c r="U136" s="848"/>
      <c r="V136" s="848"/>
      <c r="W136" s="848"/>
    </row>
    <row r="137" spans="6:23" ht="12.75">
      <c r="F137" s="861"/>
      <c r="G137" s="860"/>
      <c r="H137" s="863"/>
      <c r="I137" s="848"/>
      <c r="J137" s="848"/>
      <c r="K137" s="848"/>
      <c r="L137" s="858"/>
      <c r="M137" s="848"/>
      <c r="N137" s="848"/>
      <c r="O137" s="848"/>
      <c r="P137" s="848"/>
      <c r="Q137" s="848"/>
      <c r="R137" s="848"/>
      <c r="S137" s="858"/>
      <c r="T137" s="848"/>
      <c r="U137" s="848"/>
      <c r="V137" s="858"/>
      <c r="W137" s="848"/>
    </row>
    <row r="138" spans="6:23" ht="12.75">
      <c r="F138" s="861"/>
      <c r="G138" s="848"/>
      <c r="H138" s="863"/>
      <c r="I138" s="848"/>
      <c r="J138" s="848"/>
      <c r="K138" s="848"/>
      <c r="L138" s="848"/>
      <c r="M138" s="848"/>
      <c r="N138" s="848"/>
      <c r="O138" s="848"/>
      <c r="P138" s="848"/>
      <c r="Q138" s="848"/>
      <c r="R138" s="848"/>
      <c r="S138" s="848"/>
      <c r="T138" s="848"/>
      <c r="U138" s="848"/>
      <c r="V138" s="848"/>
      <c r="W138" s="848"/>
    </row>
    <row r="139" spans="6:23" ht="12.75">
      <c r="F139" s="861" t="s">
        <v>143</v>
      </c>
      <c r="G139" s="864">
        <f>'Seasonal Sales Volumes'!E6</f>
        <v>585760</v>
      </c>
      <c r="H139" s="857">
        <f>H134</f>
        <v>4.4296500000000005</v>
      </c>
      <c r="I139" s="857">
        <f>I134</f>
        <v>5.2758799999999999</v>
      </c>
      <c r="J139" s="858">
        <f>ROUND(G139*H139,0)</f>
        <v>2594712</v>
      </c>
      <c r="K139" s="858">
        <f>ROUND(G139*I139,0)</f>
        <v>3090399</v>
      </c>
      <c r="L139" s="858">
        <f>K139-J139</f>
        <v>495687</v>
      </c>
      <c r="M139" s="879">
        <f>IF(L139=0,0,L139/J139)</f>
        <v>0.19103738680824692</v>
      </c>
      <c r="N139" s="858"/>
      <c r="O139" s="857">
        <f>S69</f>
        <v>0.79500000000000004</v>
      </c>
      <c r="P139" s="857">
        <f>IF('Seasonal Sales Volumes'!$N$1="yes",Rates!U69,Rates!W69)</f>
        <v>0.75985999999999998</v>
      </c>
      <c r="Q139" s="858">
        <f>ROUND('Seasonal Sales Volumes'!$E$6*O139,0)</f>
        <v>465679</v>
      </c>
      <c r="R139" s="858">
        <f>ROUND('Seasonal Sales Volumes'!$E$6*P139,0)</f>
        <v>445096</v>
      </c>
      <c r="S139" s="858">
        <f>R139-Q139</f>
        <v>-20583</v>
      </c>
      <c r="T139" s="879">
        <f>IF(S139=0,0,S139/Q139)</f>
        <v>-4.4199974660656803E-2</v>
      </c>
      <c r="U139" s="848"/>
      <c r="V139" s="858">
        <f>L139+S139</f>
        <v>475104</v>
      </c>
      <c r="W139" s="879">
        <f>IF(V139=0,0,V139/(Q139+J139))</f>
        <v>0.1552429085041748</v>
      </c>
    </row>
    <row r="140" spans="6:23" ht="12.75">
      <c r="F140" s="861"/>
      <c r="G140" s="860"/>
      <c r="H140" s="848"/>
      <c r="I140" s="848"/>
      <c r="J140" s="848"/>
      <c r="K140" s="848"/>
      <c r="L140" s="848"/>
      <c r="M140" s="860"/>
      <c r="N140" s="860"/>
      <c r="O140" s="848"/>
      <c r="P140" s="848"/>
      <c r="Q140" s="848"/>
      <c r="R140" s="848"/>
      <c r="S140" s="848"/>
      <c r="T140" s="860"/>
      <c r="U140" s="848"/>
      <c r="V140" s="848"/>
      <c r="W140" s="860"/>
    </row>
    <row r="141" spans="6:23" ht="12.75">
      <c r="F141" s="865"/>
      <c r="G141" s="866"/>
      <c r="H141" s="867"/>
      <c r="I141" s="867"/>
      <c r="J141" s="868"/>
      <c r="K141" s="867"/>
      <c r="L141" s="868">
        <v>-6017151</v>
      </c>
      <c r="M141" s="866"/>
      <c r="N141" s="866"/>
      <c r="O141" s="867"/>
      <c r="P141" s="867"/>
      <c r="Q141" s="868"/>
      <c r="R141" s="868"/>
      <c r="S141" s="868">
        <f>S130+S135+S139</f>
        <v>-4270717</v>
      </c>
      <c r="T141" s="866"/>
      <c r="U141" s="867"/>
      <c r="V141" s="868">
        <f>V130+V135+V139</f>
        <v>83758834</v>
      </c>
      <c r="W141" s="860"/>
    </row>
    <row r="142" spans="6:23" ht="12.75">
      <c r="F142" s="861"/>
      <c r="G142" s="860"/>
      <c r="H142" s="848"/>
      <c r="I142" s="848"/>
      <c r="J142" s="848"/>
      <c r="K142" s="848"/>
      <c r="L142" s="848"/>
      <c r="M142" s="860"/>
      <c r="N142" s="860"/>
      <c r="O142" s="848"/>
      <c r="P142" s="848"/>
      <c r="Q142" s="848"/>
      <c r="R142" s="848"/>
      <c r="S142" s="848"/>
      <c r="T142" s="860"/>
      <c r="U142" s="848"/>
      <c r="V142" s="848"/>
      <c r="W142" s="860"/>
    </row>
    <row r="143" spans="6:23" ht="12.75">
      <c r="F143" s="861"/>
      <c r="G143" s="848"/>
      <c r="H143" s="857"/>
      <c r="I143" s="857"/>
      <c r="J143" s="848"/>
      <c r="K143" s="848"/>
      <c r="L143" s="848"/>
      <c r="M143" s="848"/>
      <c r="N143" s="848"/>
      <c r="O143" s="848"/>
      <c r="P143" s="848"/>
      <c r="Q143" s="848"/>
      <c r="R143" s="848"/>
      <c r="S143" s="848"/>
      <c r="T143" s="848"/>
      <c r="U143" s="848"/>
      <c r="V143" s="848"/>
      <c r="W143" s="848"/>
    </row>
    <row r="144" spans="6:23" ht="12.75">
      <c r="F144" s="861" t="s">
        <v>335</v>
      </c>
      <c r="G144" s="860">
        <f>'Seasonal Sales Volumes'!E7</f>
        <v>2631447</v>
      </c>
      <c r="H144" s="857"/>
      <c r="I144" s="857"/>
      <c r="J144" s="858">
        <f>ROUND(G144*H144,0)</f>
        <v>0</v>
      </c>
      <c r="K144" s="858">
        <f>ROUND(G144*I144,0)</f>
        <v>0</v>
      </c>
      <c r="L144" s="858">
        <f>K144-J144</f>
        <v>0</v>
      </c>
      <c r="M144" s="879">
        <f>IF(L144=0,0,L144/J144)</f>
        <v>0</v>
      </c>
      <c r="N144" s="858"/>
      <c r="O144" s="857">
        <f>S71</f>
        <v>0.17930048000000001</v>
      </c>
      <c r="P144" s="857">
        <f>W71</f>
        <v>0.18053092049158934</v>
      </c>
      <c r="Q144" s="858">
        <f>'Seasonal Sales Volumes'!$E$7*O144</f>
        <v>471819.71019456006</v>
      </c>
      <c r="R144" s="858">
        <f>'Seasonal Sales Volumes'!$E$7*P144</f>
        <v>475057.54913483129</v>
      </c>
      <c r="S144" s="858">
        <f>R144-Q144</f>
        <v>3237.8389402712346</v>
      </c>
      <c r="T144" s="879">
        <f>IF(S144=0,0,S144/Q144)</f>
        <v>6.8624495126243792E-3</v>
      </c>
      <c r="U144" s="848"/>
      <c r="V144" s="858">
        <v>0</v>
      </c>
      <c r="W144" s="859">
        <v>0</v>
      </c>
    </row>
    <row r="145" spans="6:23" ht="12.75">
      <c r="F145" s="861"/>
      <c r="G145" s="860"/>
      <c r="H145" s="857"/>
      <c r="I145" s="857"/>
      <c r="J145" s="860"/>
      <c r="K145" s="860"/>
      <c r="L145" s="860"/>
      <c r="M145" s="859"/>
      <c r="N145" s="858"/>
      <c r="O145" s="857"/>
      <c r="P145" s="857"/>
      <c r="Q145" s="860"/>
      <c r="R145" s="860"/>
      <c r="S145" s="860"/>
      <c r="T145" s="859"/>
      <c r="U145" s="848"/>
      <c r="V145" s="860"/>
      <c r="W145" s="859"/>
    </row>
    <row r="146" spans="6:23" ht="12.75">
      <c r="F146" s="861" t="s">
        <v>336</v>
      </c>
      <c r="G146" s="860">
        <v>0</v>
      </c>
      <c r="H146" s="869"/>
      <c r="I146" s="869"/>
      <c r="J146" s="858">
        <f>ROUND(G146*H146,0)</f>
        <v>0</v>
      </c>
      <c r="K146" s="858">
        <f>ROUND(G146*I146,0)</f>
        <v>0</v>
      </c>
      <c r="L146" s="858">
        <f>K146-J146</f>
        <v>0</v>
      </c>
      <c r="M146" s="879">
        <f>IF(L146=0,0,L146/J146)</f>
        <v>0</v>
      </c>
      <c r="N146" s="860"/>
      <c r="O146" s="857">
        <f>S73</f>
        <v>0</v>
      </c>
      <c r="P146" s="857">
        <f>U73</f>
        <v>0</v>
      </c>
      <c r="Q146" s="858">
        <v>0</v>
      </c>
      <c r="R146" s="858">
        <v>0</v>
      </c>
      <c r="S146" s="858">
        <v>0</v>
      </c>
      <c r="T146" s="859">
        <v>0</v>
      </c>
      <c r="U146" s="848"/>
      <c r="V146" s="858">
        <v>0</v>
      </c>
      <c r="W146" s="859">
        <v>0</v>
      </c>
    </row>
    <row r="147" spans="6:23" ht="12.75">
      <c r="F147" s="848"/>
      <c r="G147" s="870" t="s">
        <v>601</v>
      </c>
      <c r="H147" s="848"/>
      <c r="I147" s="848"/>
      <c r="J147" s="871" t="s">
        <v>601</v>
      </c>
      <c r="K147" s="872" t="s">
        <v>601</v>
      </c>
      <c r="L147" s="870" t="s">
        <v>601</v>
      </c>
      <c r="M147" s="848"/>
      <c r="N147" s="848"/>
      <c r="O147" s="848"/>
      <c r="P147" s="848"/>
      <c r="Q147" s="849" t="s">
        <v>602</v>
      </c>
      <c r="R147" s="849" t="s">
        <v>602</v>
      </c>
      <c r="S147" s="849" t="s">
        <v>602</v>
      </c>
      <c r="T147" s="848"/>
      <c r="U147" s="848"/>
      <c r="V147" s="849" t="s">
        <v>602</v>
      </c>
      <c r="W147" s="848"/>
    </row>
    <row r="148" spans="6:23" ht="13.5" thickBot="1">
      <c r="F148" s="848"/>
      <c r="G148" s="864">
        <f>G130+G135+G139+G144</f>
        <v>106657010</v>
      </c>
      <c r="H148" s="848"/>
      <c r="I148" s="848"/>
      <c r="J148" s="878">
        <f>J130+J135+J139+J144+J146</f>
        <v>460796836</v>
      </c>
      <c r="K148" s="878">
        <f>K130+K135+K139+K144+K146</f>
        <v>548826387</v>
      </c>
      <c r="L148" s="878">
        <f>L130+L135+L139+L144+L146</f>
        <v>88029551</v>
      </c>
      <c r="M148" s="879">
        <f>IF(L148=0,0,L148/J148)</f>
        <v>0.19103766372215281</v>
      </c>
      <c r="N148" s="848"/>
      <c r="O148" s="848"/>
      <c r="P148" s="848"/>
      <c r="Q148" s="878">
        <f>Q130+Q135+Q139+Q144</f>
        <v>97086631.710194558</v>
      </c>
      <c r="R148" s="878">
        <f>R130+R135+R139+R144</f>
        <v>92819152.549134836</v>
      </c>
      <c r="S148" s="878">
        <f>R148-Q148</f>
        <v>-4267479.1610597223</v>
      </c>
      <c r="T148" s="879">
        <v>-0.19210134173457877</v>
      </c>
      <c r="U148" s="848"/>
      <c r="V148" s="878">
        <f>V130+V135+V139</f>
        <v>83758834</v>
      </c>
      <c r="W148" s="879">
        <f>IF(V148=0,0,V148/(Q148+J148))</f>
        <v>0.15013679172782093</v>
      </c>
    </row>
    <row r="149" spans="6:23" ht="12.75">
      <c r="F149" s="850"/>
      <c r="G149" s="850"/>
      <c r="H149" s="848"/>
      <c r="I149" s="848"/>
      <c r="J149" s="848"/>
      <c r="K149" s="848"/>
      <c r="L149" s="873" t="s">
        <v>603</v>
      </c>
      <c r="M149" s="848"/>
      <c r="N149" s="848"/>
      <c r="O149" s="848"/>
      <c r="P149" s="848"/>
      <c r="Q149" s="848"/>
      <c r="R149" s="848"/>
      <c r="S149" s="874" t="s">
        <v>604</v>
      </c>
      <c r="T149" s="874"/>
      <c r="U149" s="848"/>
      <c r="V149" s="873"/>
      <c r="W149" s="850"/>
    </row>
    <row r="150" spans="6:23" ht="12.75">
      <c r="F150" s="848"/>
      <c r="G150" s="851" t="s">
        <v>605</v>
      </c>
      <c r="H150" s="848"/>
      <c r="I150" s="848"/>
      <c r="J150" s="848"/>
      <c r="K150" s="848"/>
      <c r="L150" s="875"/>
      <c r="M150" s="848"/>
      <c r="N150" s="848"/>
      <c r="O150" s="848"/>
      <c r="P150" s="848"/>
      <c r="Q150" s="848"/>
      <c r="R150" s="848"/>
      <c r="S150" s="860"/>
      <c r="T150" s="860"/>
      <c r="U150" s="848"/>
      <c r="V150" s="848"/>
      <c r="W150" s="850"/>
    </row>
    <row r="151" spans="6:23" ht="12.75">
      <c r="F151" s="850"/>
      <c r="G151" s="850"/>
      <c r="H151" s="850"/>
      <c r="I151" s="850"/>
      <c r="J151" s="850"/>
      <c r="K151" s="850"/>
      <c r="L151" s="876">
        <f>ROUND(L141,-3)</f>
        <v>-6017000</v>
      </c>
      <c r="M151" s="850"/>
      <c r="N151" s="850"/>
      <c r="O151" s="850"/>
      <c r="P151" s="850"/>
      <c r="Q151" s="850"/>
      <c r="R151" s="850"/>
      <c r="S151" s="876">
        <f>ROUND(S141,-3)</f>
        <v>-4271000</v>
      </c>
      <c r="T151" s="850"/>
      <c r="U151" s="848"/>
      <c r="V151" s="876">
        <f>ROUND(V141,-3)</f>
        <v>83759000</v>
      </c>
      <c r="W151" s="850"/>
    </row>
    <row r="152" spans="6:23" ht="12.75">
      <c r="F152" s="850"/>
      <c r="G152" s="850"/>
      <c r="H152" s="850"/>
      <c r="I152" s="850"/>
      <c r="J152" s="850"/>
      <c r="K152" s="850"/>
      <c r="L152" s="877" t="s">
        <v>606</v>
      </c>
      <c r="M152" s="850"/>
      <c r="N152" s="850"/>
      <c r="O152" s="850"/>
      <c r="P152" s="850"/>
      <c r="Q152" s="850"/>
      <c r="R152" s="850"/>
      <c r="S152" s="877" t="s">
        <v>606</v>
      </c>
      <c r="T152" s="850"/>
      <c r="U152" s="848"/>
      <c r="V152" s="877" t="s">
        <v>606</v>
      </c>
      <c r="W152" s="850"/>
    </row>
  </sheetData>
  <mergeCells count="3">
    <mergeCell ref="H124:M124"/>
    <mergeCell ref="O124:T124"/>
    <mergeCell ref="V124:W124"/>
  </mergeCells>
  <phoneticPr fontId="17" type="noConversion"/>
  <printOptions horizontalCentered="1"/>
  <pageMargins left="0.5" right="0.5" top="0.75" bottom="0.75" header="0.5" footer="0.5"/>
  <pageSetup scale="85" orientation="portrait" horizontalDpi="300" verticalDpi="300" r:id="rId1"/>
  <headerFooter alignWithMargins="0">
    <oddFooter>&amp;L&amp;D&amp;C&amp;P&amp;R&amp;A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N94"/>
  <sheetViews>
    <sheetView showOutlineSymbols="0" zoomScale="85" workbookViewId="0">
      <selection activeCell="L28" sqref="L28"/>
    </sheetView>
  </sheetViews>
  <sheetFormatPr defaultColWidth="13.6640625" defaultRowHeight="11.25"/>
  <cols>
    <col min="1" max="5" width="4.6640625" style="1" customWidth="1"/>
    <col min="6" max="6" width="21" style="1" customWidth="1"/>
    <col min="7" max="7" width="16" style="15" bestFit="1" customWidth="1"/>
    <col min="8" max="8" width="15.6640625" style="1" customWidth="1"/>
    <col min="9" max="9" width="15.5" style="1" customWidth="1"/>
    <col min="10" max="11" width="15.1640625" style="28" customWidth="1"/>
    <col min="12" max="12" width="15.1640625" style="19" customWidth="1"/>
    <col min="13" max="13" width="15.1640625" style="1" customWidth="1"/>
    <col min="14" max="16384" width="13.6640625" style="1"/>
  </cols>
  <sheetData>
    <row r="2" spans="1:13" ht="12.75">
      <c r="A2" s="29" t="s">
        <v>0</v>
      </c>
    </row>
    <row r="3" spans="1:13" ht="12.75">
      <c r="A3" s="29" t="s">
        <v>4</v>
      </c>
    </row>
    <row r="4" spans="1:13" ht="12.75">
      <c r="A4" s="3" t="str">
        <f>Costs!A4</f>
        <v>Docket No. 12-057-08</v>
      </c>
    </row>
    <row r="5" spans="1:13" ht="12.75">
      <c r="A5" s="122" t="str">
        <f>Costs!A5</f>
        <v>Filed August 1, 2012 for Rates Effective September 1, 2012.</v>
      </c>
    </row>
    <row r="6" spans="1:13">
      <c r="A6" s="121"/>
    </row>
    <row r="9" spans="1:13" ht="12.75">
      <c r="A9" s="30" t="s">
        <v>154</v>
      </c>
      <c r="B9" s="31" t="s">
        <v>215</v>
      </c>
    </row>
    <row r="11" spans="1:13" ht="12.75">
      <c r="B11" s="30" t="s">
        <v>11</v>
      </c>
      <c r="C11" s="31" t="s">
        <v>216</v>
      </c>
      <c r="J11" s="61"/>
    </row>
    <row r="12" spans="1:13" ht="12.75">
      <c r="B12" s="31"/>
      <c r="C12" s="31"/>
      <c r="H12" s="152" t="s">
        <v>240</v>
      </c>
      <c r="J12" s="61"/>
    </row>
    <row r="13" spans="1:13">
      <c r="C13" s="6"/>
      <c r="F13" s="213" t="s">
        <v>217</v>
      </c>
      <c r="G13" s="214" t="s">
        <v>118</v>
      </c>
      <c r="H13" s="214" t="s">
        <v>218</v>
      </c>
      <c r="I13" s="215" t="s">
        <v>219</v>
      </c>
    </row>
    <row r="14" spans="1:13">
      <c r="B14" s="218" t="s">
        <v>220</v>
      </c>
      <c r="C14" s="219"/>
      <c r="D14" s="219"/>
      <c r="E14" s="220"/>
      <c r="F14" s="203">
        <f>F16-F15</f>
        <v>0</v>
      </c>
      <c r="G14" s="204">
        <f>Costs!N8*F14</f>
        <v>0</v>
      </c>
      <c r="H14" s="205">
        <v>0</v>
      </c>
      <c r="I14" s="206">
        <f>H14*G14</f>
        <v>0</v>
      </c>
      <c r="K14" s="202">
        <v>0</v>
      </c>
      <c r="L14" s="195" t="s">
        <v>223</v>
      </c>
      <c r="M14" s="125" t="s">
        <v>225</v>
      </c>
    </row>
    <row r="15" spans="1:13">
      <c r="B15" s="221" t="s">
        <v>41</v>
      </c>
      <c r="C15" s="222"/>
      <c r="D15" s="223"/>
      <c r="E15" s="224"/>
      <c r="F15" s="251">
        <f>K16</f>
        <v>0</v>
      </c>
      <c r="G15" s="252">
        <f>Costs!N8*F15</f>
        <v>0</v>
      </c>
      <c r="H15" s="207">
        <v>0</v>
      </c>
      <c r="I15" s="253">
        <f>H15*G15</f>
        <v>0</v>
      </c>
      <c r="J15" s="1"/>
      <c r="K15" s="246">
        <v>0</v>
      </c>
      <c r="L15" s="195" t="s">
        <v>222</v>
      </c>
      <c r="M15" s="125" t="s">
        <v>225</v>
      </c>
    </row>
    <row r="16" spans="1:13">
      <c r="B16" s="225" t="s">
        <v>221</v>
      </c>
      <c r="C16" s="222"/>
      <c r="D16" s="222"/>
      <c r="E16" s="226"/>
      <c r="F16" s="208">
        <f>Costs!K66</f>
        <v>0</v>
      </c>
      <c r="G16" s="209">
        <f>SUM(G14:G15)</f>
        <v>0</v>
      </c>
      <c r="H16" s="207"/>
      <c r="I16" s="210">
        <f>SUM(I14:I15)</f>
        <v>0</v>
      </c>
      <c r="J16" s="1"/>
      <c r="K16" s="62">
        <f>K14*K15</f>
        <v>0</v>
      </c>
      <c r="L16" s="125" t="s">
        <v>224</v>
      </c>
    </row>
    <row r="17" spans="2:13">
      <c r="B17" s="227" t="s">
        <v>227</v>
      </c>
      <c r="C17" s="212"/>
      <c r="D17" s="212"/>
      <c r="E17" s="228"/>
      <c r="F17" s="211" t="s">
        <v>242</v>
      </c>
      <c r="G17" s="212"/>
      <c r="H17" s="212"/>
      <c r="I17" s="254">
        <v>0</v>
      </c>
      <c r="J17" s="1"/>
      <c r="L17" s="1"/>
    </row>
    <row r="18" spans="2:13">
      <c r="G18" s="1"/>
      <c r="I18" s="217">
        <f>I16+I17</f>
        <v>0</v>
      </c>
      <c r="J18" s="1"/>
      <c r="K18" s="1"/>
      <c r="L18" s="1"/>
    </row>
    <row r="19" spans="2:13">
      <c r="G19" s="1"/>
      <c r="J19" s="1"/>
      <c r="K19" s="1"/>
      <c r="L19" s="1"/>
    </row>
    <row r="20" spans="2:13">
      <c r="J20" s="1"/>
      <c r="K20" s="1"/>
      <c r="L20" s="1"/>
    </row>
    <row r="21" spans="2:13">
      <c r="G21" s="1"/>
      <c r="H21" s="152" t="s">
        <v>239</v>
      </c>
      <c r="J21" s="1"/>
      <c r="K21" s="1"/>
      <c r="L21" s="1"/>
    </row>
    <row r="22" spans="2:13" ht="12.75">
      <c r="B22" s="30" t="s">
        <v>26</v>
      </c>
      <c r="C22" s="31" t="s">
        <v>226</v>
      </c>
      <c r="G22" s="1"/>
      <c r="H22" s="152" t="s">
        <v>280</v>
      </c>
      <c r="J22" s="1"/>
      <c r="K22" s="1"/>
      <c r="L22" s="1"/>
    </row>
    <row r="23" spans="2:13">
      <c r="G23" s="1"/>
      <c r="H23" s="152" t="s">
        <v>241</v>
      </c>
      <c r="J23" s="279" t="s">
        <v>276</v>
      </c>
      <c r="K23" s="279" t="s">
        <v>162</v>
      </c>
      <c r="L23" s="141" t="s">
        <v>277</v>
      </c>
      <c r="M23" s="141" t="s">
        <v>278</v>
      </c>
    </row>
    <row r="24" spans="2:13">
      <c r="F24" s="213" t="s">
        <v>228</v>
      </c>
      <c r="G24" s="214" t="s">
        <v>19</v>
      </c>
      <c r="H24" s="214" t="s">
        <v>229</v>
      </c>
      <c r="I24" s="214" t="s">
        <v>230</v>
      </c>
      <c r="J24" s="214" t="s">
        <v>230</v>
      </c>
      <c r="K24" s="214" t="s">
        <v>230</v>
      </c>
      <c r="L24" s="274" t="s">
        <v>274</v>
      </c>
      <c r="M24" s="275" t="s">
        <v>274</v>
      </c>
    </row>
    <row r="25" spans="2:13">
      <c r="B25" s="218" t="s">
        <v>231</v>
      </c>
      <c r="C25" s="219"/>
      <c r="D25" s="219"/>
      <c r="E25" s="220"/>
      <c r="F25" s="245">
        <v>0.95365299999999997</v>
      </c>
      <c r="G25" s="204">
        <f>F25*I$18</f>
        <v>0</v>
      </c>
      <c r="H25" s="261">
        <v>0</v>
      </c>
      <c r="I25" s="229" t="e">
        <f>ROUND(G25/H25,5)</f>
        <v>#DIV/0!</v>
      </c>
      <c r="J25" s="276">
        <v>0</v>
      </c>
      <c r="K25" s="229" t="e">
        <f>I25-J25</f>
        <v>#DIV/0!</v>
      </c>
      <c r="L25" s="266">
        <f>Rates!$G$47</f>
        <v>5.2758799999999999</v>
      </c>
      <c r="M25" s="271" t="e">
        <f>L25+I25</f>
        <v>#DIV/0!</v>
      </c>
    </row>
    <row r="26" spans="2:13">
      <c r="B26" s="225" t="s">
        <v>232</v>
      </c>
      <c r="C26" s="222"/>
      <c r="D26" s="222"/>
      <c r="E26" s="226"/>
      <c r="F26" s="243">
        <v>1.4841999999999999E-2</v>
      </c>
      <c r="G26" s="209">
        <f>F26*I$18</f>
        <v>0</v>
      </c>
      <c r="H26" s="262">
        <v>0</v>
      </c>
      <c r="I26" s="231" t="e">
        <f>ROUND(G26/H26,5)</f>
        <v>#DIV/0!</v>
      </c>
      <c r="J26" s="277">
        <v>0</v>
      </c>
      <c r="K26" s="231" t="e">
        <f t="shared" ref="K26:K33" si="0">I26-J26</f>
        <v>#DIV/0!</v>
      </c>
      <c r="L26" s="266">
        <f>Rates!$G$47</f>
        <v>5.2758799999999999</v>
      </c>
      <c r="M26" s="271" t="e">
        <f>L26+I26</f>
        <v>#DIV/0!</v>
      </c>
    </row>
    <row r="27" spans="2:13">
      <c r="B27" s="225" t="s">
        <v>233</v>
      </c>
      <c r="C27" s="222"/>
      <c r="D27" s="222"/>
      <c r="E27" s="226"/>
      <c r="F27" s="243">
        <v>8.03E-4</v>
      </c>
      <c r="G27" s="209">
        <f>F27*I$18</f>
        <v>0</v>
      </c>
      <c r="H27" s="263"/>
      <c r="I27" s="231" t="e">
        <f>I26</f>
        <v>#DIV/0!</v>
      </c>
      <c r="J27" s="277">
        <v>0</v>
      </c>
      <c r="K27" s="231" t="e">
        <f t="shared" si="0"/>
        <v>#DIV/0!</v>
      </c>
      <c r="L27" s="267">
        <v>0</v>
      </c>
      <c r="M27" s="271" t="e">
        <f>L27+I27</f>
        <v>#DIV/0!</v>
      </c>
    </row>
    <row r="28" spans="2:13">
      <c r="B28" s="225" t="s">
        <v>234</v>
      </c>
      <c r="C28" s="222"/>
      <c r="D28" s="222"/>
      <c r="E28" s="226"/>
      <c r="F28" s="230"/>
      <c r="G28" s="209"/>
      <c r="H28" s="263"/>
      <c r="I28" s="231" t="e">
        <f>I26</f>
        <v>#DIV/0!</v>
      </c>
      <c r="J28" s="277">
        <v>0</v>
      </c>
      <c r="K28" s="231" t="e">
        <f t="shared" si="0"/>
        <v>#DIV/0!</v>
      </c>
      <c r="L28" s="266">
        <f>Rates!$G$47</f>
        <v>5.2758799999999999</v>
      </c>
      <c r="M28" s="271" t="e">
        <f>L28+I28</f>
        <v>#DIV/0!</v>
      </c>
    </row>
    <row r="29" spans="2:13">
      <c r="B29" s="225" t="s">
        <v>143</v>
      </c>
      <c r="C29" s="222"/>
      <c r="D29" s="222"/>
      <c r="E29" s="226"/>
      <c r="F29" s="230"/>
      <c r="G29" s="209"/>
      <c r="H29" s="263"/>
      <c r="I29" s="231" t="e">
        <f>I26</f>
        <v>#DIV/0!</v>
      </c>
      <c r="J29" s="277">
        <v>0</v>
      </c>
      <c r="K29" s="231" t="e">
        <f t="shared" si="0"/>
        <v>#DIV/0!</v>
      </c>
      <c r="L29" s="266">
        <f>Rates!$G$47</f>
        <v>5.2758799999999999</v>
      </c>
      <c r="M29" s="271" t="e">
        <f>L29+I29</f>
        <v>#DIV/0!</v>
      </c>
    </row>
    <row r="30" spans="2:13">
      <c r="B30" s="225" t="s">
        <v>235</v>
      </c>
      <c r="C30" s="222"/>
      <c r="D30" s="222"/>
      <c r="E30" s="226"/>
      <c r="F30" s="243">
        <v>4.3559999999999996E-3</v>
      </c>
      <c r="G30" s="209">
        <f>F30*I$18</f>
        <v>0</v>
      </c>
      <c r="H30" s="263">
        <f>Rates!H43</f>
        <v>2631447</v>
      </c>
      <c r="I30" s="231">
        <f>ROUND(G30/H30,5)</f>
        <v>0</v>
      </c>
      <c r="J30" s="277">
        <v>0</v>
      </c>
      <c r="K30" s="231">
        <f t="shared" si="0"/>
        <v>0</v>
      </c>
      <c r="L30" s="268" t="s">
        <v>275</v>
      </c>
      <c r="M30" s="272"/>
    </row>
    <row r="31" spans="2:13">
      <c r="B31" s="225" t="s">
        <v>236</v>
      </c>
      <c r="C31" s="222"/>
      <c r="D31" s="222"/>
      <c r="E31" s="226"/>
      <c r="F31" s="243">
        <v>9.3100000000000006E-3</v>
      </c>
      <c r="G31" s="209">
        <f>F31*I$18</f>
        <v>0</v>
      </c>
      <c r="H31" s="262">
        <v>0</v>
      </c>
      <c r="I31" s="231" t="e">
        <f>ROUND(G31/H31,5)</f>
        <v>#DIV/0!</v>
      </c>
      <c r="J31" s="277">
        <v>0</v>
      </c>
      <c r="K31" s="231" t="e">
        <f t="shared" si="0"/>
        <v>#DIV/0!</v>
      </c>
      <c r="L31" s="269">
        <v>0</v>
      </c>
      <c r="M31" s="271" t="e">
        <f>L31+I31</f>
        <v>#DIV/0!</v>
      </c>
    </row>
    <row r="32" spans="2:13">
      <c r="B32" s="227" t="s">
        <v>237</v>
      </c>
      <c r="C32" s="212"/>
      <c r="D32" s="212"/>
      <c r="E32" s="228"/>
      <c r="F32" s="244">
        <v>1.7035999999999999E-2</v>
      </c>
      <c r="G32" s="232">
        <f>F32*I$18</f>
        <v>0</v>
      </c>
      <c r="H32" s="264">
        <v>0</v>
      </c>
      <c r="I32" s="231" t="e">
        <f>ROUND(G32/H32,5)</f>
        <v>#DIV/0!</v>
      </c>
      <c r="J32" s="277">
        <v>0</v>
      </c>
      <c r="K32" s="231" t="e">
        <f t="shared" si="0"/>
        <v>#DIV/0!</v>
      </c>
      <c r="L32" s="270">
        <v>0</v>
      </c>
      <c r="M32" s="273" t="e">
        <f>L32+I32</f>
        <v>#DIV/0!</v>
      </c>
    </row>
    <row r="33" spans="2:12">
      <c r="B33" s="216"/>
      <c r="C33" s="216"/>
      <c r="D33" s="216"/>
      <c r="E33" s="216"/>
      <c r="F33" s="235">
        <f>SUM(F25:F32)</f>
        <v>1</v>
      </c>
      <c r="G33" s="233">
        <f>SUM(G25:G32)</f>
        <v>0</v>
      </c>
      <c r="H33" s="234">
        <f>SUM(H25:H32)</f>
        <v>2631447</v>
      </c>
      <c r="I33" s="265">
        <f>G33/H33</f>
        <v>0</v>
      </c>
      <c r="J33" s="278">
        <v>0</v>
      </c>
      <c r="K33" s="265">
        <f t="shared" si="0"/>
        <v>0</v>
      </c>
      <c r="L33" s="1"/>
    </row>
    <row r="34" spans="2:12">
      <c r="G34" s="1"/>
      <c r="J34" s="1"/>
      <c r="K34" s="1"/>
      <c r="L34" s="1"/>
    </row>
    <row r="35" spans="2:12">
      <c r="G35" s="1"/>
      <c r="J35" s="1"/>
      <c r="K35" s="1"/>
      <c r="L35" s="1"/>
    </row>
    <row r="36" spans="2:12">
      <c r="F36" s="125" t="s">
        <v>283</v>
      </c>
      <c r="G36" s="292" t="s">
        <v>41</v>
      </c>
      <c r="H36" s="141" t="s">
        <v>281</v>
      </c>
      <c r="I36" s="141" t="s">
        <v>238</v>
      </c>
      <c r="J36" s="279" t="s">
        <v>284</v>
      </c>
      <c r="L36" s="1"/>
    </row>
    <row r="37" spans="2:12">
      <c r="F37" s="280" t="s">
        <v>282</v>
      </c>
      <c r="G37" s="281">
        <f>Rates!G45</f>
        <v>5.0522400000000003</v>
      </c>
      <c r="H37" s="281">
        <v>-0.43524000000000002</v>
      </c>
      <c r="I37" s="281" t="e">
        <f>I25</f>
        <v>#DIV/0!</v>
      </c>
      <c r="J37" s="282" t="e">
        <f>SUM(G37:I37)</f>
        <v>#DIV/0!</v>
      </c>
      <c r="K37" s="65"/>
      <c r="L37" s="1"/>
    </row>
    <row r="38" spans="2:12">
      <c r="F38" s="283" t="s">
        <v>276</v>
      </c>
      <c r="G38" s="284">
        <f>Rates!J45</f>
        <v>4.3997900000000003</v>
      </c>
      <c r="H38" s="284">
        <f>Rates!J46</f>
        <v>2.9860000000000001E-2</v>
      </c>
      <c r="I38" s="284">
        <f>J25</f>
        <v>0</v>
      </c>
      <c r="J38" s="285">
        <f>SUM(G38:I38)</f>
        <v>4.4296500000000005</v>
      </c>
      <c r="L38" s="1"/>
    </row>
    <row r="39" spans="2:12">
      <c r="F39" s="286" t="s">
        <v>162</v>
      </c>
      <c r="G39" s="287">
        <f>G37-G38</f>
        <v>0.65244999999999997</v>
      </c>
      <c r="H39" s="287">
        <f>H37-H38</f>
        <v>-0.46510000000000001</v>
      </c>
      <c r="I39" s="287" t="e">
        <f>I37-I38</f>
        <v>#DIV/0!</v>
      </c>
      <c r="J39" s="288" t="e">
        <f>J37-J38</f>
        <v>#DIV/0!</v>
      </c>
      <c r="L39" s="1"/>
    </row>
    <row r="40" spans="2:12">
      <c r="F40" s="289" t="s">
        <v>279</v>
      </c>
      <c r="G40" s="290">
        <f>G39/G38</f>
        <v>0.14829116844213017</v>
      </c>
      <c r="H40" s="290">
        <f>H39/H38</f>
        <v>-15.57602143335566</v>
      </c>
      <c r="I40" s="290" t="e">
        <f>I39/I38</f>
        <v>#DIV/0!</v>
      </c>
      <c r="J40" s="291" t="e">
        <f>J39/J38</f>
        <v>#DIV/0!</v>
      </c>
      <c r="K40" s="1"/>
      <c r="L40" s="1"/>
    </row>
    <row r="41" spans="2:12">
      <c r="G41" s="1"/>
      <c r="J41" s="1"/>
      <c r="K41" s="1"/>
      <c r="L41" s="1"/>
    </row>
    <row r="42" spans="2:12">
      <c r="G42" s="260"/>
      <c r="J42" s="1"/>
      <c r="K42" s="1"/>
      <c r="L42" s="1"/>
    </row>
    <row r="43" spans="2:12">
      <c r="G43" s="260"/>
      <c r="J43" s="1"/>
      <c r="K43" s="1"/>
      <c r="L43" s="1"/>
    </row>
    <row r="44" spans="2:12">
      <c r="G44" s="1"/>
      <c r="J44" s="1"/>
      <c r="K44" s="1"/>
      <c r="L44" s="1"/>
    </row>
    <row r="45" spans="2:12">
      <c r="G45" s="1"/>
      <c r="J45" s="1"/>
      <c r="K45" s="1"/>
      <c r="L45" s="1"/>
    </row>
    <row r="46" spans="2:12">
      <c r="G46" s="1"/>
      <c r="J46" s="1"/>
      <c r="K46" s="1"/>
      <c r="L46" s="1"/>
    </row>
    <row r="47" spans="2:12">
      <c r="G47" s="1"/>
      <c r="J47" s="1"/>
      <c r="K47" s="1"/>
      <c r="L47" s="1"/>
    </row>
    <row r="48" spans="2:12">
      <c r="G48" s="1"/>
      <c r="J48" s="1"/>
      <c r="K48" s="1"/>
      <c r="L48" s="1"/>
    </row>
    <row r="49" spans="7:12">
      <c r="G49" s="1"/>
      <c r="J49" s="1"/>
      <c r="K49" s="1"/>
      <c r="L49" s="1"/>
    </row>
    <row r="50" spans="7:12">
      <c r="G50" s="1"/>
      <c r="J50" s="1"/>
      <c r="K50" s="1"/>
      <c r="L50" s="1"/>
    </row>
    <row r="51" spans="7:12">
      <c r="G51" s="1"/>
      <c r="J51" s="1"/>
      <c r="K51" s="1"/>
      <c r="L51" s="1"/>
    </row>
    <row r="52" spans="7:12">
      <c r="G52" s="1"/>
      <c r="J52" s="1"/>
      <c r="K52" s="1"/>
      <c r="L52" s="1"/>
    </row>
    <row r="53" spans="7:12">
      <c r="G53" s="1"/>
      <c r="J53" s="1"/>
      <c r="K53" s="1"/>
      <c r="L53" s="1"/>
    </row>
    <row r="54" spans="7:12">
      <c r="G54" s="1"/>
      <c r="J54" s="1"/>
      <c r="K54" s="1"/>
      <c r="L54" s="1"/>
    </row>
    <row r="55" spans="7:12">
      <c r="G55" s="1"/>
      <c r="J55" s="1"/>
      <c r="K55" s="1"/>
      <c r="L55" s="1"/>
    </row>
    <row r="56" spans="7:12">
      <c r="G56" s="1"/>
      <c r="J56" s="1"/>
      <c r="K56" s="1"/>
      <c r="L56" s="1"/>
    </row>
    <row r="57" spans="7:12">
      <c r="G57" s="1"/>
      <c r="J57" s="1"/>
      <c r="K57" s="1"/>
      <c r="L57" s="1"/>
    </row>
    <row r="58" spans="7:12">
      <c r="G58" s="1"/>
      <c r="J58" s="1"/>
      <c r="K58" s="1"/>
      <c r="L58" s="1"/>
    </row>
    <row r="59" spans="7:12">
      <c r="G59" s="1"/>
      <c r="J59" s="1"/>
      <c r="K59" s="1"/>
      <c r="L59" s="1"/>
    </row>
    <row r="60" spans="7:12">
      <c r="G60" s="1"/>
      <c r="J60" s="1"/>
      <c r="K60" s="1"/>
      <c r="L60" s="1"/>
    </row>
    <row r="61" spans="7:12">
      <c r="G61" s="1"/>
      <c r="J61" s="1"/>
      <c r="K61" s="1"/>
      <c r="L61" s="1"/>
    </row>
    <row r="62" spans="7:12">
      <c r="G62" s="1"/>
      <c r="J62" s="1"/>
      <c r="K62" s="1"/>
      <c r="L62" s="1"/>
    </row>
    <row r="63" spans="7:12">
      <c r="G63" s="1"/>
      <c r="J63" s="1"/>
      <c r="K63" s="1"/>
      <c r="L63" s="1"/>
    </row>
    <row r="64" spans="7:12">
      <c r="G64" s="1"/>
      <c r="J64" s="1"/>
      <c r="K64" s="1"/>
      <c r="L64" s="1"/>
    </row>
    <row r="65" spans="7:14">
      <c r="G65" s="1"/>
      <c r="J65" s="1"/>
      <c r="K65" s="1"/>
      <c r="L65" s="1"/>
    </row>
    <row r="66" spans="7:14">
      <c r="G66" s="1"/>
      <c r="J66" s="1"/>
      <c r="K66" s="1"/>
      <c r="L66" s="1"/>
    </row>
    <row r="67" spans="7:14">
      <c r="G67" s="1"/>
      <c r="J67" s="1"/>
      <c r="K67" s="1"/>
      <c r="L67" s="1"/>
    </row>
    <row r="68" spans="7:14">
      <c r="G68" s="1"/>
      <c r="J68" s="1"/>
      <c r="K68" s="1"/>
      <c r="L68" s="1"/>
    </row>
    <row r="69" spans="7:14">
      <c r="G69" s="1"/>
      <c r="J69" s="1"/>
      <c r="K69" s="1"/>
      <c r="L69" s="1"/>
    </row>
    <row r="70" spans="7:14">
      <c r="G70" s="1"/>
      <c r="J70" s="1"/>
      <c r="K70" s="1"/>
      <c r="L70" s="1"/>
    </row>
    <row r="71" spans="7:14">
      <c r="G71" s="1"/>
      <c r="J71" s="1"/>
      <c r="K71" s="1"/>
      <c r="L71" s="1"/>
    </row>
    <row r="72" spans="7:14">
      <c r="G72" s="1"/>
      <c r="J72" s="1"/>
      <c r="K72" s="1"/>
      <c r="L72" s="1"/>
    </row>
    <row r="73" spans="7:14">
      <c r="G73" s="1"/>
      <c r="J73" s="1"/>
      <c r="K73" s="1"/>
      <c r="L73" s="1"/>
    </row>
    <row r="74" spans="7:14">
      <c r="N74" s="43"/>
    </row>
    <row r="75" spans="7:14">
      <c r="G75" s="33"/>
      <c r="H75" s="32"/>
      <c r="I75" s="32"/>
    </row>
    <row r="76" spans="7:14">
      <c r="G76" s="1"/>
      <c r="J76" s="1"/>
      <c r="K76" s="1"/>
      <c r="L76" s="1"/>
    </row>
    <row r="77" spans="7:14">
      <c r="G77" s="1"/>
      <c r="J77" s="1"/>
      <c r="K77" s="1"/>
      <c r="L77" s="1"/>
    </row>
    <row r="78" spans="7:14">
      <c r="G78" s="1"/>
      <c r="J78" s="1"/>
      <c r="K78" s="1"/>
      <c r="L78" s="1"/>
    </row>
    <row r="79" spans="7:14">
      <c r="G79" s="1"/>
      <c r="J79" s="1"/>
      <c r="K79" s="1"/>
      <c r="L79" s="1"/>
    </row>
    <row r="80" spans="7:14">
      <c r="G80" s="1"/>
      <c r="J80" s="1"/>
      <c r="K80" s="1"/>
      <c r="L80" s="1"/>
    </row>
    <row r="81" spans="4:12">
      <c r="G81" s="1"/>
      <c r="J81" s="1"/>
      <c r="K81" s="1"/>
      <c r="L81" s="1"/>
    </row>
    <row r="82" spans="4:12">
      <c r="G82" s="1"/>
      <c r="J82" s="1"/>
      <c r="K82" s="1"/>
      <c r="L82" s="1"/>
    </row>
    <row r="83" spans="4:12">
      <c r="G83" s="1"/>
      <c r="J83" s="1"/>
      <c r="K83" s="1"/>
      <c r="L83" s="1"/>
    </row>
    <row r="84" spans="4:12">
      <c r="G84" s="1"/>
      <c r="J84" s="1"/>
      <c r="K84" s="1"/>
      <c r="L84" s="1"/>
    </row>
    <row r="85" spans="4:12">
      <c r="G85" s="1"/>
      <c r="J85" s="1"/>
      <c r="K85" s="1"/>
      <c r="L85" s="1"/>
    </row>
    <row r="86" spans="4:12">
      <c r="G86" s="1"/>
      <c r="J86" s="1"/>
      <c r="K86" s="1"/>
      <c r="L86" s="1"/>
    </row>
    <row r="87" spans="4:12">
      <c r="G87" s="1"/>
      <c r="J87" s="1"/>
      <c r="K87" s="1"/>
      <c r="L87" s="1"/>
    </row>
    <row r="88" spans="4:12">
      <c r="G88" s="1"/>
      <c r="J88" s="1"/>
      <c r="K88" s="1"/>
      <c r="L88" s="1"/>
    </row>
    <row r="89" spans="4:12">
      <c r="G89" s="1"/>
      <c r="J89" s="1"/>
      <c r="K89" s="1"/>
      <c r="L89" s="1"/>
    </row>
    <row r="90" spans="4:12">
      <c r="G90" s="1"/>
      <c r="J90" s="1"/>
      <c r="K90" s="1"/>
      <c r="L90" s="1"/>
    </row>
    <row r="91" spans="4:12">
      <c r="G91" s="1"/>
      <c r="J91" s="1"/>
      <c r="K91" s="1"/>
      <c r="L91" s="1"/>
    </row>
    <row r="92" spans="4:12">
      <c r="G92" s="1"/>
      <c r="J92" s="1"/>
      <c r="K92" s="1"/>
      <c r="L92" s="1"/>
    </row>
    <row r="93" spans="4:12">
      <c r="G93" s="1"/>
      <c r="J93" s="1"/>
      <c r="K93" s="1"/>
      <c r="L93" s="1"/>
    </row>
    <row r="94" spans="4:12">
      <c r="D94" s="44"/>
    </row>
  </sheetData>
  <phoneticPr fontId="17" type="noConversion"/>
  <printOptions horizontalCentered="1"/>
  <pageMargins left="0.5" right="0.5" top="0.75" bottom="0.75" header="0.5" footer="0.5"/>
  <pageSetup scale="85" orientation="portrait" horizontalDpi="300" verticalDpi="300" r:id="rId1"/>
  <headerFooter alignWithMargins="0">
    <oddFooter>&amp;L&amp;D&amp;C&amp;P&amp;R&amp;A</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autoPageBreaks="0"/>
  </sheetPr>
  <dimension ref="A1:R48"/>
  <sheetViews>
    <sheetView showOutlineSymbols="0" zoomScale="85" workbookViewId="0">
      <selection activeCell="E21" sqref="E21"/>
    </sheetView>
  </sheetViews>
  <sheetFormatPr defaultColWidth="13.6640625" defaultRowHeight="11.25"/>
  <cols>
    <col min="1" max="1" width="4.6640625" style="46" customWidth="1"/>
    <col min="2" max="2" width="13.6640625" style="46" customWidth="1"/>
    <col min="3" max="9" width="10.83203125" style="46" customWidth="1"/>
    <col min="10" max="11" width="12" style="46" customWidth="1"/>
    <col min="12" max="15" width="10.83203125" style="46" customWidth="1"/>
    <col min="16" max="16" width="12" style="46" customWidth="1"/>
    <col min="17" max="18" width="10.83203125" style="46" customWidth="1"/>
    <col min="19" max="16384" width="13.6640625" style="46"/>
  </cols>
  <sheetData>
    <row r="1" spans="1:16">
      <c r="A1" s="45"/>
      <c r="B1" s="45"/>
      <c r="C1" s="45"/>
      <c r="D1" s="45"/>
      <c r="E1" s="45"/>
      <c r="F1" s="45"/>
      <c r="G1" s="45"/>
      <c r="H1" s="45"/>
      <c r="I1" s="45"/>
      <c r="J1" s="45"/>
      <c r="K1" s="45"/>
      <c r="L1" s="45"/>
      <c r="M1" s="45"/>
      <c r="N1" s="45"/>
      <c r="O1" s="45"/>
      <c r="P1" s="45"/>
    </row>
    <row r="2" spans="1:16" ht="12.75">
      <c r="A2" s="47" t="s">
        <v>0</v>
      </c>
      <c r="B2" s="45"/>
      <c r="C2" s="45"/>
      <c r="D2" s="45"/>
      <c r="E2" s="45"/>
      <c r="F2" s="45"/>
      <c r="G2" s="45"/>
      <c r="H2" s="45"/>
      <c r="I2" s="45"/>
      <c r="J2" s="45"/>
      <c r="K2" s="45"/>
      <c r="L2" s="45"/>
      <c r="M2" s="45"/>
      <c r="N2" s="45"/>
      <c r="O2" s="45"/>
      <c r="P2" s="45"/>
    </row>
    <row r="3" spans="1:16" ht="12.75">
      <c r="A3" s="47" t="s">
        <v>4</v>
      </c>
      <c r="B3" s="45"/>
      <c r="C3" s="45"/>
      <c r="D3" s="45"/>
      <c r="E3" s="45"/>
      <c r="F3" s="45"/>
      <c r="G3" s="45"/>
      <c r="H3" s="45"/>
      <c r="I3" s="45"/>
      <c r="J3" s="45"/>
      <c r="K3" s="45"/>
      <c r="L3" s="45"/>
      <c r="M3" s="45"/>
      <c r="N3" s="45"/>
      <c r="O3" s="45"/>
      <c r="P3" s="45"/>
    </row>
    <row r="4" spans="1:16" ht="12.75">
      <c r="A4" s="3" t="str">
        <f>Costs!A4</f>
        <v>Docket No. 12-057-08</v>
      </c>
      <c r="B4" s="45"/>
      <c r="C4" s="45"/>
      <c r="D4" s="45"/>
      <c r="E4" s="45"/>
      <c r="F4" s="45"/>
      <c r="G4" s="45"/>
      <c r="H4" s="45"/>
      <c r="I4" s="45"/>
      <c r="J4" s="45"/>
      <c r="K4" s="45"/>
      <c r="L4" s="45"/>
      <c r="M4" s="45"/>
      <c r="N4" s="45"/>
      <c r="O4" s="45"/>
      <c r="P4" s="45"/>
    </row>
    <row r="5" spans="1:16" ht="12.75">
      <c r="A5" s="122" t="str">
        <f>Costs!A5</f>
        <v>Filed August 1, 2012 for Rates Effective September 1, 2012.</v>
      </c>
      <c r="B5" s="45"/>
      <c r="C5" s="45"/>
      <c r="D5" s="45"/>
      <c r="E5" s="45"/>
      <c r="F5" s="45"/>
      <c r="G5" s="45"/>
      <c r="H5" s="45"/>
      <c r="I5" s="45"/>
      <c r="J5" s="45"/>
      <c r="K5" s="45"/>
      <c r="L5" s="45"/>
      <c r="M5" s="45"/>
      <c r="N5" s="45"/>
      <c r="O5" s="45"/>
      <c r="P5" s="45"/>
    </row>
    <row r="6" spans="1:16">
      <c r="A6" s="121"/>
      <c r="B6" s="45"/>
      <c r="C6" s="45"/>
      <c r="D6" s="45"/>
      <c r="E6" s="45"/>
      <c r="F6" s="45"/>
      <c r="G6" s="45"/>
      <c r="H6" s="45"/>
      <c r="I6" s="45"/>
      <c r="J6" s="45"/>
      <c r="K6" s="45"/>
      <c r="L6" s="45"/>
      <c r="M6" s="45"/>
      <c r="N6" s="45"/>
      <c r="O6" s="45"/>
      <c r="P6" s="45"/>
    </row>
    <row r="7" spans="1:16">
      <c r="A7" s="45"/>
      <c r="B7" s="45"/>
      <c r="C7" s="45"/>
      <c r="D7" s="45"/>
      <c r="E7" s="45"/>
      <c r="F7" s="45"/>
      <c r="G7" s="45"/>
      <c r="H7" s="45"/>
      <c r="I7" s="45"/>
      <c r="J7" s="45"/>
      <c r="K7" s="45"/>
      <c r="L7" s="45"/>
      <c r="M7" s="45"/>
      <c r="N7" s="45"/>
      <c r="O7" s="45"/>
      <c r="P7" s="45"/>
    </row>
    <row r="8" spans="1:16">
      <c r="A8" s="45"/>
      <c r="B8" s="45"/>
      <c r="C8" s="45"/>
      <c r="D8" s="45"/>
      <c r="E8" s="45"/>
      <c r="F8" s="45"/>
      <c r="G8" s="45"/>
      <c r="H8" s="45"/>
      <c r="I8" s="45"/>
      <c r="J8" s="45"/>
      <c r="K8" s="45"/>
      <c r="L8" s="45"/>
      <c r="M8" s="45"/>
      <c r="N8" s="45"/>
      <c r="O8" s="45"/>
      <c r="P8" s="45"/>
    </row>
    <row r="9" spans="1:16" ht="12.75">
      <c r="A9" s="48" t="s">
        <v>243</v>
      </c>
      <c r="B9" s="49" t="s">
        <v>155</v>
      </c>
      <c r="C9" s="45"/>
      <c r="D9" s="45"/>
      <c r="E9" s="50"/>
      <c r="F9" s="45"/>
      <c r="G9" s="51"/>
      <c r="H9" s="45"/>
      <c r="I9" s="52"/>
      <c r="J9" s="52"/>
      <c r="K9" s="53"/>
      <c r="L9" s="45"/>
      <c r="M9" s="45"/>
      <c r="N9" s="45"/>
      <c r="O9" s="45"/>
      <c r="P9" s="45"/>
    </row>
    <row r="10" spans="1:16" ht="12.75">
      <c r="A10" s="48"/>
      <c r="B10" s="49"/>
      <c r="C10" s="45"/>
      <c r="D10" s="45"/>
      <c r="E10" s="50"/>
      <c r="F10" s="45"/>
      <c r="G10" s="51"/>
      <c r="H10" s="45"/>
      <c r="I10" s="52"/>
      <c r="J10" s="52"/>
      <c r="K10" s="53"/>
      <c r="L10" s="45"/>
      <c r="M10" s="45"/>
      <c r="N10" s="45"/>
      <c r="O10" s="45"/>
      <c r="P10" s="45"/>
    </row>
    <row r="11" spans="1:16" ht="12.75">
      <c r="A11" s="48"/>
      <c r="B11" s="617" t="s">
        <v>489</v>
      </c>
      <c r="C11" s="45"/>
      <c r="D11" s="45"/>
      <c r="E11" s="50"/>
      <c r="F11" s="45"/>
      <c r="G11" s="51"/>
      <c r="H11" s="45"/>
      <c r="I11" s="52"/>
      <c r="J11" s="52"/>
      <c r="K11" s="53"/>
      <c r="L11" s="45"/>
      <c r="M11" s="45"/>
      <c r="N11" s="45"/>
      <c r="O11" s="45"/>
      <c r="P11" s="45"/>
    </row>
    <row r="12" spans="1:16" ht="12.75">
      <c r="A12" s="48"/>
      <c r="B12" s="174" t="s">
        <v>191</v>
      </c>
      <c r="C12" s="175"/>
      <c r="G12" s="51"/>
      <c r="H12" s="45"/>
      <c r="I12" s="52"/>
      <c r="J12" s="52"/>
      <c r="K12" s="53"/>
      <c r="L12" s="45"/>
      <c r="M12" s="45"/>
      <c r="N12" s="45"/>
      <c r="O12" s="52"/>
      <c r="P12" s="52"/>
    </row>
    <row r="13" spans="1:16" ht="12.75">
      <c r="A13" s="48"/>
      <c r="B13" s="168" t="s">
        <v>192</v>
      </c>
      <c r="C13" s="237">
        <v>6.75</v>
      </c>
      <c r="E13" s="132"/>
      <c r="G13" s="51"/>
      <c r="H13" s="45"/>
      <c r="I13" s="52"/>
      <c r="J13" s="52"/>
      <c r="K13" s="53"/>
      <c r="L13" s="45"/>
      <c r="M13" s="45"/>
      <c r="N13" s="45"/>
      <c r="O13" s="52"/>
      <c r="P13" s="52"/>
    </row>
    <row r="14" spans="1:16" ht="12.75">
      <c r="A14" s="48"/>
      <c r="B14" s="169" t="s">
        <v>193</v>
      </c>
      <c r="C14" s="238">
        <v>18.25</v>
      </c>
      <c r="E14" s="132"/>
      <c r="G14" s="51"/>
      <c r="H14" s="45"/>
      <c r="I14" s="52"/>
      <c r="J14" s="52"/>
      <c r="L14" s="45"/>
      <c r="M14" s="45"/>
      <c r="N14" s="45"/>
      <c r="O14" s="52"/>
      <c r="P14" s="52"/>
    </row>
    <row r="15" spans="1:16" ht="12.75">
      <c r="A15" s="48"/>
      <c r="B15" s="169" t="s">
        <v>194</v>
      </c>
      <c r="C15" s="238">
        <v>63.5</v>
      </c>
      <c r="G15" s="51"/>
      <c r="H15" s="45"/>
      <c r="I15" s="52"/>
      <c r="J15" s="52"/>
      <c r="L15" s="45"/>
      <c r="M15" s="45"/>
      <c r="N15" s="45"/>
      <c r="O15" s="52"/>
      <c r="P15" s="52"/>
    </row>
    <row r="16" spans="1:16" ht="12.75">
      <c r="A16" s="48"/>
      <c r="B16" s="170" t="s">
        <v>195</v>
      </c>
      <c r="C16" s="239">
        <v>420.25</v>
      </c>
      <c r="G16" s="51"/>
      <c r="H16" s="45"/>
      <c r="I16" s="52"/>
      <c r="J16" s="52"/>
      <c r="L16" s="45"/>
      <c r="M16" s="45"/>
      <c r="N16" s="45"/>
      <c r="O16" s="52"/>
      <c r="P16" s="52"/>
    </row>
    <row r="17" spans="1:18" ht="12.75">
      <c r="A17" s="48"/>
      <c r="B17" s="161"/>
      <c r="C17" s="177"/>
      <c r="E17" s="176"/>
      <c r="G17" s="51"/>
      <c r="H17" s="45"/>
      <c r="I17" s="52"/>
      <c r="J17" s="52"/>
      <c r="L17" s="45"/>
      <c r="M17" s="45"/>
      <c r="N17" s="45"/>
      <c r="O17" s="52"/>
      <c r="P17" s="52"/>
    </row>
    <row r="18" spans="1:18" ht="12.75">
      <c r="A18" s="48"/>
      <c r="E18" s="249" t="s">
        <v>260</v>
      </c>
      <c r="F18" s="250"/>
      <c r="G18" s="250"/>
      <c r="H18" s="250"/>
      <c r="K18" s="249" t="s">
        <v>261</v>
      </c>
      <c r="L18" s="250"/>
      <c r="M18" s="250"/>
      <c r="N18" s="250"/>
      <c r="O18" s="52"/>
      <c r="P18" s="52"/>
    </row>
    <row r="19" spans="1:18" ht="12.75">
      <c r="A19" s="48"/>
      <c r="E19" s="162" t="s">
        <v>196</v>
      </c>
      <c r="F19" s="163"/>
      <c r="G19" s="162" t="s">
        <v>197</v>
      </c>
      <c r="H19" s="163"/>
      <c r="K19" s="162" t="s">
        <v>196</v>
      </c>
      <c r="L19" s="163"/>
      <c r="M19" s="162" t="s">
        <v>197</v>
      </c>
      <c r="N19" s="163"/>
      <c r="O19" s="52"/>
      <c r="P19" s="52"/>
    </row>
    <row r="20" spans="1:18" ht="12.75">
      <c r="A20" s="48"/>
      <c r="E20" s="166" t="s">
        <v>198</v>
      </c>
      <c r="F20" s="167" t="s">
        <v>199</v>
      </c>
      <c r="G20" s="166" t="s">
        <v>198</v>
      </c>
      <c r="H20" s="167" t="s">
        <v>199</v>
      </c>
      <c r="K20" s="166" t="s">
        <v>198</v>
      </c>
      <c r="L20" s="167" t="s">
        <v>199</v>
      </c>
      <c r="M20" s="166" t="s">
        <v>198</v>
      </c>
      <c r="N20" s="167" t="s">
        <v>199</v>
      </c>
      <c r="O20" s="52"/>
      <c r="P20" s="52"/>
    </row>
    <row r="21" spans="1:18" ht="12.75">
      <c r="A21" s="48"/>
      <c r="D21" s="168" t="s">
        <v>200</v>
      </c>
      <c r="E21" s="200">
        <v>2.3660899999999998</v>
      </c>
      <c r="F21" s="199">
        <v>1.1444300000000001</v>
      </c>
      <c r="G21" s="200">
        <v>2.73001</v>
      </c>
      <c r="H21" s="199">
        <v>1.3809</v>
      </c>
      <c r="J21" s="168" t="s">
        <v>200</v>
      </c>
      <c r="K21" s="198">
        <f>E21</f>
        <v>2.3660899999999998</v>
      </c>
      <c r="L21" s="197">
        <f>F21</f>
        <v>1.1444300000000001</v>
      </c>
      <c r="M21" s="198">
        <f>G21</f>
        <v>2.73001</v>
      </c>
      <c r="N21" s="197">
        <f>H21</f>
        <v>1.3809</v>
      </c>
      <c r="P21" s="176" t="s">
        <v>244</v>
      </c>
    </row>
    <row r="22" spans="1:18" ht="12.75">
      <c r="A22" s="48"/>
      <c r="D22" s="169" t="s">
        <v>157</v>
      </c>
      <c r="E22" s="164">
        <f>IF('Seasonal Sales Volumes'!N1="yes",Rates!U62,Rates!W62)</f>
        <v>0.49439</v>
      </c>
      <c r="F22" s="165">
        <f>E22</f>
        <v>0.49439</v>
      </c>
      <c r="G22" s="164">
        <f>IF('Seasonal Sales Volumes'!N1="yes",Rates!U61,Rates!W61)</f>
        <v>1.05298</v>
      </c>
      <c r="H22" s="165">
        <f>G22</f>
        <v>1.05298</v>
      </c>
      <c r="J22" s="169" t="s">
        <v>157</v>
      </c>
      <c r="K22" s="164">
        <f>Rates!J52</f>
        <v>0.51724999999999999</v>
      </c>
      <c r="L22" s="165">
        <f>K22</f>
        <v>0.51724999999999999</v>
      </c>
      <c r="M22" s="164">
        <f>Rates!J51</f>
        <v>1.10168</v>
      </c>
      <c r="N22" s="165">
        <f>M22</f>
        <v>1.10168</v>
      </c>
      <c r="P22" s="176" t="s">
        <v>263</v>
      </c>
    </row>
    <row r="23" spans="1:18" ht="12.75">
      <c r="A23" s="48"/>
      <c r="B23" s="76"/>
      <c r="D23" s="169" t="s">
        <v>41</v>
      </c>
      <c r="E23" s="164">
        <f>Rates!G47</f>
        <v>5.2758799999999999</v>
      </c>
      <c r="F23" s="165">
        <f>E23</f>
        <v>5.2758799999999999</v>
      </c>
      <c r="G23" s="164">
        <f>E23</f>
        <v>5.2758799999999999</v>
      </c>
      <c r="H23" s="165">
        <f>E23</f>
        <v>5.2758799999999999</v>
      </c>
      <c r="J23" s="169" t="s">
        <v>41</v>
      </c>
      <c r="K23" s="164">
        <f>Rates!J47</f>
        <v>4.4296500000000005</v>
      </c>
      <c r="L23" s="165">
        <f>K23</f>
        <v>4.4296500000000005</v>
      </c>
      <c r="M23" s="164">
        <f>K23</f>
        <v>4.4296500000000005</v>
      </c>
      <c r="N23" s="165">
        <f>K23</f>
        <v>4.4296500000000005</v>
      </c>
      <c r="P23" s="139" t="s">
        <v>262</v>
      </c>
    </row>
    <row r="24" spans="1:18" ht="12.75">
      <c r="A24" s="48"/>
      <c r="B24" s="76"/>
      <c r="D24" s="169" t="s">
        <v>238</v>
      </c>
      <c r="E24" s="164">
        <v>0</v>
      </c>
      <c r="F24" s="165">
        <f>E24</f>
        <v>0</v>
      </c>
      <c r="G24" s="164">
        <f>E24</f>
        <v>0</v>
      </c>
      <c r="H24" s="165">
        <f>E24</f>
        <v>0</v>
      </c>
      <c r="J24" s="169" t="s">
        <v>238</v>
      </c>
      <c r="K24" s="248">
        <v>0</v>
      </c>
      <c r="L24" s="165">
        <f>K24</f>
        <v>0</v>
      </c>
      <c r="M24" s="164">
        <f>K24</f>
        <v>0</v>
      </c>
      <c r="N24" s="165">
        <f>K24</f>
        <v>0</v>
      </c>
      <c r="P24" s="139" t="s">
        <v>264</v>
      </c>
    </row>
    <row r="25" spans="1:18" ht="12.75">
      <c r="A25" s="48"/>
      <c r="B25" s="201"/>
      <c r="D25" s="171" t="s">
        <v>1</v>
      </c>
      <c r="E25" s="172">
        <f>SUM(E21:E23)</f>
        <v>8.1363599999999998</v>
      </c>
      <c r="F25" s="173">
        <f>SUM(F21:F23)</f>
        <v>6.9146999999999998</v>
      </c>
      <c r="G25" s="172">
        <f>SUM(G21:G23)</f>
        <v>9.0588699999999989</v>
      </c>
      <c r="H25" s="173">
        <f>SUM(H21:H23)</f>
        <v>7.7097600000000002</v>
      </c>
      <c r="J25" s="171" t="s">
        <v>1</v>
      </c>
      <c r="K25" s="172">
        <f>SUM(K21:K23)</f>
        <v>7.3129900000000001</v>
      </c>
      <c r="L25" s="173">
        <f>SUM(L21:L23)</f>
        <v>6.091330000000001</v>
      </c>
      <c r="M25" s="172">
        <f>SUM(M21:M23)</f>
        <v>8.2613400000000006</v>
      </c>
      <c r="N25" s="173">
        <f>SUM(N21:N23)</f>
        <v>6.912230000000001</v>
      </c>
    </row>
    <row r="26" spans="1:18" ht="12.75">
      <c r="A26" s="48"/>
      <c r="B26" s="49"/>
      <c r="E26" s="247"/>
      <c r="F26" s="247"/>
      <c r="G26" s="247"/>
      <c r="H26" s="247"/>
      <c r="K26" s="45"/>
      <c r="L26" s="45"/>
      <c r="M26" s="50"/>
      <c r="N26" s="45"/>
      <c r="O26" s="52"/>
      <c r="P26" s="52"/>
    </row>
    <row r="27" spans="1:18" ht="12.75">
      <c r="A27" s="48"/>
      <c r="B27" s="49"/>
      <c r="C27" s="45"/>
      <c r="D27" s="45"/>
      <c r="E27" s="50"/>
      <c r="F27" s="45"/>
      <c r="G27" s="51"/>
      <c r="H27" s="45"/>
      <c r="I27" s="52"/>
      <c r="J27" s="52"/>
      <c r="K27" s="53"/>
      <c r="L27" s="45"/>
      <c r="M27" s="45"/>
      <c r="N27" s="45"/>
      <c r="O27" s="52"/>
      <c r="P27" s="52"/>
    </row>
    <row r="28" spans="1:18">
      <c r="A28" s="45"/>
      <c r="B28" s="45"/>
      <c r="C28" s="45"/>
      <c r="D28" s="45"/>
      <c r="E28" s="89" t="s">
        <v>212</v>
      </c>
      <c r="F28" s="79"/>
      <c r="G28" s="79"/>
      <c r="H28" s="79"/>
      <c r="I28" s="80"/>
      <c r="J28" s="79"/>
      <c r="K28" s="180" t="s">
        <v>211</v>
      </c>
      <c r="L28" s="181"/>
      <c r="M28" s="181"/>
      <c r="N28" s="182"/>
      <c r="O28" s="182"/>
      <c r="P28" s="183"/>
      <c r="Q28" s="45"/>
      <c r="R28" s="45"/>
    </row>
    <row r="29" spans="1:18">
      <c r="A29" s="45"/>
      <c r="B29" s="45"/>
      <c r="C29" s="81" t="s">
        <v>165</v>
      </c>
      <c r="D29" s="82" t="s">
        <v>156</v>
      </c>
      <c r="E29" s="135" t="s">
        <v>170</v>
      </c>
      <c r="F29" s="55" t="s">
        <v>157</v>
      </c>
      <c r="G29" s="55" t="s">
        <v>41</v>
      </c>
      <c r="H29" s="55" t="s">
        <v>238</v>
      </c>
      <c r="I29" s="55" t="s">
        <v>158</v>
      </c>
      <c r="J29" s="55" t="s">
        <v>77</v>
      </c>
      <c r="K29" s="56" t="s">
        <v>170</v>
      </c>
      <c r="L29" s="133" t="s">
        <v>157</v>
      </c>
      <c r="M29" s="133" t="s">
        <v>41</v>
      </c>
      <c r="N29" s="55" t="s">
        <v>238</v>
      </c>
      <c r="O29" s="133" t="s">
        <v>158</v>
      </c>
      <c r="P29" s="133" t="s">
        <v>77</v>
      </c>
      <c r="Q29" s="89" t="s">
        <v>162</v>
      </c>
      <c r="R29" s="112"/>
    </row>
    <row r="30" spans="1:18">
      <c r="A30" s="45"/>
      <c r="B30" s="45"/>
      <c r="C30" s="83" t="s">
        <v>163</v>
      </c>
      <c r="D30" s="84" t="s">
        <v>161</v>
      </c>
      <c r="E30" s="138" t="s">
        <v>164</v>
      </c>
      <c r="F30" s="54" t="s">
        <v>103</v>
      </c>
      <c r="G30" s="133" t="s">
        <v>103</v>
      </c>
      <c r="H30" s="133" t="s">
        <v>103</v>
      </c>
      <c r="I30" s="54" t="s">
        <v>103</v>
      </c>
      <c r="J30" s="54"/>
      <c r="K30" s="138" t="s">
        <v>164</v>
      </c>
      <c r="L30" s="54" t="s">
        <v>103</v>
      </c>
      <c r="M30" s="133" t="s">
        <v>103</v>
      </c>
      <c r="N30" s="133" t="s">
        <v>103</v>
      </c>
      <c r="O30" s="54" t="s">
        <v>103</v>
      </c>
      <c r="P30" s="54"/>
      <c r="Q30" s="56" t="s">
        <v>159</v>
      </c>
      <c r="R30" s="113" t="s">
        <v>160</v>
      </c>
    </row>
    <row r="31" spans="1:18">
      <c r="A31" s="45"/>
      <c r="B31" s="57"/>
      <c r="C31" s="187"/>
      <c r="D31" s="58"/>
      <c r="E31" s="57"/>
      <c r="F31" s="58"/>
      <c r="G31" s="58"/>
      <c r="H31" s="58"/>
      <c r="I31" s="58"/>
      <c r="J31" s="58"/>
      <c r="K31" s="57"/>
      <c r="L31" s="59"/>
      <c r="M31" s="58"/>
      <c r="N31" s="58"/>
      <c r="O31" s="58"/>
      <c r="P31" s="58"/>
      <c r="Q31" s="57"/>
      <c r="R31" s="85"/>
    </row>
    <row r="32" spans="1:18">
      <c r="A32" s="45"/>
      <c r="B32" s="184" t="s">
        <v>66</v>
      </c>
      <c r="C32" s="294">
        <v>14.9</v>
      </c>
      <c r="D32" s="86">
        <f>C$13</f>
        <v>6.75</v>
      </c>
      <c r="E32" s="178">
        <f>G$21</f>
        <v>2.73001</v>
      </c>
      <c r="F32" s="76">
        <f>G$22</f>
        <v>1.05298</v>
      </c>
      <c r="G32" s="134">
        <f>G$23</f>
        <v>5.2758799999999999</v>
      </c>
      <c r="H32" s="134">
        <f>G$24</f>
        <v>0</v>
      </c>
      <c r="I32" s="76">
        <f>SUM(E32:H32)</f>
        <v>9.0588699999999989</v>
      </c>
      <c r="J32" s="77">
        <f t="shared" ref="J32:J43" si="0">ROUND(D32+I32*C32,2)</f>
        <v>141.72999999999999</v>
      </c>
      <c r="K32" s="178">
        <f>M$21</f>
        <v>2.73001</v>
      </c>
      <c r="L32" s="76">
        <f>M$22</f>
        <v>1.10168</v>
      </c>
      <c r="M32" s="134">
        <f>M$23</f>
        <v>4.4296500000000005</v>
      </c>
      <c r="N32" s="134">
        <f>M$24</f>
        <v>0</v>
      </c>
      <c r="O32" s="76">
        <f>SUM(K32:N32)</f>
        <v>8.2613400000000006</v>
      </c>
      <c r="P32" s="77">
        <f t="shared" ref="P32:P43" si="1">ROUND(D32+O32*C32,2)</f>
        <v>129.84</v>
      </c>
      <c r="Q32" s="78">
        <f t="shared" ref="Q32:Q43" si="2">J32-P32</f>
        <v>11.889999999999986</v>
      </c>
      <c r="R32" s="114">
        <f t="shared" ref="R32:R44" si="3">Q32/P32</f>
        <v>9.1574245224892062E-2</v>
      </c>
    </row>
    <row r="33" spans="1:18">
      <c r="A33" s="45"/>
      <c r="B33" s="184" t="s">
        <v>67</v>
      </c>
      <c r="C33" s="294">
        <v>12.5</v>
      </c>
      <c r="D33" s="86">
        <f t="shared" ref="D33:D43" si="4">C$13</f>
        <v>6.75</v>
      </c>
      <c r="E33" s="178">
        <f>G$21</f>
        <v>2.73001</v>
      </c>
      <c r="F33" s="76">
        <f>G$22</f>
        <v>1.05298</v>
      </c>
      <c r="G33" s="134">
        <f>G$23</f>
        <v>5.2758799999999999</v>
      </c>
      <c r="H33" s="134">
        <f>G$24</f>
        <v>0</v>
      </c>
      <c r="I33" s="76">
        <f t="shared" ref="I33:I43" si="5">SUM(E33:H33)</f>
        <v>9.0588699999999989</v>
      </c>
      <c r="J33" s="77">
        <f t="shared" si="0"/>
        <v>119.99</v>
      </c>
      <c r="K33" s="178">
        <f>M$21</f>
        <v>2.73001</v>
      </c>
      <c r="L33" s="76">
        <f>M$22</f>
        <v>1.10168</v>
      </c>
      <c r="M33" s="134">
        <f>M$23</f>
        <v>4.4296500000000005</v>
      </c>
      <c r="N33" s="134">
        <f>M$24</f>
        <v>0</v>
      </c>
      <c r="O33" s="76">
        <f t="shared" ref="O33:O43" si="6">SUM(K33:N33)</f>
        <v>8.2613400000000006</v>
      </c>
      <c r="P33" s="77">
        <f t="shared" si="1"/>
        <v>110.02</v>
      </c>
      <c r="Q33" s="78">
        <f t="shared" si="2"/>
        <v>9.9699999999999989</v>
      </c>
      <c r="R33" s="114">
        <f t="shared" si="3"/>
        <v>9.0619887293219403E-2</v>
      </c>
    </row>
    <row r="34" spans="1:18">
      <c r="A34" s="45"/>
      <c r="B34" s="184" t="s">
        <v>68</v>
      </c>
      <c r="C34" s="294">
        <v>10.1</v>
      </c>
      <c r="D34" s="86">
        <f t="shared" si="4"/>
        <v>6.75</v>
      </c>
      <c r="E34" s="178">
        <f>G$21</f>
        <v>2.73001</v>
      </c>
      <c r="F34" s="76">
        <f>G$22</f>
        <v>1.05298</v>
      </c>
      <c r="G34" s="134">
        <f>G$23</f>
        <v>5.2758799999999999</v>
      </c>
      <c r="H34" s="134">
        <f>G$24</f>
        <v>0</v>
      </c>
      <c r="I34" s="76">
        <f t="shared" si="5"/>
        <v>9.0588699999999989</v>
      </c>
      <c r="J34" s="77">
        <f t="shared" si="0"/>
        <v>98.24</v>
      </c>
      <c r="K34" s="178">
        <f>M$21</f>
        <v>2.73001</v>
      </c>
      <c r="L34" s="76">
        <f>M$22</f>
        <v>1.10168</v>
      </c>
      <c r="M34" s="134">
        <f>M$23</f>
        <v>4.4296500000000005</v>
      </c>
      <c r="N34" s="134">
        <f>M$24</f>
        <v>0</v>
      </c>
      <c r="O34" s="76">
        <f t="shared" si="6"/>
        <v>8.2613400000000006</v>
      </c>
      <c r="P34" s="77">
        <f t="shared" si="1"/>
        <v>90.19</v>
      </c>
      <c r="Q34" s="78">
        <f t="shared" si="2"/>
        <v>8.0499999999999972</v>
      </c>
      <c r="R34" s="114">
        <f t="shared" si="3"/>
        <v>8.9256015079277051E-2</v>
      </c>
    </row>
    <row r="35" spans="1:18">
      <c r="A35" s="45"/>
      <c r="B35" s="184" t="s">
        <v>69</v>
      </c>
      <c r="C35" s="294">
        <v>8.3000000000000007</v>
      </c>
      <c r="D35" s="86">
        <f t="shared" si="4"/>
        <v>6.75</v>
      </c>
      <c r="E35" s="178">
        <f>E$21</f>
        <v>2.3660899999999998</v>
      </c>
      <c r="F35" s="76">
        <f>E$22</f>
        <v>0.49439</v>
      </c>
      <c r="G35" s="134">
        <f>E$23</f>
        <v>5.2758799999999999</v>
      </c>
      <c r="H35" s="134">
        <f>E$24</f>
        <v>0</v>
      </c>
      <c r="I35" s="76">
        <f t="shared" si="5"/>
        <v>8.1363599999999998</v>
      </c>
      <c r="J35" s="77">
        <f t="shared" si="0"/>
        <v>74.28</v>
      </c>
      <c r="K35" s="178">
        <f t="shared" ref="K35:K41" si="7">K$21</f>
        <v>2.3660899999999998</v>
      </c>
      <c r="L35" s="76">
        <f t="shared" ref="L35:L41" si="8">K$22</f>
        <v>0.51724999999999999</v>
      </c>
      <c r="M35" s="134">
        <f t="shared" ref="M35:M41" si="9">K$23</f>
        <v>4.4296500000000005</v>
      </c>
      <c r="N35" s="134">
        <f>K$24</f>
        <v>0</v>
      </c>
      <c r="O35" s="76">
        <f t="shared" si="6"/>
        <v>7.3129900000000001</v>
      </c>
      <c r="P35" s="77">
        <f t="shared" si="1"/>
        <v>67.45</v>
      </c>
      <c r="Q35" s="78">
        <f t="shared" si="2"/>
        <v>6.8299999999999983</v>
      </c>
      <c r="R35" s="114">
        <f t="shared" si="3"/>
        <v>0.10126019273535949</v>
      </c>
    </row>
    <row r="36" spans="1:18">
      <c r="A36" s="45"/>
      <c r="B36" s="184" t="s">
        <v>70</v>
      </c>
      <c r="C36" s="294">
        <v>4.4000000000000004</v>
      </c>
      <c r="D36" s="86">
        <f t="shared" si="4"/>
        <v>6.75</v>
      </c>
      <c r="E36" s="178">
        <f t="shared" ref="E36:E41" si="10">E$21</f>
        <v>2.3660899999999998</v>
      </c>
      <c r="F36" s="76">
        <f t="shared" ref="F36:F41" si="11">E$22</f>
        <v>0.49439</v>
      </c>
      <c r="G36" s="134">
        <f t="shared" ref="G36:G41" si="12">E$23</f>
        <v>5.2758799999999999</v>
      </c>
      <c r="H36" s="134">
        <f t="shared" ref="H36:H41" si="13">E$24</f>
        <v>0</v>
      </c>
      <c r="I36" s="76">
        <f t="shared" si="5"/>
        <v>8.1363599999999998</v>
      </c>
      <c r="J36" s="77">
        <f t="shared" si="0"/>
        <v>42.55</v>
      </c>
      <c r="K36" s="178">
        <f t="shared" si="7"/>
        <v>2.3660899999999998</v>
      </c>
      <c r="L36" s="76">
        <f t="shared" si="8"/>
        <v>0.51724999999999999</v>
      </c>
      <c r="M36" s="134">
        <f t="shared" si="9"/>
        <v>4.4296500000000005</v>
      </c>
      <c r="N36" s="134">
        <f t="shared" ref="N36:N41" si="14">K$24</f>
        <v>0</v>
      </c>
      <c r="O36" s="76">
        <f t="shared" si="6"/>
        <v>7.3129900000000001</v>
      </c>
      <c r="P36" s="77">
        <f t="shared" si="1"/>
        <v>38.93</v>
      </c>
      <c r="Q36" s="78">
        <f t="shared" si="2"/>
        <v>3.6199999999999974</v>
      </c>
      <c r="R36" s="114">
        <f t="shared" si="3"/>
        <v>9.2987413305933658E-2</v>
      </c>
    </row>
    <row r="37" spans="1:18">
      <c r="A37" s="45"/>
      <c r="B37" s="184" t="s">
        <v>71</v>
      </c>
      <c r="C37" s="294">
        <v>3.1</v>
      </c>
      <c r="D37" s="86">
        <f t="shared" si="4"/>
        <v>6.75</v>
      </c>
      <c r="E37" s="178">
        <f t="shared" si="10"/>
        <v>2.3660899999999998</v>
      </c>
      <c r="F37" s="76">
        <f t="shared" si="11"/>
        <v>0.49439</v>
      </c>
      <c r="G37" s="134">
        <f t="shared" si="12"/>
        <v>5.2758799999999999</v>
      </c>
      <c r="H37" s="134">
        <f t="shared" si="13"/>
        <v>0</v>
      </c>
      <c r="I37" s="76">
        <f t="shared" si="5"/>
        <v>8.1363599999999998</v>
      </c>
      <c r="J37" s="77">
        <f t="shared" si="0"/>
        <v>31.97</v>
      </c>
      <c r="K37" s="178">
        <f t="shared" si="7"/>
        <v>2.3660899999999998</v>
      </c>
      <c r="L37" s="76">
        <f t="shared" si="8"/>
        <v>0.51724999999999999</v>
      </c>
      <c r="M37" s="134">
        <f t="shared" si="9"/>
        <v>4.4296500000000005</v>
      </c>
      <c r="N37" s="134">
        <f t="shared" si="14"/>
        <v>0</v>
      </c>
      <c r="O37" s="76">
        <f t="shared" si="6"/>
        <v>7.3129900000000001</v>
      </c>
      <c r="P37" s="77">
        <f t="shared" si="1"/>
        <v>29.42</v>
      </c>
      <c r="Q37" s="78">
        <f t="shared" si="2"/>
        <v>2.5499999999999972</v>
      </c>
      <c r="R37" s="114">
        <f t="shared" si="3"/>
        <v>8.6675730795377187E-2</v>
      </c>
    </row>
    <row r="38" spans="1:18">
      <c r="A38" s="45"/>
      <c r="B38" s="184" t="s">
        <v>72</v>
      </c>
      <c r="C38" s="294">
        <v>2</v>
      </c>
      <c r="D38" s="86">
        <f t="shared" si="4"/>
        <v>6.75</v>
      </c>
      <c r="E38" s="178">
        <f t="shared" si="10"/>
        <v>2.3660899999999998</v>
      </c>
      <c r="F38" s="76">
        <f t="shared" si="11"/>
        <v>0.49439</v>
      </c>
      <c r="G38" s="134">
        <f t="shared" si="12"/>
        <v>5.2758799999999999</v>
      </c>
      <c r="H38" s="134">
        <f t="shared" si="13"/>
        <v>0</v>
      </c>
      <c r="I38" s="76">
        <f t="shared" si="5"/>
        <v>8.1363599999999998</v>
      </c>
      <c r="J38" s="77">
        <f t="shared" si="0"/>
        <v>23.02</v>
      </c>
      <c r="K38" s="178">
        <f t="shared" si="7"/>
        <v>2.3660899999999998</v>
      </c>
      <c r="L38" s="76">
        <f t="shared" si="8"/>
        <v>0.51724999999999999</v>
      </c>
      <c r="M38" s="134">
        <f t="shared" si="9"/>
        <v>4.4296500000000005</v>
      </c>
      <c r="N38" s="134">
        <f t="shared" si="14"/>
        <v>0</v>
      </c>
      <c r="O38" s="76">
        <f t="shared" si="6"/>
        <v>7.3129900000000001</v>
      </c>
      <c r="P38" s="77">
        <f t="shared" si="1"/>
        <v>21.38</v>
      </c>
      <c r="Q38" s="78">
        <f t="shared" si="2"/>
        <v>1.6400000000000006</v>
      </c>
      <c r="R38" s="114">
        <f t="shared" si="3"/>
        <v>7.6707202993451851E-2</v>
      </c>
    </row>
    <row r="39" spans="1:18">
      <c r="A39" s="45"/>
      <c r="B39" s="184" t="s">
        <v>73</v>
      </c>
      <c r="C39" s="294">
        <v>1.8</v>
      </c>
      <c r="D39" s="86">
        <f t="shared" si="4"/>
        <v>6.75</v>
      </c>
      <c r="E39" s="178">
        <f t="shared" si="10"/>
        <v>2.3660899999999998</v>
      </c>
      <c r="F39" s="76">
        <f t="shared" si="11"/>
        <v>0.49439</v>
      </c>
      <c r="G39" s="134">
        <f t="shared" si="12"/>
        <v>5.2758799999999999</v>
      </c>
      <c r="H39" s="134">
        <f t="shared" si="13"/>
        <v>0</v>
      </c>
      <c r="I39" s="76">
        <f t="shared" si="5"/>
        <v>8.1363599999999998</v>
      </c>
      <c r="J39" s="77">
        <f t="shared" si="0"/>
        <v>21.4</v>
      </c>
      <c r="K39" s="178">
        <f t="shared" si="7"/>
        <v>2.3660899999999998</v>
      </c>
      <c r="L39" s="76">
        <f t="shared" si="8"/>
        <v>0.51724999999999999</v>
      </c>
      <c r="M39" s="134">
        <f t="shared" si="9"/>
        <v>4.4296500000000005</v>
      </c>
      <c r="N39" s="134">
        <f t="shared" si="14"/>
        <v>0</v>
      </c>
      <c r="O39" s="76">
        <f t="shared" si="6"/>
        <v>7.3129900000000001</v>
      </c>
      <c r="P39" s="77">
        <f t="shared" si="1"/>
        <v>19.91</v>
      </c>
      <c r="Q39" s="78">
        <f t="shared" si="2"/>
        <v>1.4899999999999984</v>
      </c>
      <c r="R39" s="114">
        <f t="shared" si="3"/>
        <v>7.4836765444500172E-2</v>
      </c>
    </row>
    <row r="40" spans="1:18">
      <c r="A40" s="45"/>
      <c r="B40" s="184" t="s">
        <v>74</v>
      </c>
      <c r="C40" s="294">
        <v>2</v>
      </c>
      <c r="D40" s="86">
        <f t="shared" si="4"/>
        <v>6.75</v>
      </c>
      <c r="E40" s="178">
        <f t="shared" si="10"/>
        <v>2.3660899999999998</v>
      </c>
      <c r="F40" s="76">
        <f t="shared" si="11"/>
        <v>0.49439</v>
      </c>
      <c r="G40" s="134">
        <f t="shared" si="12"/>
        <v>5.2758799999999999</v>
      </c>
      <c r="H40" s="134">
        <f t="shared" si="13"/>
        <v>0</v>
      </c>
      <c r="I40" s="76">
        <f t="shared" si="5"/>
        <v>8.1363599999999998</v>
      </c>
      <c r="J40" s="77">
        <f t="shared" si="0"/>
        <v>23.02</v>
      </c>
      <c r="K40" s="178">
        <f t="shared" si="7"/>
        <v>2.3660899999999998</v>
      </c>
      <c r="L40" s="76">
        <f t="shared" si="8"/>
        <v>0.51724999999999999</v>
      </c>
      <c r="M40" s="134">
        <f t="shared" si="9"/>
        <v>4.4296500000000005</v>
      </c>
      <c r="N40" s="134">
        <f t="shared" si="14"/>
        <v>0</v>
      </c>
      <c r="O40" s="76">
        <f t="shared" si="6"/>
        <v>7.3129900000000001</v>
      </c>
      <c r="P40" s="77">
        <f t="shared" si="1"/>
        <v>21.38</v>
      </c>
      <c r="Q40" s="78">
        <f t="shared" si="2"/>
        <v>1.6400000000000006</v>
      </c>
      <c r="R40" s="114">
        <f t="shared" si="3"/>
        <v>7.6707202993451851E-2</v>
      </c>
    </row>
    <row r="41" spans="1:18">
      <c r="A41" s="45"/>
      <c r="B41" s="184" t="s">
        <v>63</v>
      </c>
      <c r="C41" s="294">
        <v>3.1</v>
      </c>
      <c r="D41" s="86">
        <f t="shared" si="4"/>
        <v>6.75</v>
      </c>
      <c r="E41" s="178">
        <f t="shared" si="10"/>
        <v>2.3660899999999998</v>
      </c>
      <c r="F41" s="76">
        <f t="shared" si="11"/>
        <v>0.49439</v>
      </c>
      <c r="G41" s="134">
        <f t="shared" si="12"/>
        <v>5.2758799999999999</v>
      </c>
      <c r="H41" s="134">
        <f t="shared" si="13"/>
        <v>0</v>
      </c>
      <c r="I41" s="76">
        <f t="shared" si="5"/>
        <v>8.1363599999999998</v>
      </c>
      <c r="J41" s="77">
        <f t="shared" si="0"/>
        <v>31.97</v>
      </c>
      <c r="K41" s="178">
        <f t="shared" si="7"/>
        <v>2.3660899999999998</v>
      </c>
      <c r="L41" s="76">
        <f t="shared" si="8"/>
        <v>0.51724999999999999</v>
      </c>
      <c r="M41" s="134">
        <f t="shared" si="9"/>
        <v>4.4296500000000005</v>
      </c>
      <c r="N41" s="134">
        <f t="shared" si="14"/>
        <v>0</v>
      </c>
      <c r="O41" s="76">
        <f t="shared" si="6"/>
        <v>7.3129900000000001</v>
      </c>
      <c r="P41" s="77">
        <f t="shared" si="1"/>
        <v>29.42</v>
      </c>
      <c r="Q41" s="78">
        <f t="shared" si="2"/>
        <v>2.5499999999999972</v>
      </c>
      <c r="R41" s="114">
        <f t="shared" si="3"/>
        <v>8.6675730795377187E-2</v>
      </c>
    </row>
    <row r="42" spans="1:18">
      <c r="A42" s="45"/>
      <c r="B42" s="184" t="s">
        <v>64</v>
      </c>
      <c r="C42" s="294">
        <v>6.3</v>
      </c>
      <c r="D42" s="86">
        <f t="shared" si="4"/>
        <v>6.75</v>
      </c>
      <c r="E42" s="136">
        <f>G$21</f>
        <v>2.73001</v>
      </c>
      <c r="F42" s="76">
        <f>IF('Seasonal Sales Volumes'!$N$1="yes",GSBill!E$22,G$22)</f>
        <v>1.05298</v>
      </c>
      <c r="G42" s="134">
        <f>G$23</f>
        <v>5.2758799999999999</v>
      </c>
      <c r="H42" s="134">
        <f>G$24</f>
        <v>0</v>
      </c>
      <c r="I42" s="76">
        <f t="shared" si="5"/>
        <v>9.0588699999999989</v>
      </c>
      <c r="J42" s="77">
        <f t="shared" si="0"/>
        <v>63.82</v>
      </c>
      <c r="K42" s="136">
        <f>M$21</f>
        <v>2.73001</v>
      </c>
      <c r="L42" s="76">
        <f>M$22</f>
        <v>1.10168</v>
      </c>
      <c r="M42" s="134">
        <f>M$23</f>
        <v>4.4296500000000005</v>
      </c>
      <c r="N42" s="134">
        <f>M$24</f>
        <v>0</v>
      </c>
      <c r="O42" s="76">
        <f t="shared" si="6"/>
        <v>8.2613400000000006</v>
      </c>
      <c r="P42" s="77">
        <f t="shared" si="1"/>
        <v>58.8</v>
      </c>
      <c r="Q42" s="78">
        <f t="shared" si="2"/>
        <v>5.0200000000000031</v>
      </c>
      <c r="R42" s="114">
        <f t="shared" si="3"/>
        <v>8.5374149659864007E-2</v>
      </c>
    </row>
    <row r="43" spans="1:18">
      <c r="A43" s="45"/>
      <c r="B43" s="185" t="s">
        <v>65</v>
      </c>
      <c r="C43" s="295">
        <v>11.5</v>
      </c>
      <c r="D43" s="87">
        <f t="shared" si="4"/>
        <v>6.75</v>
      </c>
      <c r="E43" s="137">
        <f>G$21</f>
        <v>2.73001</v>
      </c>
      <c r="F43" s="76">
        <f>IF('Seasonal Sales Volumes'!$N$1="yes",GSBill!E$22,G$22)</f>
        <v>1.05298</v>
      </c>
      <c r="G43" s="134">
        <f>G$23</f>
        <v>5.2758799999999999</v>
      </c>
      <c r="H43" s="134">
        <f>G$24</f>
        <v>0</v>
      </c>
      <c r="I43" s="76">
        <f t="shared" si="5"/>
        <v>9.0588699999999989</v>
      </c>
      <c r="J43" s="77">
        <f t="shared" si="0"/>
        <v>110.93</v>
      </c>
      <c r="K43" s="137">
        <f>M$21</f>
        <v>2.73001</v>
      </c>
      <c r="L43" s="76">
        <f>M$22</f>
        <v>1.10168</v>
      </c>
      <c r="M43" s="134">
        <f>M$23</f>
        <v>4.4296500000000005</v>
      </c>
      <c r="N43" s="134">
        <f>M$24</f>
        <v>0</v>
      </c>
      <c r="O43" s="76">
        <f t="shared" si="6"/>
        <v>8.2613400000000006</v>
      </c>
      <c r="P43" s="77">
        <f t="shared" si="1"/>
        <v>101.76</v>
      </c>
      <c r="Q43" s="78">
        <f t="shared" si="2"/>
        <v>9.1700000000000017</v>
      </c>
      <c r="R43" s="114">
        <f t="shared" si="3"/>
        <v>9.0113993710691842E-2</v>
      </c>
    </row>
    <row r="44" spans="1:18">
      <c r="A44" s="45"/>
      <c r="B44" s="186" t="s">
        <v>24</v>
      </c>
      <c r="C44" s="188">
        <f>SUM(C32:C43)</f>
        <v>80</v>
      </c>
      <c r="D44" s="88"/>
      <c r="E44" s="118"/>
      <c r="F44" s="115"/>
      <c r="G44" s="115"/>
      <c r="H44" s="115"/>
      <c r="I44" s="116"/>
      <c r="J44" s="117">
        <f>SUM(J32:J43)</f>
        <v>782.92000000000007</v>
      </c>
      <c r="K44" s="118"/>
      <c r="L44" s="119"/>
      <c r="M44" s="119"/>
      <c r="N44" s="115"/>
      <c r="O44" s="116"/>
      <c r="P44" s="117">
        <f>SUM(P32:P43)</f>
        <v>718.5</v>
      </c>
      <c r="Q44" s="120">
        <f>SUM(Q32:Q43)</f>
        <v>64.419999999999987</v>
      </c>
      <c r="R44" s="150">
        <f t="shared" si="3"/>
        <v>8.9659011830201793E-2</v>
      </c>
    </row>
    <row r="45" spans="1:18">
      <c r="F45" s="60"/>
      <c r="G45" s="60"/>
      <c r="H45" s="60"/>
      <c r="I45" s="60"/>
      <c r="J45" s="60"/>
      <c r="K45" s="60"/>
      <c r="L45" s="60"/>
      <c r="M45" s="60"/>
      <c r="N45" s="60"/>
      <c r="O45" s="60"/>
      <c r="P45" s="60"/>
    </row>
    <row r="47" spans="1:18">
      <c r="B47" s="139"/>
      <c r="E47" s="132"/>
      <c r="J47" s="77"/>
      <c r="P47" s="77"/>
    </row>
    <row r="48" spans="1:18">
      <c r="B48" s="139"/>
      <c r="C48" s="139"/>
      <c r="E48" s="132"/>
    </row>
  </sheetData>
  <phoneticPr fontId="17" type="noConversion"/>
  <printOptions horizontalCentered="1"/>
  <pageMargins left="0.5" right="0.5" top="0.75" bottom="0.75" header="0.5" footer="0.5"/>
  <pageSetup scale="80" orientation="landscape" horizontalDpi="300" verticalDpi="300" r:id="rId1"/>
  <headerFooter alignWithMargins="0">
    <oddFooter>&amp;L&amp;D&amp;C&amp;P&amp;R&amp;A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191 Sales Volumes </vt:lpstr>
      <vt:lpstr>Seasonal Sales Volumes</vt:lpstr>
      <vt:lpstr>Gas Balance SD #1</vt:lpstr>
      <vt:lpstr>Price Graph</vt:lpstr>
      <vt:lpstr>Purchases Detail 1.2</vt:lpstr>
      <vt:lpstr>Costs</vt:lpstr>
      <vt:lpstr>Rates</vt:lpstr>
      <vt:lpstr>Gas Mgmt</vt:lpstr>
      <vt:lpstr>GSBill</vt:lpstr>
      <vt:lpstr>Tariff sheets</vt:lpstr>
      <vt:lpstr>DPU Combined</vt:lpstr>
      <vt:lpstr>DPU Combined no round</vt:lpstr>
      <vt:lpstr>calculation</vt:lpstr>
      <vt:lpstr>Calculations</vt:lpstr>
      <vt:lpstr>kernrivertrans</vt:lpstr>
      <vt:lpstr>'191 Sales Volumes '!Print_Area</vt:lpstr>
      <vt:lpstr>Costs!Print_Area</vt:lpstr>
      <vt:lpstr>'DPU Combined'!Print_Area</vt:lpstr>
      <vt:lpstr>'DPU Combined no round'!Print_Area</vt:lpstr>
      <vt:lpstr>'Gas Mgmt'!Print_Area</vt:lpstr>
      <vt:lpstr>GSBill!Print_Area</vt:lpstr>
      <vt:lpstr>'Price Graph'!Print_Area</vt:lpstr>
      <vt:lpstr>'Purchases Detail 1.2'!Print_Area</vt:lpstr>
      <vt:lpstr>Rates!Print_Area</vt:lpstr>
      <vt:lpstr>Costs!Print_Titles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Marlin H. Barrow</dc:creator>
  <cp:lastModifiedBy>laurieharris</cp:lastModifiedBy>
  <cp:lastPrinted>2014-05-22T21:31:33Z</cp:lastPrinted>
  <dcterms:created xsi:type="dcterms:W3CDTF">1999-09-28T19:03:39Z</dcterms:created>
  <dcterms:modified xsi:type="dcterms:W3CDTF">2014-05-27T17:32:12Z</dcterms:modified>
</cp:coreProperties>
</file>