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7\"/>
    </mc:Choice>
  </mc:AlternateContent>
  <bookViews>
    <workbookView xWindow="1155" yWindow="900" windowWidth="26880" windowHeight="9795" firstSheet="1" activeTab="1"/>
  </bookViews>
  <sheets>
    <sheet name="Calculations" sheetId="4" r:id="rId1"/>
    <sheet name="Exhibit 1.1" sheetId="6" r:id="rId2"/>
    <sheet name="Exhibit 1.1 Page 4" sheetId="7" r:id="rId3"/>
    <sheet name="Exhibit 1.2" sheetId="8" r:id="rId4"/>
    <sheet name="Exhibit 1.3" sheetId="9" r:id="rId5"/>
    <sheet name="Exhibit 1.4" sheetId="10" r:id="rId6"/>
  </sheets>
  <definedNames>
    <definedName name="Cumulative_Investment">'Exhibit 1.1'!$A$3:$O$62</definedName>
    <definedName name="_xlnm.Print_Area" localSheetId="1">'Exhibit 1.1'!$A$1:$AM$83</definedName>
    <definedName name="_xlnm.Print_Area" localSheetId="2">'Exhibit 1.1 Page 4'!$A$1:$E$36</definedName>
    <definedName name="_xlnm.Print_Area" localSheetId="3">'Exhibit 1.2'!$A$1:$H$21</definedName>
    <definedName name="_xlnm.Print_Area" localSheetId="4">'Exhibit 1.3'!$A$1:$O$70</definedName>
    <definedName name="_xlnm.Print_Area" localSheetId="5">'Exhibit 1.4'!$A$1:$J$26</definedName>
    <definedName name="_xlnm.Print_Titles" localSheetId="1">'Exhibit 1.1'!$A:$C</definedName>
  </definedNames>
  <calcPr calcId="152511"/>
</workbook>
</file>

<file path=xl/calcChain.xml><?xml version="1.0" encoding="utf-8"?>
<calcChain xmlns="http://schemas.openxmlformats.org/spreadsheetml/2006/main">
  <c r="Y64" i="6" l="1"/>
  <c r="Z69" i="4"/>
  <c r="AA69" i="4"/>
  <c r="AB69" i="4"/>
  <c r="AC69" i="4"/>
  <c r="AD69" i="4"/>
  <c r="AE69" i="4"/>
  <c r="AF69" i="4"/>
  <c r="AG69" i="4"/>
  <c r="AH69" i="4"/>
  <c r="AI69" i="4"/>
  <c r="AJ69" i="4"/>
  <c r="AK69" i="4"/>
  <c r="AE9" i="4" l="1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8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I49" i="9" l="1"/>
  <c r="G67" i="9"/>
  <c r="G59" i="9"/>
  <c r="G58" i="9"/>
  <c r="G57" i="9"/>
  <c r="G56" i="9"/>
  <c r="G61" i="9" s="1"/>
  <c r="G48" i="9"/>
  <c r="G47" i="9"/>
  <c r="G46" i="9"/>
  <c r="G45" i="9"/>
  <c r="G38" i="9"/>
  <c r="G37" i="9"/>
  <c r="G36" i="9"/>
  <c r="G17" i="9"/>
  <c r="G50" i="9" l="1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E10" i="10" l="1"/>
  <c r="D6" i="6" l="1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B35" i="6"/>
  <c r="B38" i="6"/>
  <c r="Z37" i="4"/>
  <c r="Z38" i="4"/>
  <c r="Z39" i="4"/>
  <c r="Z40" i="4"/>
  <c r="Z41" i="4"/>
  <c r="Z42" i="4"/>
  <c r="Z43" i="4"/>
  <c r="Z44" i="4"/>
  <c r="C13" i="8" l="1"/>
  <c r="C15" i="8"/>
  <c r="C12" i="8"/>
  <c r="C11" i="8"/>
  <c r="C10" i="8"/>
  <c r="C9" i="8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B57" i="6"/>
  <c r="AC57" i="6"/>
  <c r="AD57" i="6"/>
  <c r="AE57" i="6"/>
  <c r="AF57" i="6"/>
  <c r="AG57" i="6"/>
  <c r="AH57" i="6"/>
  <c r="AI57" i="6"/>
  <c r="AJ57" i="6"/>
  <c r="AK57" i="6"/>
  <c r="AL57" i="6"/>
  <c r="AM57" i="6"/>
  <c r="Y5" i="6"/>
  <c r="Y57" i="6" s="1"/>
  <c r="Z5" i="6"/>
  <c r="AA5" i="6"/>
  <c r="B64" i="4"/>
  <c r="A30" i="6" l="1"/>
  <c r="A31" i="6" s="1"/>
  <c r="A32" i="6" s="1"/>
  <c r="A33" i="6" s="1"/>
  <c r="A34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43" i="6"/>
  <c r="B36" i="6"/>
  <c r="B37" i="6"/>
  <c r="B39" i="6"/>
  <c r="B40" i="6"/>
  <c r="B41" i="6"/>
  <c r="B42" i="6"/>
  <c r="B44" i="6"/>
  <c r="B45" i="6"/>
  <c r="B46" i="6"/>
  <c r="B47" i="6"/>
  <c r="A35" i="6" l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W51" i="4"/>
  <c r="X51" i="4"/>
  <c r="Y51" i="4"/>
  <c r="Y58" i="6" l="1"/>
  <c r="W69" i="4" s="1"/>
  <c r="Z58" i="6"/>
  <c r="X69" i="4" s="1"/>
  <c r="AA58" i="6"/>
  <c r="Y69" i="4" s="1"/>
  <c r="Z57" i="6" l="1"/>
  <c r="AA57" i="6"/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V51" i="4" l="1"/>
  <c r="X5" i="6"/>
  <c r="X57" i="6" s="1"/>
  <c r="X58" i="6"/>
  <c r="T51" i="4"/>
  <c r="V5" i="6"/>
  <c r="V57" i="6" s="1"/>
  <c r="V58" i="6"/>
  <c r="R51" i="4"/>
  <c r="T5" i="6"/>
  <c r="T57" i="6" s="1"/>
  <c r="T58" i="6"/>
  <c r="P51" i="4"/>
  <c r="R5" i="6"/>
  <c r="R57" i="6" s="1"/>
  <c r="R58" i="6"/>
  <c r="N51" i="4"/>
  <c r="P5" i="6"/>
  <c r="P57" i="6" s="1"/>
  <c r="P58" i="6"/>
  <c r="L51" i="4"/>
  <c r="N5" i="6"/>
  <c r="N57" i="6" s="1"/>
  <c r="N58" i="6"/>
  <c r="J51" i="4"/>
  <c r="L5" i="6"/>
  <c r="L57" i="6" s="1"/>
  <c r="L58" i="6"/>
  <c r="H51" i="4"/>
  <c r="J5" i="6"/>
  <c r="J57" i="6" s="1"/>
  <c r="J58" i="6"/>
  <c r="F51" i="4"/>
  <c r="H5" i="6"/>
  <c r="H57" i="6" s="1"/>
  <c r="H58" i="6"/>
  <c r="D51" i="4"/>
  <c r="F5" i="6"/>
  <c r="F57" i="6" s="1"/>
  <c r="F58" i="6"/>
  <c r="Z49" i="4"/>
  <c r="Z47" i="4"/>
  <c r="Z45" i="4"/>
  <c r="Z50" i="4"/>
  <c r="Z48" i="4"/>
  <c r="Z46" i="4"/>
  <c r="Z35" i="4"/>
  <c r="Z33" i="4"/>
  <c r="Z31" i="4"/>
  <c r="Z29" i="4"/>
  <c r="Z27" i="4"/>
  <c r="Z36" i="4"/>
  <c r="Z34" i="4"/>
  <c r="Z32" i="4"/>
  <c r="Z30" i="4"/>
  <c r="Z28" i="4"/>
  <c r="Z26" i="4"/>
  <c r="Z25" i="4"/>
  <c r="Z24" i="4"/>
  <c r="Z22" i="4"/>
  <c r="Z20" i="4"/>
  <c r="Z19" i="4"/>
  <c r="Z17" i="4"/>
  <c r="Z16" i="4"/>
  <c r="Z23" i="4"/>
  <c r="Z21" i="4"/>
  <c r="Z18" i="4"/>
  <c r="Z15" i="4"/>
  <c r="Z13" i="4"/>
  <c r="Z12" i="4"/>
  <c r="Z8" i="4"/>
  <c r="B51" i="4"/>
  <c r="D5" i="6"/>
  <c r="D57" i="6" s="1"/>
  <c r="Z14" i="4"/>
  <c r="Z11" i="4"/>
  <c r="Z10" i="4"/>
  <c r="Z9" i="4"/>
  <c r="Z52" i="4"/>
  <c r="D58" i="6"/>
  <c r="U51" i="4"/>
  <c r="W5" i="6"/>
  <c r="W57" i="6" s="1"/>
  <c r="W58" i="6"/>
  <c r="S51" i="4"/>
  <c r="U5" i="6"/>
  <c r="U57" i="6" s="1"/>
  <c r="U58" i="6"/>
  <c r="Q51" i="4"/>
  <c r="S5" i="6"/>
  <c r="S57" i="6" s="1"/>
  <c r="S58" i="6"/>
  <c r="O51" i="4"/>
  <c r="Q5" i="6"/>
  <c r="Q57" i="6" s="1"/>
  <c r="Q58" i="6"/>
  <c r="M51" i="4"/>
  <c r="O5" i="6"/>
  <c r="O57" i="6" s="1"/>
  <c r="O58" i="6"/>
  <c r="K51" i="4"/>
  <c r="M5" i="6"/>
  <c r="M57" i="6" s="1"/>
  <c r="M58" i="6"/>
  <c r="I51" i="4"/>
  <c r="K5" i="6"/>
  <c r="K57" i="6" s="1"/>
  <c r="K58" i="6"/>
  <c r="G51" i="4"/>
  <c r="I5" i="6"/>
  <c r="I57" i="6" s="1"/>
  <c r="I58" i="6"/>
  <c r="E51" i="4"/>
  <c r="G5" i="6"/>
  <c r="G57" i="6" s="1"/>
  <c r="G58" i="6"/>
  <c r="C51" i="4"/>
  <c r="E5" i="6"/>
  <c r="E57" i="6" s="1"/>
  <c r="E58" i="6"/>
  <c r="H66" i="4" l="1"/>
  <c r="P66" i="4"/>
  <c r="Y66" i="4"/>
  <c r="AG66" i="4"/>
  <c r="I66" i="4"/>
  <c r="Q66" i="4"/>
  <c r="Z66" i="4"/>
  <c r="AH66" i="4"/>
  <c r="AD51" i="4"/>
  <c r="AD52" i="4" s="1"/>
  <c r="J66" i="4"/>
  <c r="R66" i="4"/>
  <c r="AA66" i="4"/>
  <c r="AI66" i="4"/>
  <c r="C66" i="4"/>
  <c r="K66" i="4"/>
  <c r="S66" i="4"/>
  <c r="AB66" i="4"/>
  <c r="AJ66" i="4"/>
  <c r="D66" i="4"/>
  <c r="T66" i="4"/>
  <c r="AK66" i="4"/>
  <c r="M66" i="4"/>
  <c r="W66" i="4"/>
  <c r="F66" i="4"/>
  <c r="V66" i="4"/>
  <c r="G66" i="4"/>
  <c r="X66" i="4"/>
  <c r="AF66" i="4"/>
  <c r="B66" i="4"/>
  <c r="L66" i="4"/>
  <c r="AC66" i="4"/>
  <c r="E66" i="4"/>
  <c r="U66" i="4"/>
  <c r="AD66" i="4"/>
  <c r="N66" i="4"/>
  <c r="AE66" i="4"/>
  <c r="O66" i="4"/>
  <c r="AE51" i="4"/>
  <c r="D62" i="6"/>
  <c r="D63" i="6" s="1"/>
  <c r="Z51" i="4"/>
  <c r="AE52" i="4" l="1"/>
  <c r="D24" i="10"/>
  <c r="D27" i="9"/>
  <c r="E27" i="9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I60" i="9"/>
  <c r="E29" i="9"/>
  <c r="D29" i="9"/>
  <c r="E28" i="9"/>
  <c r="D28" i="9"/>
  <c r="E11" i="9"/>
  <c r="D11" i="9"/>
  <c r="E10" i="9"/>
  <c r="D10" i="9"/>
  <c r="A8" i="9"/>
  <c r="A10" i="9" s="1"/>
  <c r="A11" i="9" s="1"/>
  <c r="A12" i="9" s="1"/>
  <c r="A17" i="9" s="1"/>
  <c r="C17" i="8"/>
  <c r="E10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W68" i="4" l="1"/>
  <c r="W70" i="4" s="1"/>
  <c r="Y66" i="6" s="1"/>
  <c r="AJ68" i="4"/>
  <c r="AJ70" i="4" s="1"/>
  <c r="AL66" i="6" s="1"/>
  <c r="S68" i="4"/>
  <c r="AA68" i="4"/>
  <c r="AA70" i="4" s="1"/>
  <c r="AC66" i="6" s="1"/>
  <c r="AH68" i="4"/>
  <c r="AH70" i="4" s="1"/>
  <c r="AJ66" i="6" s="1"/>
  <c r="Q68" i="4"/>
  <c r="Y68" i="4"/>
  <c r="Y70" i="4" s="1"/>
  <c r="AA66" i="6" s="1"/>
  <c r="AF68" i="4"/>
  <c r="AF70" i="4" s="1"/>
  <c r="AH66" i="6" s="1"/>
  <c r="O68" i="4"/>
  <c r="V68" i="4"/>
  <c r="AD68" i="4"/>
  <c r="AD70" i="4" s="1"/>
  <c r="AF66" i="6" s="1"/>
  <c r="AK68" i="4"/>
  <c r="AK70" i="4" s="1"/>
  <c r="AM66" i="6" s="1"/>
  <c r="T68" i="4"/>
  <c r="AC68" i="4"/>
  <c r="AC70" i="4" s="1"/>
  <c r="AE66" i="6" s="1"/>
  <c r="AB68" i="4"/>
  <c r="AB70" i="4" s="1"/>
  <c r="AD66" i="6" s="1"/>
  <c r="AI68" i="4"/>
  <c r="AI70" i="4" s="1"/>
  <c r="AK66" i="6" s="1"/>
  <c r="R68" i="4"/>
  <c r="Z68" i="4"/>
  <c r="Z70" i="4" s="1"/>
  <c r="AB66" i="6" s="1"/>
  <c r="AG68" i="4"/>
  <c r="AG70" i="4" s="1"/>
  <c r="AI66" i="6" s="1"/>
  <c r="P68" i="4"/>
  <c r="X68" i="4"/>
  <c r="X70" i="4" s="1"/>
  <c r="Z66" i="6" s="1"/>
  <c r="AE68" i="4"/>
  <c r="AE70" i="4" s="1"/>
  <c r="AG66" i="6" s="1"/>
  <c r="N68" i="4"/>
  <c r="U68" i="4"/>
  <c r="E9" i="8"/>
  <c r="E12" i="8"/>
  <c r="I27" i="9"/>
  <c r="I25" i="9"/>
  <c r="I24" i="9"/>
  <c r="I23" i="9"/>
  <c r="E11" i="8"/>
  <c r="E14" i="8"/>
  <c r="A23" i="9"/>
  <c r="A24" i="9" s="1"/>
  <c r="A25" i="9" s="1"/>
  <c r="A27" i="9" s="1"/>
  <c r="A28" i="9" s="1"/>
  <c r="A29" i="9" s="1"/>
  <c r="A30" i="9" s="1"/>
  <c r="A36" i="9" s="1"/>
  <c r="A37" i="9" s="1"/>
  <c r="A38" i="9" s="1"/>
  <c r="A39" i="9" s="1"/>
  <c r="A45" i="9" s="1"/>
  <c r="A46" i="9" s="1"/>
  <c r="A47" i="9" s="1"/>
  <c r="A48" i="9" s="1"/>
  <c r="E24" i="10"/>
  <c r="E13" i="8"/>
  <c r="E15" i="8"/>
  <c r="I7" i="9"/>
  <c r="I10" i="9"/>
  <c r="G12" i="9"/>
  <c r="I29" i="9"/>
  <c r="I38" i="9"/>
  <c r="I47" i="9"/>
  <c r="I58" i="9"/>
  <c r="I8" i="9"/>
  <c r="I17" i="9"/>
  <c r="G39" i="9"/>
  <c r="I36" i="9"/>
  <c r="I45" i="9"/>
  <c r="I56" i="9"/>
  <c r="I11" i="9"/>
  <c r="G30" i="9"/>
  <c r="I28" i="9"/>
  <c r="I37" i="9"/>
  <c r="I46" i="9"/>
  <c r="I48" i="9"/>
  <c r="I57" i="9"/>
  <c r="I59" i="9"/>
  <c r="G68" i="9"/>
  <c r="I67" i="9"/>
  <c r="I50" i="9" l="1"/>
  <c r="A49" i="9"/>
  <c r="A50" i="9" s="1"/>
  <c r="A56" i="9" s="1"/>
  <c r="A57" i="9" s="1"/>
  <c r="A58" i="9" s="1"/>
  <c r="A59" i="9" s="1"/>
  <c r="A60" i="9" s="1"/>
  <c r="A61" i="9" s="1"/>
  <c r="A67" i="9" s="1"/>
  <c r="A68" i="9" s="1"/>
  <c r="A70" i="9" s="1"/>
  <c r="E17" i="8"/>
  <c r="I61" i="9"/>
  <c r="I30" i="9"/>
  <c r="I39" i="9"/>
  <c r="I12" i="9"/>
  <c r="I68" i="9"/>
  <c r="E3" i="6" l="1"/>
  <c r="F3" i="6" s="1"/>
  <c r="G3" i="6" s="1"/>
  <c r="H3" i="6" s="1"/>
  <c r="I3" i="6" s="1"/>
  <c r="J3" i="6" s="1"/>
  <c r="K3" i="6" s="1"/>
  <c r="L3" i="6" l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C64" i="4" l="1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AJ64" i="4" s="1"/>
  <c r="AK64" i="4" s="1"/>
  <c r="E63" i="6" l="1"/>
  <c r="E62" i="6"/>
  <c r="F62" i="6" l="1"/>
  <c r="F63" i="6"/>
  <c r="B71" i="4"/>
  <c r="C71" i="4" l="1"/>
  <c r="G63" i="6"/>
  <c r="G62" i="6"/>
  <c r="H62" i="6" l="1"/>
  <c r="D71" i="4"/>
  <c r="H63" i="6"/>
  <c r="E71" i="4" l="1"/>
  <c r="I63" i="6"/>
  <c r="I62" i="6"/>
  <c r="J62" i="6" l="1"/>
  <c r="F71" i="4"/>
  <c r="J63" i="6"/>
  <c r="G71" i="4" l="1"/>
  <c r="H71" i="4" l="1"/>
  <c r="J70" i="4" l="1"/>
  <c r="K63" i="6"/>
  <c r="K62" i="6"/>
  <c r="E70" i="4"/>
  <c r="D70" i="4"/>
  <c r="M70" i="4" l="1"/>
  <c r="I70" i="4"/>
  <c r="K70" i="4"/>
  <c r="U70" i="4"/>
  <c r="G70" i="4"/>
  <c r="N70" i="4"/>
  <c r="S70" i="4"/>
  <c r="R70" i="4"/>
  <c r="P70" i="4"/>
  <c r="L70" i="4"/>
  <c r="C70" i="4"/>
  <c r="C72" i="4" s="1"/>
  <c r="C74" i="4" s="1"/>
  <c r="Q70" i="4"/>
  <c r="T70" i="4"/>
  <c r="V70" i="4"/>
  <c r="F70" i="4"/>
  <c r="F72" i="4" s="1"/>
  <c r="F74" i="4" s="1"/>
  <c r="O70" i="4"/>
  <c r="B70" i="4"/>
  <c r="H70" i="4"/>
  <c r="L62" i="6"/>
  <c r="D72" i="4"/>
  <c r="D74" i="4" s="1"/>
  <c r="E72" i="4"/>
  <c r="E74" i="4" s="1"/>
  <c r="L63" i="6"/>
  <c r="G72" i="4" l="1"/>
  <c r="G74" i="4" s="1"/>
  <c r="B72" i="4"/>
  <c r="B74" i="4" s="1"/>
  <c r="H72" i="4"/>
  <c r="H74" i="4" s="1"/>
  <c r="I71" i="4"/>
  <c r="I72" i="4" s="1"/>
  <c r="I74" i="4" s="1"/>
  <c r="M62" i="6"/>
  <c r="M63" i="6"/>
  <c r="B75" i="4" l="1"/>
  <c r="C75" i="4" s="1"/>
  <c r="D75" i="4" s="1"/>
  <c r="E75" i="4" s="1"/>
  <c r="F75" i="4" s="1"/>
  <c r="G75" i="4" s="1"/>
  <c r="H75" i="4" s="1"/>
  <c r="I75" i="4" s="1"/>
  <c r="J71" i="4"/>
  <c r="J72" i="4" s="1"/>
  <c r="J74" i="4" s="1"/>
  <c r="N63" i="6"/>
  <c r="N62" i="6"/>
  <c r="J75" i="4" l="1"/>
  <c r="K71" i="4"/>
  <c r="K72" i="4" s="1"/>
  <c r="K74" i="4" s="1"/>
  <c r="O62" i="6"/>
  <c r="O63" i="6"/>
  <c r="K75" i="4" l="1"/>
  <c r="P63" i="6"/>
  <c r="L71" i="4"/>
  <c r="L72" i="4" s="1"/>
  <c r="L74" i="4" s="1"/>
  <c r="P62" i="6"/>
  <c r="L75" i="4" l="1"/>
  <c r="Q63" i="6"/>
  <c r="Q62" i="6"/>
  <c r="M71" i="4"/>
  <c r="M72" i="4" s="1"/>
  <c r="M74" i="4" s="1"/>
  <c r="M75" i="4" l="1"/>
  <c r="R63" i="6"/>
  <c r="R62" i="6"/>
  <c r="N71" i="4"/>
  <c r="N72" i="4" s="1"/>
  <c r="N74" i="4" s="1"/>
  <c r="N75" i="4" l="1"/>
  <c r="O71" i="4"/>
  <c r="O72" i="4" s="1"/>
  <c r="O74" i="4" s="1"/>
  <c r="S62" i="6"/>
  <c r="S63" i="6"/>
  <c r="O75" i="4" l="1"/>
  <c r="T63" i="6"/>
  <c r="T62" i="6"/>
  <c r="P71" i="4"/>
  <c r="P72" i="4" s="1"/>
  <c r="P74" i="4" s="1"/>
  <c r="P75" i="4" l="1"/>
  <c r="Q71" i="4"/>
  <c r="Q72" i="4" s="1"/>
  <c r="Q74" i="4" s="1"/>
  <c r="U62" i="6"/>
  <c r="U63" i="6"/>
  <c r="Q75" i="4" l="1"/>
  <c r="R71" i="4"/>
  <c r="R72" i="4" s="1"/>
  <c r="R74" i="4" s="1"/>
  <c r="R75" i="4" s="1"/>
  <c r="V62" i="6"/>
  <c r="V63" i="6"/>
  <c r="W63" i="6" l="1"/>
  <c r="S71" i="4"/>
  <c r="S72" i="4" s="1"/>
  <c r="S74" i="4" s="1"/>
  <c r="S75" i="4" s="1"/>
  <c r="W62" i="6"/>
  <c r="X62" i="6" l="1"/>
  <c r="Y62" i="6" s="1"/>
  <c r="T71" i="4"/>
  <c r="T72" i="4" s="1"/>
  <c r="T74" i="4" s="1"/>
  <c r="T75" i="4" s="1"/>
  <c r="X63" i="6"/>
  <c r="Y63" i="6" s="1"/>
  <c r="Y65" i="6" s="1"/>
  <c r="Y70" i="6" l="1"/>
  <c r="Y67" i="6"/>
  <c r="U71" i="4"/>
  <c r="U72" i="4" s="1"/>
  <c r="U74" i="4" s="1"/>
  <c r="U75" i="4" s="1"/>
  <c r="C6" i="7" l="1"/>
  <c r="C8" i="7" s="1"/>
  <c r="C14" i="7" s="1"/>
  <c r="V71" i="4"/>
  <c r="V72" i="4" s="1"/>
  <c r="V74" i="4" s="1"/>
  <c r="V75" i="4" s="1"/>
  <c r="Z62" i="6"/>
  <c r="Z63" i="6"/>
  <c r="AA63" i="6" l="1"/>
  <c r="Z65" i="6"/>
  <c r="Z70" i="6" s="1"/>
  <c r="W71" i="4"/>
  <c r="W72" i="4" s="1"/>
  <c r="W74" i="4" s="1"/>
  <c r="W75" i="4" s="1"/>
  <c r="Y68" i="6"/>
  <c r="Y69" i="6" s="1"/>
  <c r="AA62" i="6"/>
  <c r="AB62" i="6" l="1"/>
  <c r="AA65" i="6"/>
  <c r="AA70" i="6" s="1"/>
  <c r="AB63" i="6"/>
  <c r="X71" i="4"/>
  <c r="X72" i="4" s="1"/>
  <c r="X74" i="4" s="1"/>
  <c r="X75" i="4" s="1"/>
  <c r="Z67" i="6"/>
  <c r="Z68" i="6" s="1"/>
  <c r="AB65" i="6" l="1"/>
  <c r="AB70" i="6" s="1"/>
  <c r="AC63" i="6"/>
  <c r="AC62" i="6"/>
  <c r="AA67" i="6"/>
  <c r="AA68" i="6" s="1"/>
  <c r="Y71" i="4"/>
  <c r="Y72" i="4" s="1"/>
  <c r="Y74" i="4" s="1"/>
  <c r="Y75" i="4" s="1"/>
  <c r="AB67" i="6" l="1"/>
  <c r="AB68" i="6" s="1"/>
  <c r="Z71" i="4"/>
  <c r="Z72" i="4" s="1"/>
  <c r="Z74" i="4" s="1"/>
  <c r="Z75" i="4" s="1"/>
  <c r="AD62" i="6"/>
  <c r="AC65" i="6"/>
  <c r="AC70" i="6" s="1"/>
  <c r="AD63" i="6"/>
  <c r="AC67" i="6" l="1"/>
  <c r="AC68" i="6" s="1"/>
  <c r="AA71" i="4"/>
  <c r="AA72" i="4" s="1"/>
  <c r="AA74" i="4" s="1"/>
  <c r="AA75" i="4" s="1"/>
  <c r="AD65" i="6"/>
  <c r="AD70" i="6" s="1"/>
  <c r="AE63" i="6"/>
  <c r="AE62" i="6"/>
  <c r="AD67" i="6" l="1"/>
  <c r="AD68" i="6" s="1"/>
  <c r="AB71" i="4"/>
  <c r="AB72" i="4" s="1"/>
  <c r="AB74" i="4" s="1"/>
  <c r="AB75" i="4" s="1"/>
  <c r="AF62" i="6"/>
  <c r="AE65" i="6"/>
  <c r="AE70" i="6" s="1"/>
  <c r="AF63" i="6"/>
  <c r="AE67" i="6" l="1"/>
  <c r="AE68" i="6" s="1"/>
  <c r="AC71" i="4"/>
  <c r="AC72" i="4" s="1"/>
  <c r="AC74" i="4" s="1"/>
  <c r="AC75" i="4" s="1"/>
  <c r="AG62" i="6"/>
  <c r="AF65" i="6"/>
  <c r="AF70" i="6" s="1"/>
  <c r="AG63" i="6"/>
  <c r="AF67" i="6" l="1"/>
  <c r="AF68" i="6" s="1"/>
  <c r="AD71" i="4"/>
  <c r="AD72" i="4" s="1"/>
  <c r="AD74" i="4" s="1"/>
  <c r="AD75" i="4" s="1"/>
  <c r="AH63" i="6"/>
  <c r="AG65" i="6"/>
  <c r="AG70" i="6" s="1"/>
  <c r="Z69" i="6"/>
  <c r="AH62" i="6"/>
  <c r="AG67" i="6" l="1"/>
  <c r="AG68" i="6" s="1"/>
  <c r="AE71" i="4"/>
  <c r="AE72" i="4" s="1"/>
  <c r="AE74" i="4" s="1"/>
  <c r="AE75" i="4" s="1"/>
  <c r="AI62" i="6"/>
  <c r="AA69" i="6"/>
  <c r="AI63" i="6"/>
  <c r="AH65" i="6"/>
  <c r="AH70" i="6" s="1"/>
  <c r="AH67" i="6" l="1"/>
  <c r="AH68" i="6" s="1"/>
  <c r="AF71" i="4"/>
  <c r="AF72" i="4" s="1"/>
  <c r="AF74" i="4" s="1"/>
  <c r="AF75" i="4" s="1"/>
  <c r="AJ63" i="6"/>
  <c r="AI65" i="6"/>
  <c r="AI70" i="6" s="1"/>
  <c r="AB69" i="6"/>
  <c r="AJ62" i="6"/>
  <c r="AI67" i="6" l="1"/>
  <c r="AI68" i="6" s="1"/>
  <c r="AG71" i="4"/>
  <c r="AG72" i="4" s="1"/>
  <c r="AG74" i="4" s="1"/>
  <c r="AG75" i="4" s="1"/>
  <c r="AK63" i="6"/>
  <c r="AJ65" i="6"/>
  <c r="AJ70" i="6" s="1"/>
  <c r="AK62" i="6"/>
  <c r="AC69" i="6"/>
  <c r="Z73" i="6" l="1"/>
  <c r="Z74" i="6" s="1"/>
  <c r="AJ67" i="6"/>
  <c r="AJ68" i="6" s="1"/>
  <c r="AH71" i="4"/>
  <c r="AH72" i="4" s="1"/>
  <c r="AH74" i="4" s="1"/>
  <c r="AH75" i="4" s="1"/>
  <c r="AL62" i="6"/>
  <c r="AA73" i="6" s="1"/>
  <c r="AA74" i="6" s="1"/>
  <c r="AD69" i="6"/>
  <c r="AL63" i="6"/>
  <c r="AK65" i="6"/>
  <c r="AK70" i="6" s="1"/>
  <c r="AK67" i="6" l="1"/>
  <c r="AK68" i="6" s="1"/>
  <c r="AI71" i="4"/>
  <c r="AI72" i="4" s="1"/>
  <c r="AI74" i="4" s="1"/>
  <c r="AI75" i="4" s="1"/>
  <c r="AM63" i="6"/>
  <c r="AM65" i="6" s="1"/>
  <c r="AL65" i="6"/>
  <c r="AE69" i="6"/>
  <c r="AM62" i="6"/>
  <c r="AL70" i="6" l="1"/>
  <c r="AM70" i="6" s="1"/>
  <c r="Z72" i="6"/>
  <c r="AL67" i="6"/>
  <c r="AL68" i="6" s="1"/>
  <c r="AJ71" i="4"/>
  <c r="AJ72" i="4" s="1"/>
  <c r="AJ74" i="4" s="1"/>
  <c r="AJ75" i="4" s="1"/>
  <c r="AM67" i="6"/>
  <c r="AM68" i="6" s="1"/>
  <c r="AK71" i="4"/>
  <c r="AK72" i="4" s="1"/>
  <c r="AK74" i="4" s="1"/>
  <c r="AF69" i="6"/>
  <c r="AA72" i="6" l="1"/>
  <c r="C9" i="7" s="1"/>
  <c r="AK75" i="4"/>
  <c r="AG69" i="6"/>
  <c r="AH69" i="6" l="1"/>
  <c r="AI69" i="6" l="1"/>
  <c r="AJ69" i="6" l="1"/>
  <c r="AK69" i="6" l="1"/>
  <c r="Z71" i="6" s="1"/>
  <c r="AL69" i="6" l="1"/>
  <c r="AA71" i="6" s="1"/>
  <c r="C10" i="7" l="1"/>
  <c r="C11" i="7" s="1"/>
  <c r="C13" i="7" s="1"/>
  <c r="AM69" i="6"/>
  <c r="C15" i="7" l="1"/>
  <c r="C16" i="7" s="1"/>
  <c r="G17" i="8" s="1"/>
  <c r="C18" i="7" l="1"/>
  <c r="G13" i="8"/>
  <c r="K61" i="9" s="1"/>
  <c r="L61" i="9" s="1"/>
  <c r="G9" i="8"/>
  <c r="K12" i="9" s="1"/>
  <c r="L12" i="9" s="1"/>
  <c r="G12" i="8"/>
  <c r="K39" i="9" s="1"/>
  <c r="L39" i="9" s="1"/>
  <c r="G15" i="8"/>
  <c r="K50" i="9" s="1"/>
  <c r="L50" i="9" s="1"/>
  <c r="G14" i="8"/>
  <c r="K67" i="9" s="1"/>
  <c r="G11" i="8"/>
  <c r="K17" i="9" s="1"/>
  <c r="L17" i="9" s="1"/>
  <c r="M17" i="9" s="1"/>
  <c r="O17" i="9" s="1"/>
  <c r="G10" i="8"/>
  <c r="K30" i="9" s="1"/>
  <c r="L48" i="9" l="1"/>
  <c r="M48" i="9" s="1"/>
  <c r="K48" i="9" s="1"/>
  <c r="L49" i="9"/>
  <c r="M49" i="9" s="1"/>
  <c r="L30" i="9"/>
  <c r="L24" i="9" s="1"/>
  <c r="M24" i="9" s="1"/>
  <c r="T17" i="9"/>
  <c r="X17" i="9"/>
  <c r="L46" i="9"/>
  <c r="M46" i="9" s="1"/>
  <c r="L47" i="9"/>
  <c r="M47" i="9" s="1"/>
  <c r="L45" i="9"/>
  <c r="M45" i="9" s="1"/>
  <c r="L11" i="9"/>
  <c r="M11" i="9" s="1"/>
  <c r="L8" i="9"/>
  <c r="M8" i="9" s="1"/>
  <c r="L10" i="9"/>
  <c r="M10" i="9" s="1"/>
  <c r="L7" i="9"/>
  <c r="M7" i="9" s="1"/>
  <c r="L67" i="9"/>
  <c r="M67" i="9" s="1"/>
  <c r="O67" i="9" s="1"/>
  <c r="K70" i="9"/>
  <c r="L38" i="9"/>
  <c r="M38" i="9" s="1"/>
  <c r="L37" i="9"/>
  <c r="M37" i="9" s="1"/>
  <c r="L36" i="9"/>
  <c r="M36" i="9" s="1"/>
  <c r="L56" i="9"/>
  <c r="M56" i="9" s="1"/>
  <c r="L59" i="9"/>
  <c r="M59" i="9" s="1"/>
  <c r="L60" i="9"/>
  <c r="M60" i="9" s="1"/>
  <c r="L57" i="9"/>
  <c r="M57" i="9" s="1"/>
  <c r="L58" i="9"/>
  <c r="M58" i="9" s="1"/>
  <c r="K49" i="9" l="1"/>
  <c r="O49" i="9"/>
  <c r="T49" i="9" s="1"/>
  <c r="T50" i="9" s="1"/>
  <c r="L27" i="9"/>
  <c r="M27" i="9" s="1"/>
  <c r="O27" i="9" s="1"/>
  <c r="O48" i="9"/>
  <c r="T48" i="9" s="1"/>
  <c r="L23" i="9"/>
  <c r="M23" i="9" s="1"/>
  <c r="O23" i="9" s="1"/>
  <c r="L28" i="9"/>
  <c r="M28" i="9" s="1"/>
  <c r="K28" i="9" s="1"/>
  <c r="L25" i="9"/>
  <c r="M25" i="9" s="1"/>
  <c r="O25" i="9" s="1"/>
  <c r="L29" i="9"/>
  <c r="M29" i="9" s="1"/>
  <c r="O29" i="9" s="1"/>
  <c r="O60" i="9"/>
  <c r="T60" i="9" s="1"/>
  <c r="T61" i="9" s="1"/>
  <c r="K60" i="9"/>
  <c r="K56" i="9"/>
  <c r="O56" i="9"/>
  <c r="T56" i="9" s="1"/>
  <c r="K37" i="9"/>
  <c r="O37" i="9"/>
  <c r="O57" i="9"/>
  <c r="T57" i="9" s="1"/>
  <c r="K57" i="9"/>
  <c r="K59" i="9"/>
  <c r="O59" i="9"/>
  <c r="T59" i="9" s="1"/>
  <c r="O36" i="9"/>
  <c r="K36" i="9"/>
  <c r="O38" i="9"/>
  <c r="K38" i="9"/>
  <c r="T67" i="9"/>
  <c r="X67" i="9"/>
  <c r="K27" i="9"/>
  <c r="O10" i="9"/>
  <c r="K10" i="9"/>
  <c r="O11" i="9"/>
  <c r="K11" i="9"/>
  <c r="O47" i="9"/>
  <c r="T47" i="9" s="1"/>
  <c r="K47" i="9"/>
  <c r="K58" i="9"/>
  <c r="O58" i="9"/>
  <c r="T58" i="9" s="1"/>
  <c r="K24" i="9"/>
  <c r="O24" i="9"/>
  <c r="K7" i="9"/>
  <c r="O7" i="9"/>
  <c r="O8" i="9"/>
  <c r="K8" i="9"/>
  <c r="O45" i="9"/>
  <c r="T45" i="9" s="1"/>
  <c r="K45" i="9"/>
  <c r="O46" i="9"/>
  <c r="T46" i="9" s="1"/>
  <c r="K46" i="9"/>
  <c r="K29" i="9" l="1"/>
  <c r="O28" i="9"/>
  <c r="K25" i="9"/>
  <c r="T37" i="9"/>
  <c r="X37" i="9"/>
  <c r="T38" i="9"/>
  <c r="X38" i="9"/>
  <c r="T36" i="9"/>
  <c r="X36" i="9"/>
  <c r="K23" i="9"/>
  <c r="X8" i="9"/>
  <c r="T8" i="9"/>
  <c r="T7" i="9"/>
  <c r="D36" i="10"/>
  <c r="X7" i="9"/>
  <c r="X29" i="9"/>
  <c r="T29" i="9"/>
  <c r="T24" i="9"/>
  <c r="X24" i="9"/>
  <c r="T23" i="9"/>
  <c r="X23" i="9"/>
  <c r="X27" i="9"/>
  <c r="T27" i="9"/>
  <c r="X25" i="9"/>
  <c r="T25" i="9"/>
  <c r="X11" i="9"/>
  <c r="T11" i="9"/>
  <c r="T10" i="9"/>
  <c r="X10" i="9"/>
  <c r="C36" i="10"/>
  <c r="X28" i="9"/>
  <c r="T28" i="9"/>
  <c r="G17" i="10" l="1"/>
  <c r="I17" i="10" s="1"/>
  <c r="G14" i="10"/>
  <c r="I14" i="10" s="1"/>
  <c r="G13" i="10"/>
  <c r="I13" i="10" s="1"/>
  <c r="G16" i="10"/>
  <c r="I16" i="10" s="1"/>
  <c r="G19" i="10"/>
  <c r="I19" i="10" s="1"/>
  <c r="G18" i="10"/>
  <c r="I18" i="10" s="1"/>
  <c r="G15" i="10"/>
  <c r="I15" i="10" s="1"/>
  <c r="G11" i="10"/>
  <c r="I11" i="10" s="1"/>
  <c r="G20" i="10"/>
  <c r="I20" i="10" s="1"/>
  <c r="G21" i="10"/>
  <c r="I21" i="10" s="1"/>
  <c r="G12" i="10"/>
  <c r="I12" i="10" s="1"/>
  <c r="G10" i="10"/>
  <c r="I10" i="10" l="1"/>
  <c r="I24" i="10" s="1"/>
  <c r="I26" i="10" s="1"/>
  <c r="G24" i="10"/>
  <c r="A46" i="6"/>
  <c r="A47" i="6" s="1"/>
  <c r="A48" i="6" s="1"/>
  <c r="A49" i="6" s="1"/>
  <c r="A50" i="6" s="1"/>
  <c r="A51" i="6" s="1"/>
  <c r="A52" i="6" s="1"/>
  <c r="A53" i="6" s="1"/>
  <c r="A54" i="6" s="1"/>
  <c r="A55" i="6" s="1"/>
  <c r="A56" i="6" l="1"/>
  <c r="A57" i="6" s="1"/>
  <c r="A58" i="6" s="1"/>
  <c r="A59" i="6" s="1"/>
  <c r="A60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</calcChain>
</file>

<file path=xl/comments1.xml><?xml version="1.0" encoding="utf-8"?>
<comments xmlns="http://schemas.openxmlformats.org/spreadsheetml/2006/main">
  <authors>
    <author>Jordan Stephenson</author>
  </authors>
  <commentList>
    <comment ref="W68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2013 investment not tracked as it has not exceeded $84M threshold.
2014 investment exceeding the $84M  threshold begins in October 2014. </t>
        </r>
        <r>
          <rPr>
            <b/>
            <sz val="9"/>
            <color indexed="81"/>
            <rFont val="Tahoma"/>
            <family val="2"/>
          </rPr>
          <t xml:space="preserve">
There is no bonus depreciation in 2014.</t>
        </r>
      </text>
    </comment>
    <comment ref="W69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<sst xmlns="http://schemas.openxmlformats.org/spreadsheetml/2006/main" count="482" uniqueCount="327">
  <si>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</si>
  <si>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</si>
  <si>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</si>
  <si>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</si>
  <si>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</si>
  <si>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</si>
  <si>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</si>
  <si>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</si>
  <si>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</si>
  <si>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</si>
  <si>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</si>
  <si>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</si>
  <si>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</si>
  <si>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</si>
  <si>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</si>
  <si>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</si>
  <si>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</si>
  <si>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</si>
  <si>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</si>
  <si>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</si>
  <si>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</si>
  <si>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</si>
  <si>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</si>
  <si>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</si>
  <si>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</si>
  <si>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</si>
  <si>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</si>
  <si>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</si>
  <si>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</si>
  <si>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</si>
  <si>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</si>
  <si>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</si>
  <si>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</si>
  <si>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</si>
  <si>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</si>
  <si>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</si>
  <si>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Already in rates</t>
  </si>
  <si>
    <t>Total investment not in rates</t>
  </si>
  <si>
    <t>Cumulative Plant Balances</t>
  </si>
  <si>
    <t>Book Depreciation Rate per Month</t>
  </si>
  <si>
    <t>Book Depreciation</t>
  </si>
  <si>
    <t>Accumulated Depreciation</t>
  </si>
  <si>
    <t>Questar 13 Month Avg (Accum Depr)</t>
  </si>
  <si>
    <t>Questar 13 Month Avg (Plant Additions)</t>
  </si>
  <si>
    <t>Questar 13 Mo Avg Not in Rates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</si>
  <si>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</si>
  <si>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</si>
  <si>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</si>
  <si>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</si>
  <si>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</si>
  <si>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</si>
  <si>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</si>
  <si>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</si>
  <si>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</si>
  <si>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</si>
  <si>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</si>
  <si>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</si>
  <si>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</si>
  <si>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</si>
  <si>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</si>
  <si>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</si>
  <si>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</si>
  <si>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</si>
  <si>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</si>
  <si>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</si>
  <si>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</si>
  <si>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</si>
  <si>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</si>
  <si>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</si>
  <si>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</si>
  <si>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Tariff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</si>
  <si>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</si>
  <si>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</si>
  <si>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</si>
  <si>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</si>
  <si>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</si>
  <si>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</si>
  <si>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</si>
  <si>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</si>
  <si>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</si>
  <si>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</si>
  <si>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>Rate Calculation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</si>
  <si>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</si>
  <si>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</si>
  <si>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</si>
  <si>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</si>
  <si>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</si>
  <si>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</si>
  <si>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</si>
  <si>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</si>
  <si>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</si>
  <si>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 xml:space="preserve">Current Rates 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</si>
  <si>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</si>
  <si>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</si>
  <si>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</si>
  <si>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</si>
  <si>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</si>
  <si>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</si>
  <si>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</si>
  <si>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</si>
  <si>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</si>
  <si>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</si>
  <si>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</si>
  <si>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</si>
  <si>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</si>
  <si>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</si>
  <si>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</si>
  <si>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</si>
  <si>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</si>
  <si>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</si>
  <si>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</si>
  <si>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</si>
  <si>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</si>
  <si>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</si>
  <si>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</si>
  <si>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</si>
  <si>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</si>
  <si>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</si>
  <si>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</si>
  <si>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</si>
  <si>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</si>
  <si>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</si>
  <si>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</si>
  <si>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</si>
  <si>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</si>
  <si>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</si>
  <si>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</si>
  <si>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</si>
  <si>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</si>
  <si>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</si>
  <si>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</si>
  <si>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</si>
  <si>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</si>
  <si>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</si>
  <si>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</si>
  <si>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</si>
  <si>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</si>
  <si>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</si>
  <si>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</si>
  <si>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</si>
  <si>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</si>
  <si>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</si>
  <si>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</si>
  <si>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</si>
  <si>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</si>
  <si>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</si>
  <si>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</si>
  <si>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</si>
  <si>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</si>
  <si>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</si>
  <si>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</si>
  <si>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</si>
  <si>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</si>
  <si>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</si>
  <si>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</si>
  <si>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</si>
  <si>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</si>
  <si>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</si>
  <si>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</si>
  <si>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</si>
  <si>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</si>
  <si>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</si>
  <si>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</si>
  <si>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</si>
  <si>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</si>
  <si>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</si>
  <si>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</si>
  <si>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</si>
  <si>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</si>
  <si>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</si>
  <si>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</si>
  <si>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</si>
  <si>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</si>
  <si>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</si>
  <si>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</si>
  <si>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</si>
  <si>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</si>
  <si>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</si>
  <si>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</si>
  <si>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</si>
  <si>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QGC Infrastructure Replacement Project Summary</t>
  </si>
  <si>
    <t>1/ ADIT is calculated using a 13 month average covering the test period.</t>
  </si>
  <si>
    <t>5/</t>
  </si>
  <si>
    <t>Removal Costs (108)</t>
  </si>
  <si>
    <t>Temporary Difference</t>
  </si>
  <si>
    <t>Tax Rate</t>
  </si>
  <si>
    <t>Deferred taxes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</si>
  <si>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</si>
  <si>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</si>
  <si>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</si>
  <si>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</si>
  <si>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</si>
  <si>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</si>
  <si>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</si>
  <si>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</si>
  <si>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AA</t>
  </si>
  <si>
    <t>AB</t>
  </si>
  <si>
    <t>AC</t>
  </si>
  <si>
    <t>AD</t>
  </si>
  <si>
    <t>Questar 13 Month Avg (ADIT) 1/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</si>
  <si>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</si>
  <si>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</si>
  <si>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</si>
  <si>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</si>
  <si>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</si>
  <si>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</si>
  <si>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</si>
  <si>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</si>
  <si>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</si>
  <si>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Closed 50% pd, incurred any pd</t>
  </si>
  <si>
    <t>FL35- REPL FL 13400 S, SLCo</t>
  </si>
  <si>
    <t>Revenue Requirement Previously Included in Rates:</t>
  </si>
  <si>
    <t>6/</t>
  </si>
  <si>
    <t>2013</t>
  </si>
  <si>
    <t>2014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</si>
  <si>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</si>
  <si>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</si>
  <si>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</si>
  <si>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</si>
  <si>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</si>
  <si>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</si>
  <si>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</si>
  <si>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</si>
  <si>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</si>
  <si>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</si>
  <si>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</si>
  <si>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</si>
  <si>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</si>
  <si>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</si>
  <si>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</si>
  <si>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</si>
  <si>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</si>
  <si>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</si>
  <si>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Incremental Revenue Request (Line 11 - Line 12)</t>
  </si>
  <si>
    <t>AE</t>
  </si>
  <si>
    <t>AF</t>
  </si>
  <si>
    <t>AG</t>
  </si>
  <si>
    <t>AH</t>
  </si>
  <si>
    <t>AI</t>
  </si>
  <si>
    <t>AJ</t>
  </si>
  <si>
    <t>01042249</t>
  </si>
  <si>
    <t>01041175</t>
  </si>
  <si>
    <t>01041176</t>
  </si>
  <si>
    <t>FL20-REPL FL, SOUTH WEBER</t>
  </si>
  <si>
    <t>FL24-INST 10' OF 10" FBE HP,HI</t>
  </si>
  <si>
    <t>FL8 Retirement</t>
  </si>
  <si>
    <t>FL20 Retirement</t>
  </si>
  <si>
    <t>Grand Total (Beg 2013)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</si>
  <si>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</si>
  <si>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</si>
  <si>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</si>
  <si>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</si>
  <si>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</si>
  <si>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</si>
  <si>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</si>
  <si>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</si>
  <si>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</si>
  <si>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</si>
  <si>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</si>
  <si>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</si>
  <si>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</si>
  <si>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</si>
  <si>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</si>
  <si>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</si>
  <si>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Cumulative Plant Balances (Less $84 Mil)</t>
  </si>
  <si>
    <t>1/ Per the Settlement Stipulation, paragraph 25 in Docket 13-057-05.</t>
  </si>
  <si>
    <t>13-057-05</t>
  </si>
  <si>
    <t>1/ Per Docket 13-057-05, Report and Order page  35, Table 1</t>
  </si>
  <si>
    <t>2/ Total calculated surcharge amount from Exhibit 1.1 page 4, line 11</t>
  </si>
  <si>
    <t>Over</t>
  </si>
  <si>
    <t>01042033</t>
  </si>
  <si>
    <t>01041777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</si>
  <si>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</si>
  <si>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</si>
  <si>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</si>
  <si>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</si>
  <si>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</si>
  <si>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</si>
  <si>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</si>
  <si>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</si>
  <si>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</si>
  <si>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</si>
  <si>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</si>
  <si>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</si>
  <si>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</si>
  <si>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</si>
  <si>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</si>
  <si>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</si>
  <si>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</si>
  <si>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</si>
  <si>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</si>
  <si>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</si>
  <si>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</si>
  <si>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</si>
  <si>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</si>
  <si>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</si>
  <si>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</si>
  <si>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</si>
  <si>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</si>
  <si>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</si>
  <si>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SL IHP-Repl 3000' of 16"</t>
  </si>
  <si>
    <t>FL34-REPL BV &amp; HP PIPE, SLCO</t>
  </si>
  <si>
    <t>FL6-REPL HP, COTTONWOOD HGTS</t>
  </si>
  <si>
    <t>FL23-REPL w/12" ARO, LOGAN</t>
  </si>
  <si>
    <t>FL6-REPL 1500' 12" PIPE, SANDY</t>
  </si>
  <si>
    <t>FL34-INST DIRECTIONAL BORE, SJ</t>
  </si>
  <si>
    <t>SLIHP-REPL BL SL,3rd8th 1000 E</t>
  </si>
  <si>
    <t>SPRIHP-REPL BL PROVO 800W 400S</t>
  </si>
  <si>
    <t>SPRIHP-REPL BL 1100 N., NO SL</t>
  </si>
  <si>
    <t>SLIHP-REPL BL 100-300 SO, SLC</t>
  </si>
  <si>
    <t>FL18-REPL 3000' OF 8" ARO, LAY</t>
  </si>
  <si>
    <t>FL6-REPL FL 3300S/UTCo, SLCo</t>
  </si>
  <si>
    <t xml:space="preserve">    rate of 2.14% (rate approved in depreciation study Docket No. 13-057-19) by the net investment amount on line 3.</t>
  </si>
  <si>
    <t>TOTAL 2013</t>
  </si>
  <si>
    <t>LESS 84 Mill Already in Rates</t>
  </si>
  <si>
    <t>TOTAL 2014</t>
  </si>
  <si>
    <t>Removal Cost (Increases Tax DPR)</t>
  </si>
  <si>
    <t>SLC IHP Belt Lines</t>
  </si>
  <si>
    <t>Less $84 Million</t>
  </si>
  <si>
    <t>4/ Depreciation for tax purposes is calculated using the average ADIT for the test period.  See Exhibit 1.1 line 66, column X</t>
  </si>
  <si>
    <t>5/ Current Commission allowed pretax return as shown in Section 2.07 of the Company's tariff</t>
  </si>
  <si>
    <t xml:space="preserve">6/ Depreciation expense and accumulated depreciation calculated by multiplying the depreciation </t>
  </si>
  <si>
    <t>7/</t>
  </si>
  <si>
    <t xml:space="preserve">    October that sum to a higher amount than depreciation expense on the new tracker investment. See Exhibit 1.1 line 67, column X</t>
  </si>
  <si>
    <t>2/ See Exhibit 1.1 line 58, column V</t>
  </si>
  <si>
    <t>7/ Revenue requirement included in the tracker rate was reset to -0- with Docket 13-057-05 report and order.</t>
  </si>
  <si>
    <t xml:space="preserve">3/ Accumulated depreciation will normally be negative, however in this case it's positive because of removal costs and retirements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</si>
</sst>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%"/>
    <numFmt numFmtId="167" formatCode="0.0000%"/>
    <numFmt numFmtId="168" formatCode="_(&quot;$&quot;* #,##0_);_(&quot;$&quot;* \(#,##0\);_(&quot;$&quot;* &quot;-&quot;??_);_(@_)"/>
    <numFmt numFmtId="169" formatCode="#,##0.00000_);\(#,##0.00000\)"/>
    <numFmt numFmtId="170" formatCode="0.0000000_)"/>
    <numFmt numFmtId="171" formatCode="#,##0.00000"/>
    <numFmt numFmtId="172" formatCode="&quot;$&quot;#,##0.00000_);\(&quot;$&quot;#,##0.00000\)"/>
    <numFmt numFmtId="173" formatCode="#,##0.0"/>
    <numFmt numFmtId="174" formatCode="#,##0.0_);\(#,##0.0\)"/>
    <numFmt numFmtId="175" formatCode="0.00_);\(0.00\)"/>
    <numFmt numFmtId="176" formatCode="[$-409]d\-mmm\-yy;@"/>
    <numFmt numFmtId="177" formatCode="0.00000"/>
    <numFmt numFmtId="178" formatCode="_(* #,##0.00000_);_(* \(#,##0.00000\);_(* &quot;-&quot;??_);_(@_)"/>
  </numFmts>
  <fonts count="19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b/>
      <sz val="12"/>
      <name val="MS Sans Serif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</borders>
  <cellStyleXfs count="16">
    <xf numFmtId="164" fontId="0" fillId="0" borderId="0"/>
    <xf numFmtId="164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1">
      <alignment horizontal="center"/>
    </xf>
    <xf numFmtId="3" fontId="3" fillId="0" borderId="0" applyFont="0" applyFill="0" applyBorder="0" applyAlignment="0" applyProtection="0"/>
    <xf numFmtId="164" fontId="3" fillId="2" borderId="0" applyNumberFormat="0" applyFon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6" fillId="0" borderId="0"/>
  </cellStyleXfs>
  <cellXfs count="243">
    <xf numFmtId="164" fontId="0" fillId="0" borderId="0" xfId="0"/>
    <xf numFmtId="38" fontId="0" fillId="0" borderId="0" xfId="0" applyNumberFormat="1"/>
    <xf numFmtId="164" fontId="4" fillId="0" borderId="0" xfId="0" applyFont="1"/>
    <xf numFmtId="164" fontId="5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164" fontId="0" fillId="0" borderId="0" xfId="0" quotePrefix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5" fillId="0" borderId="0" xfId="0" applyNumberFormat="1" applyFont="1" applyAlignment="1">
      <alignment horizontal="center"/>
    </xf>
    <xf numFmtId="166" fontId="0" fillId="0" borderId="0" xfId="8" applyNumberFormat="1" applyFont="1"/>
    <xf numFmtId="167" fontId="0" fillId="0" borderId="0" xfId="8" applyNumberFormat="1" applyFont="1"/>
    <xf numFmtId="43" fontId="5" fillId="0" borderId="2" xfId="7" applyFont="1" applyBorder="1"/>
    <xf numFmtId="164" fontId="0" fillId="0" borderId="0" xfId="0" applyFont="1" applyAlignment="1">
      <alignment horizontal="left"/>
    </xf>
    <xf numFmtId="164" fontId="0" fillId="0" borderId="0" xfId="7" applyNumberFormat="1" applyFont="1" applyAlignment="1">
      <alignment horizontal="center"/>
    </xf>
    <xf numFmtId="38" fontId="0" fillId="0" borderId="0" xfId="7" applyNumberFormat="1" applyFont="1"/>
    <xf numFmtId="165" fontId="0" fillId="0" borderId="3" xfId="7" applyNumberFormat="1" applyFont="1" applyBorder="1"/>
    <xf numFmtId="164" fontId="5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 applyAlignment="1"/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left" vertical="top"/>
    </xf>
    <xf numFmtId="6" fontId="7" fillId="0" borderId="0" xfId="0" applyNumberFormat="1" applyFont="1"/>
    <xf numFmtId="5" fontId="7" fillId="0" borderId="0" xfId="0" applyNumberFormat="1" applyFont="1"/>
    <xf numFmtId="6" fontId="7" fillId="0" borderId="4" xfId="0" applyNumberFormat="1" applyFont="1" applyBorder="1"/>
    <xf numFmtId="10" fontId="7" fillId="0" borderId="0" xfId="8" applyNumberFormat="1" applyFont="1"/>
    <xf numFmtId="6" fontId="7" fillId="0" borderId="3" xfId="0" applyNumberFormat="1" applyFont="1" applyBorder="1"/>
    <xf numFmtId="164" fontId="7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5" fontId="0" fillId="0" borderId="0" xfId="0" applyNumberFormat="1" applyBorder="1"/>
    <xf numFmtId="0" fontId="7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6" fillId="0" borderId="0" xfId="9"/>
    <xf numFmtId="5" fontId="6" fillId="0" borderId="0" xfId="9" applyNumberFormat="1" applyFont="1"/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quotePrefix="1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/>
    </xf>
    <xf numFmtId="0" fontId="6" fillId="0" borderId="0" xfId="9" quotePrefix="1" applyFont="1" applyAlignment="1">
      <alignment horizontal="center"/>
    </xf>
    <xf numFmtId="0" fontId="6" fillId="0" borderId="4" xfId="9" applyFont="1" applyBorder="1"/>
    <xf numFmtId="0" fontId="6" fillId="0" borderId="4" xfId="9" applyFont="1" applyFill="1" applyBorder="1" applyAlignment="1">
      <alignment horizontal="center"/>
    </xf>
    <xf numFmtId="0" fontId="6" fillId="0" borderId="0" xfId="9" applyAlignment="1">
      <alignment horizontal="center"/>
    </xf>
    <xf numFmtId="168" fontId="7" fillId="0" borderId="2" xfId="10" applyNumberFormat="1" applyFont="1" applyBorder="1"/>
    <xf numFmtId="168" fontId="7" fillId="0" borderId="0" xfId="10" applyNumberFormat="1" applyFont="1" applyBorder="1"/>
    <xf numFmtId="10" fontId="7" fillId="0" borderId="0" xfId="8" applyNumberFormat="1" applyFont="1" applyBorder="1"/>
    <xf numFmtId="165" fontId="7" fillId="0" borderId="0" xfId="11" applyNumberFormat="1" applyFont="1"/>
    <xf numFmtId="165" fontId="7" fillId="0" borderId="0" xfId="11" applyNumberFormat="1" applyFont="1" applyBorder="1"/>
    <xf numFmtId="165" fontId="7" fillId="0" borderId="4" xfId="11" applyNumberFormat="1" applyFont="1" applyBorder="1"/>
    <xf numFmtId="10" fontId="7" fillId="0" borderId="4" xfId="8" applyNumberFormat="1" applyFont="1" applyBorder="1"/>
    <xf numFmtId="168" fontId="7" fillId="0" borderId="4" xfId="10" applyNumberFormat="1" applyFont="1" applyBorder="1"/>
    <xf numFmtId="168" fontId="7" fillId="0" borderId="0" xfId="10" applyNumberFormat="1" applyFont="1"/>
    <xf numFmtId="9" fontId="7" fillId="0" borderId="0" xfId="8" applyFont="1"/>
    <xf numFmtId="0" fontId="8" fillId="0" borderId="0" xfId="12" applyFont="1" applyFill="1" applyAlignment="1">
      <alignment horizontal="center"/>
    </xf>
    <xf numFmtId="0" fontId="6" fillId="0" borderId="0" xfId="12" applyFont="1" applyFill="1"/>
    <xf numFmtId="0" fontId="6" fillId="0" borderId="0" xfId="12" applyFont="1" applyFill="1" applyAlignment="1"/>
    <xf numFmtId="3" fontId="6" fillId="0" borderId="0" xfId="12" applyNumberFormat="1" applyFont="1" applyFill="1" applyAlignment="1">
      <alignment horizontal="center"/>
    </xf>
    <xf numFmtId="0" fontId="6" fillId="0" borderId="0" xfId="12" applyFont="1" applyFill="1" applyBorder="1" applyAlignment="1"/>
    <xf numFmtId="0" fontId="8" fillId="0" borderId="0" xfId="12" applyFont="1" applyFill="1" applyBorder="1" applyAlignment="1">
      <alignment horizontal="center"/>
    </xf>
    <xf numFmtId="0" fontId="8" fillId="0" borderId="0" xfId="12" quotePrefix="1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/>
    <xf numFmtId="3" fontId="6" fillId="0" borderId="0" xfId="12" applyNumberFormat="1" applyFont="1" applyFill="1" applyBorder="1" applyAlignment="1" applyProtection="1">
      <alignment horizontal="center"/>
    </xf>
    <xf numFmtId="0" fontId="8" fillId="0" borderId="0" xfId="12" applyFont="1" applyFill="1" applyAlignment="1" applyProtection="1">
      <alignment horizontal="center"/>
    </xf>
    <xf numFmtId="0" fontId="8" fillId="0" borderId="0" xfId="12" applyFont="1" applyFill="1" applyAlignment="1" applyProtection="1"/>
    <xf numFmtId="0" fontId="8" fillId="0" borderId="1" xfId="12" applyFont="1" applyFill="1" applyBorder="1" applyAlignment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" fontId="8" fillId="0" borderId="0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0" fontId="8" fillId="0" borderId="1" xfId="12" quotePrefix="1" applyFont="1" applyFill="1" applyBorder="1" applyAlignment="1" applyProtection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37" fontId="10" fillId="0" borderId="0" xfId="12" quotePrefix="1" applyNumberFormat="1" applyFont="1" applyFill="1" applyBorder="1" applyAlignment="1" applyProtection="1">
      <alignment horizontal="center"/>
    </xf>
    <xf numFmtId="37" fontId="10" fillId="0" borderId="0" xfId="12" applyNumberFormat="1" applyFont="1" applyFill="1" applyAlignment="1"/>
    <xf numFmtId="169" fontId="10" fillId="0" borderId="0" xfId="12" applyNumberFormat="1" applyFont="1" applyFill="1" applyAlignment="1"/>
    <xf numFmtId="37" fontId="10" fillId="0" borderId="0" xfId="12" applyNumberFormat="1" applyFont="1" applyFill="1" applyAlignment="1" applyProtection="1"/>
    <xf numFmtId="4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/>
    <xf numFmtId="169" fontId="10" fillId="0" borderId="0" xfId="12" applyNumberFormat="1" applyFont="1" applyFill="1" applyAlignment="1" applyProtection="1"/>
    <xf numFmtId="170" fontId="6" fillId="0" borderId="0" xfId="12" applyNumberFormat="1" applyFont="1" applyFill="1" applyBorder="1" applyAlignment="1" applyProtection="1"/>
    <xf numFmtId="0" fontId="10" fillId="0" borderId="0" xfId="12" applyFont="1" applyFill="1" applyAlignment="1"/>
    <xf numFmtId="3" fontId="10" fillId="0" borderId="0" xfId="12" quotePrefix="1" applyNumberFormat="1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/>
    <xf numFmtId="0" fontId="11" fillId="0" borderId="0" xfId="12" quotePrefix="1" applyFont="1" applyFill="1" applyBorder="1" applyAlignment="1" applyProtection="1">
      <alignment horizontal="left"/>
    </xf>
    <xf numFmtId="37" fontId="10" fillId="0" borderId="3" xfId="12" applyNumberFormat="1" applyFont="1" applyFill="1" applyBorder="1" applyAlignment="1"/>
    <xf numFmtId="169" fontId="10" fillId="0" borderId="3" xfId="12" applyNumberFormat="1" applyFont="1" applyFill="1" applyBorder="1" applyAlignment="1"/>
    <xf numFmtId="171" fontId="6" fillId="0" borderId="0" xfId="12" applyNumberFormat="1" applyFont="1" applyFill="1" applyBorder="1" applyAlignment="1" applyProtection="1"/>
    <xf numFmtId="10" fontId="10" fillId="0" borderId="3" xfId="13" applyNumberFormat="1" applyFont="1" applyFill="1" applyBorder="1" applyAlignment="1"/>
    <xf numFmtId="0" fontId="6" fillId="0" borderId="0" xfId="12" quotePrefix="1" applyFont="1" applyFill="1" applyBorder="1" applyAlignment="1" applyProtection="1">
      <alignment horizontal="left"/>
    </xf>
    <xf numFmtId="3" fontId="6" fillId="0" borderId="0" xfId="12" quotePrefix="1" applyNumberFormat="1" applyFont="1" applyFill="1" applyBorder="1" applyAlignment="1" applyProtection="1">
      <alignment horizontal="center"/>
    </xf>
    <xf numFmtId="37" fontId="6" fillId="0" borderId="0" xfId="12" applyNumberFormat="1" applyFont="1" applyFill="1" applyAlignment="1"/>
    <xf numFmtId="172" fontId="6" fillId="0" borderId="0" xfId="12" applyNumberFormat="1" applyFont="1" applyFill="1" applyAlignment="1"/>
    <xf numFmtId="37" fontId="6" fillId="0" borderId="0" xfId="12" applyNumberFormat="1" applyFont="1" applyFill="1" applyAlignment="1" applyProtection="1"/>
    <xf numFmtId="0" fontId="6" fillId="0" borderId="1" xfId="12" applyFont="1" applyFill="1" applyBorder="1" applyAlignment="1" applyProtection="1"/>
    <xf numFmtId="3" fontId="6" fillId="0" borderId="1" xfId="12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10" fillId="0" borderId="0" xfId="12" applyFont="1" applyFill="1" applyBorder="1" applyAlignment="1" applyProtection="1">
      <alignment horizontal="left"/>
    </xf>
    <xf numFmtId="10" fontId="10" fillId="0" borderId="2" xfId="13" applyNumberFormat="1" applyFont="1" applyFill="1" applyBorder="1" applyAlignment="1"/>
    <xf numFmtId="10" fontId="10" fillId="0" borderId="0" xfId="13" applyNumberFormat="1" applyFont="1" applyFill="1" applyBorder="1" applyAlignment="1"/>
    <xf numFmtId="5" fontId="10" fillId="0" borderId="1" xfId="12" applyNumberFormat="1" applyFont="1" applyFill="1" applyBorder="1" applyAlignment="1" applyProtection="1"/>
    <xf numFmtId="5" fontId="6" fillId="0" borderId="1" xfId="12" applyNumberFormat="1" applyFont="1" applyFill="1" applyBorder="1" applyAlignment="1" applyProtection="1"/>
    <xf numFmtId="5" fontId="10" fillId="0" borderId="0" xfId="12" applyNumberFormat="1" applyFont="1" applyFill="1" applyBorder="1" applyAlignment="1" applyProtection="1"/>
    <xf numFmtId="5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 applyProtection="1"/>
    <xf numFmtId="172" fontId="10" fillId="0" borderId="0" xfId="12" applyNumberFormat="1" applyFont="1" applyFill="1" applyAlignment="1"/>
    <xf numFmtId="37" fontId="10" fillId="0" borderId="2" xfId="12" applyNumberFormat="1" applyFont="1" applyFill="1" applyBorder="1" applyAlignment="1"/>
    <xf numFmtId="172" fontId="10" fillId="0" borderId="2" xfId="12" applyNumberFormat="1" applyFont="1" applyFill="1" applyBorder="1" applyAlignment="1"/>
    <xf numFmtId="37" fontId="10" fillId="0" borderId="0" xfId="12" applyNumberFormat="1" applyFont="1" applyFill="1" applyBorder="1" applyAlignment="1"/>
    <xf numFmtId="172" fontId="10" fillId="0" borderId="0" xfId="12" applyNumberFormat="1" applyFont="1" applyFill="1" applyBorder="1" applyAlignment="1"/>
    <xf numFmtId="37" fontId="10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center"/>
    </xf>
    <xf numFmtId="0" fontId="12" fillId="0" borderId="1" xfId="12" applyFont="1" applyFill="1" applyBorder="1" applyAlignment="1" applyProtection="1"/>
    <xf numFmtId="0" fontId="6" fillId="0" borderId="1" xfId="12" quotePrefix="1" applyFont="1" applyFill="1" applyBorder="1" applyAlignment="1" applyProtection="1">
      <alignment horizontal="left"/>
    </xf>
    <xf numFmtId="3" fontId="6" fillId="0" borderId="1" xfId="12" quotePrefix="1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/>
    <xf numFmtId="172" fontId="6" fillId="0" borderId="1" xfId="12" applyNumberFormat="1" applyFont="1" applyFill="1" applyBorder="1" applyAlignment="1"/>
    <xf numFmtId="0" fontId="12" fillId="0" borderId="0" xfId="12" applyFont="1" applyFill="1" applyBorder="1" applyAlignment="1" applyProtection="1"/>
    <xf numFmtId="37" fontId="6" fillId="0" borderId="0" xfId="12" applyNumberFormat="1" applyFont="1" applyFill="1" applyBorder="1" applyAlignment="1"/>
    <xf numFmtId="172" fontId="6" fillId="0" borderId="0" xfId="12" applyNumberFormat="1" applyFont="1" applyFill="1" applyBorder="1" applyAlignment="1"/>
    <xf numFmtId="3" fontId="12" fillId="0" borderId="0" xfId="12" applyNumberFormat="1" applyFont="1" applyFill="1" applyBorder="1" applyAlignment="1" applyProtection="1">
      <alignment horizontal="center"/>
    </xf>
    <xf numFmtId="10" fontId="6" fillId="0" borderId="0" xfId="13" applyNumberFormat="1" applyFont="1" applyFill="1" applyBorder="1" applyAlignment="1" applyProtection="1"/>
    <xf numFmtId="169" fontId="10" fillId="0" borderId="0" xfId="12" applyNumberFormat="1" applyFont="1" applyFill="1" applyBorder="1" applyAlignment="1"/>
    <xf numFmtId="0" fontId="6" fillId="0" borderId="0" xfId="12" applyFont="1" applyFill="1" applyBorder="1" applyAlignment="1">
      <alignment horizontal="left"/>
    </xf>
    <xf numFmtId="37" fontId="10" fillId="0" borderId="4" xfId="12" applyNumberFormat="1" applyFont="1" applyFill="1" applyBorder="1" applyAlignment="1"/>
    <xf numFmtId="10" fontId="6" fillId="0" borderId="4" xfId="13" applyNumberFormat="1" applyFont="1" applyFill="1" applyBorder="1" applyAlignment="1" applyProtection="1"/>
    <xf numFmtId="169" fontId="10" fillId="0" borderId="4" xfId="12" applyNumberFormat="1" applyFont="1" applyFill="1" applyBorder="1" applyAlignment="1"/>
    <xf numFmtId="7" fontId="6" fillId="0" borderId="0" xfId="12" applyNumberFormat="1" applyFont="1" applyFill="1" applyBorder="1" applyAlignment="1" applyProtection="1"/>
    <xf numFmtId="0" fontId="10" fillId="0" borderId="1" xfId="12" applyFont="1" applyFill="1" applyBorder="1" applyAlignment="1" applyProtection="1"/>
    <xf numFmtId="3" fontId="12" fillId="0" borderId="1" xfId="12" applyNumberFormat="1" applyFont="1" applyFill="1" applyBorder="1" applyAlignment="1" applyProtection="1">
      <alignment horizontal="center"/>
    </xf>
    <xf numFmtId="37" fontId="10" fillId="0" borderId="1" xfId="12" applyNumberFormat="1" applyFont="1" applyFill="1" applyBorder="1" applyAlignment="1"/>
    <xf numFmtId="7" fontId="6" fillId="0" borderId="1" xfId="12" applyNumberFormat="1" applyFont="1" applyFill="1" applyBorder="1" applyAlignment="1" applyProtection="1"/>
    <xf numFmtId="3" fontId="10" fillId="0" borderId="5" xfId="12" quotePrefix="1" applyNumberFormat="1" applyFont="1" applyFill="1" applyBorder="1" applyAlignment="1" applyProtection="1">
      <alignment horizontal="center"/>
    </xf>
    <xf numFmtId="172" fontId="10" fillId="0" borderId="0" xfId="12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right"/>
    </xf>
    <xf numFmtId="5" fontId="8" fillId="0" borderId="6" xfId="12" applyNumberFormat="1" applyFont="1" applyFill="1" applyBorder="1" applyAlignment="1"/>
    <xf numFmtId="0" fontId="6" fillId="0" borderId="0" xfId="14" applyFont="1" applyFill="1" applyProtection="1"/>
    <xf numFmtId="0" fontId="8" fillId="0" borderId="0" xfId="14" applyFont="1" applyFill="1" applyAlignment="1" applyProtection="1">
      <alignment horizontal="center"/>
    </xf>
    <xf numFmtId="0" fontId="6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right"/>
    </xf>
    <xf numFmtId="0" fontId="8" fillId="0" borderId="0" xfId="14" applyFont="1" applyFill="1" applyProtection="1"/>
    <xf numFmtId="0" fontId="6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 applyProtection="1">
      <alignment horizontal="right" vertical="center"/>
    </xf>
    <xf numFmtId="0" fontId="8" fillId="0" borderId="0" xfId="14" applyFont="1" applyFill="1" applyAlignment="1" applyProtection="1">
      <alignment vertical="center"/>
    </xf>
    <xf numFmtId="0" fontId="6" fillId="0" borderId="0" xfId="14" applyFont="1" applyFill="1" applyAlignment="1" applyProtection="1">
      <alignment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1" xfId="14" quotePrefix="1" applyFont="1" applyFill="1" applyBorder="1" applyAlignment="1" applyProtection="1">
      <alignment horizontal="right" vertical="top"/>
    </xf>
    <xf numFmtId="0" fontId="8" fillId="0" borderId="1" xfId="14" applyFont="1" applyFill="1" applyBorder="1" applyAlignment="1" applyProtection="1">
      <alignment horizontal="right" vertical="top"/>
    </xf>
    <xf numFmtId="173" fontId="10" fillId="0" borderId="0" xfId="9" applyNumberFormat="1" applyFont="1" applyAlignment="1" applyProtection="1">
      <alignment horizontal="right"/>
    </xf>
    <xf numFmtId="7" fontId="6" fillId="0" borderId="0" xfId="14" applyNumberFormat="1" applyFont="1" applyFill="1" applyAlignment="1" applyProtection="1">
      <alignment horizontal="right"/>
    </xf>
    <xf numFmtId="39" fontId="6" fillId="0" borderId="0" xfId="14" applyNumberFormat="1" applyFont="1" applyFill="1" applyAlignment="1" applyProtection="1">
      <alignment horizontal="right"/>
    </xf>
    <xf numFmtId="174" fontId="6" fillId="0" borderId="6" xfId="14" applyNumberFormat="1" applyFont="1" applyFill="1" applyBorder="1" applyAlignment="1" applyProtection="1">
      <alignment horizontal="center"/>
    </xf>
    <xf numFmtId="7" fontId="6" fillId="0" borderId="6" xfId="14" applyNumberFormat="1" applyFont="1" applyFill="1" applyBorder="1" applyAlignment="1" applyProtection="1">
      <alignment horizontal="center"/>
    </xf>
    <xf numFmtId="39" fontId="6" fillId="0" borderId="6" xfId="14" applyNumberFormat="1" applyFont="1" applyFill="1" applyBorder="1" applyAlignment="1" applyProtection="1">
      <alignment horizontal="center"/>
    </xf>
    <xf numFmtId="39" fontId="6" fillId="0" borderId="0" xfId="14" applyNumberFormat="1" applyFont="1" applyFill="1" applyBorder="1" applyAlignment="1" applyProtection="1">
      <alignment horizontal="center"/>
    </xf>
    <xf numFmtId="174" fontId="6" fillId="0" borderId="0" xfId="14" applyNumberFormat="1" applyFont="1" applyFill="1" applyAlignment="1" applyProtection="1">
      <alignment horizontal="center"/>
    </xf>
    <xf numFmtId="7" fontId="6" fillId="0" borderId="0" xfId="14" applyNumberFormat="1" applyFont="1" applyFill="1" applyAlignment="1" applyProtection="1">
      <alignment horizontal="center"/>
    </xf>
    <xf numFmtId="174" fontId="6" fillId="0" borderId="0" xfId="14" applyNumberFormat="1" applyFont="1" applyFill="1" applyAlignment="1">
      <alignment horizontal="center"/>
    </xf>
    <xf numFmtId="174" fontId="6" fillId="0" borderId="0" xfId="14" applyNumberFormat="1" applyFont="1" applyFill="1" applyAlignment="1" applyProtection="1">
      <alignment horizontal="right"/>
    </xf>
    <xf numFmtId="7" fontId="6" fillId="0" borderId="0" xfId="14" applyNumberFormat="1" applyFont="1" applyFill="1" applyProtection="1"/>
    <xf numFmtId="0" fontId="6" fillId="0" borderId="0" xfId="14" applyFont="1" applyFill="1" applyAlignment="1" applyProtection="1">
      <alignment horizontal="right"/>
    </xf>
    <xf numFmtId="175" fontId="6" fillId="0" borderId="0" xfId="13" applyNumberFormat="1" applyFont="1" applyFill="1" applyAlignment="1" applyProtection="1">
      <alignment horizontal="right"/>
    </xf>
    <xf numFmtId="0" fontId="6" fillId="0" borderId="0" xfId="14" quotePrefix="1" applyFont="1" applyFill="1" applyAlignment="1" applyProtection="1">
      <alignment horizontal="left"/>
    </xf>
    <xf numFmtId="176" fontId="6" fillId="0" borderId="0" xfId="9" applyNumberFormat="1" applyBorder="1"/>
    <xf numFmtId="0" fontId="6" fillId="0" borderId="0" xfId="9" applyBorder="1"/>
    <xf numFmtId="0" fontId="6" fillId="0" borderId="1" xfId="9" applyFont="1" applyBorder="1"/>
    <xf numFmtId="0" fontId="6" fillId="0" borderId="1" xfId="9" quotePrefix="1" applyFont="1" applyBorder="1" applyAlignment="1">
      <alignment horizontal="center"/>
    </xf>
    <xf numFmtId="0" fontId="6" fillId="0" borderId="0" xfId="9" applyFont="1" applyBorder="1"/>
    <xf numFmtId="2" fontId="6" fillId="0" borderId="0" xfId="9" applyNumberFormat="1" applyBorder="1"/>
    <xf numFmtId="177" fontId="6" fillId="0" borderId="0" xfId="9" applyNumberFormat="1" applyBorder="1"/>
    <xf numFmtId="0" fontId="6" fillId="0" borderId="0" xfId="9" quotePrefix="1" applyFont="1" applyBorder="1" applyAlignment="1">
      <alignment horizontal="center"/>
    </xf>
    <xf numFmtId="14" fontId="14" fillId="0" borderId="0" xfId="14" quotePrefix="1" applyNumberFormat="1" applyFont="1" applyFill="1" applyBorder="1" applyAlignment="1" applyProtection="1">
      <alignment horizontal="center" vertical="top"/>
    </xf>
    <xf numFmtId="177" fontId="6" fillId="0" borderId="0" xfId="9" applyNumberFormat="1" applyFont="1" applyBorder="1"/>
    <xf numFmtId="164" fontId="5" fillId="0" borderId="0" xfId="0" applyFont="1" applyAlignment="1"/>
    <xf numFmtId="164" fontId="3" fillId="0" borderId="0" xfId="0" applyFont="1"/>
    <xf numFmtId="165" fontId="0" fillId="0" borderId="0" xfId="7" applyNumberFormat="1" applyFont="1" applyFill="1"/>
    <xf numFmtId="164" fontId="2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top"/>
    </xf>
    <xf numFmtId="3" fontId="8" fillId="0" borderId="0" xfId="12" applyNumberFormat="1" applyFont="1" applyFill="1" applyAlignment="1">
      <alignment horizontal="center"/>
    </xf>
    <xf numFmtId="164" fontId="0" fillId="3" borderId="0" xfId="0" applyFill="1"/>
    <xf numFmtId="164" fontId="0" fillId="0" borderId="0" xfId="0" quotePrefix="1" applyFont="1" applyAlignment="1">
      <alignment horizontal="left" indent="1"/>
    </xf>
    <xf numFmtId="164" fontId="0" fillId="0" borderId="0" xfId="0" quotePrefix="1" applyFont="1" applyAlignment="1">
      <alignment horizontal="left"/>
    </xf>
    <xf numFmtId="43" fontId="0" fillId="0" borderId="3" xfId="7" applyFont="1" applyBorder="1"/>
    <xf numFmtId="164" fontId="0" fillId="4" borderId="0" xfId="0" applyFill="1"/>
    <xf numFmtId="3" fontId="8" fillId="0" borderId="0" xfId="12" applyNumberFormat="1" applyFont="1" applyFill="1" applyAlignment="1">
      <alignment horizontal="center"/>
    </xf>
    <xf numFmtId="164" fontId="4" fillId="0" borderId="0" xfId="0" applyFont="1" applyFill="1"/>
    <xf numFmtId="5" fontId="7" fillId="0" borderId="0" xfId="0" applyNumberFormat="1" applyFont="1" applyFill="1"/>
    <xf numFmtId="165" fontId="7" fillId="0" borderId="4" xfId="0" applyNumberFormat="1" applyFont="1" applyFill="1" applyBorder="1"/>
    <xf numFmtId="0" fontId="0" fillId="0" borderId="0" xfId="0" applyNumberFormat="1" applyFill="1"/>
    <xf numFmtId="7" fontId="6" fillId="0" borderId="4" xfId="12" applyNumberFormat="1" applyFont="1" applyFill="1" applyBorder="1" applyAlignment="1" applyProtection="1"/>
    <xf numFmtId="169" fontId="10" fillId="0" borderId="5" xfId="12" applyNumberFormat="1" applyFont="1" applyFill="1" applyBorder="1" applyAlignment="1"/>
    <xf numFmtId="1" fontId="3" fillId="0" borderId="0" xfId="0" applyNumberFormat="1" applyFont="1"/>
    <xf numFmtId="7" fontId="6" fillId="0" borderId="0" xfId="12" applyNumberFormat="1" applyFont="1" applyFill="1" applyAlignment="1"/>
    <xf numFmtId="178" fontId="0" fillId="0" borderId="0" xfId="7" applyNumberFormat="1" applyFont="1"/>
    <xf numFmtId="164" fontId="0" fillId="0" borderId="0" xfId="0" applyFill="1" applyBorder="1"/>
    <xf numFmtId="164" fontId="0" fillId="0" borderId="7" xfId="0" quotePrefix="1" applyBorder="1"/>
    <xf numFmtId="1" fontId="0" fillId="0" borderId="0" xfId="0" quotePrefix="1" applyNumberFormat="1" applyFill="1" applyBorder="1" applyAlignment="1">
      <alignment horizontal="left"/>
    </xf>
    <xf numFmtId="164" fontId="3" fillId="4" borderId="0" xfId="0" applyFont="1" applyFill="1"/>
    <xf numFmtId="169" fontId="11" fillId="0" borderId="0" xfId="12" applyNumberFormat="1" applyFont="1" applyFill="1" applyAlignment="1" applyProtection="1"/>
    <xf numFmtId="164" fontId="2" fillId="0" borderId="0" xfId="0" applyFont="1"/>
    <xf numFmtId="164" fontId="0" fillId="0" borderId="0" xfId="0" quotePrefix="1" applyFont="1"/>
    <xf numFmtId="1" fontId="3" fillId="0" borderId="0" xfId="0" quotePrefix="1" applyNumberFormat="1" applyFont="1" applyFill="1" applyBorder="1" applyAlignment="1">
      <alignment horizontal="left"/>
    </xf>
    <xf numFmtId="178" fontId="10" fillId="0" borderId="0" xfId="7" applyNumberFormat="1" applyFont="1" applyFill="1" applyAlignment="1" applyProtection="1"/>
    <xf numFmtId="43" fontId="3" fillId="0" borderId="0" xfId="7" applyFont="1" applyAlignment="1">
      <alignment horizontal="center"/>
    </xf>
    <xf numFmtId="43" fontId="1" fillId="0" borderId="0" xfId="7" applyFont="1" applyAlignment="1">
      <alignment horizontal="center"/>
    </xf>
    <xf numFmtId="43" fontId="3" fillId="0" borderId="0" xfId="7" applyFont="1"/>
    <xf numFmtId="164" fontId="3" fillId="0" borderId="0" xfId="0" quotePrefix="1" applyFont="1"/>
    <xf numFmtId="164" fontId="3" fillId="0" borderId="0" xfId="0" quotePrefix="1" applyFont="1" applyFill="1" applyBorder="1"/>
    <xf numFmtId="164" fontId="0" fillId="0" borderId="7" xfId="0" applyBorder="1"/>
    <xf numFmtId="164" fontId="0" fillId="0" borderId="0" xfId="0" applyFont="1" applyFill="1"/>
    <xf numFmtId="10" fontId="0" fillId="0" borderId="0" xfId="8" applyNumberFormat="1" applyFont="1"/>
    <xf numFmtId="3" fontId="8" fillId="0" borderId="0" xfId="12" applyNumberFormat="1" applyFont="1" applyFill="1" applyAlignment="1">
      <alignment horizontal="center"/>
    </xf>
    <xf numFmtId="49" fontId="0" fillId="0" borderId="0" xfId="0" applyNumberFormat="1"/>
    <xf numFmtId="164" fontId="5" fillId="5" borderId="0" xfId="0" applyFont="1" applyFill="1"/>
    <xf numFmtId="43" fontId="0" fillId="5" borderId="0" xfId="7" applyFont="1" applyFill="1"/>
    <xf numFmtId="43" fontId="5" fillId="5" borderId="2" xfId="7" applyFont="1" applyFill="1" applyBorder="1"/>
    <xf numFmtId="39" fontId="10" fillId="0" borderId="0" xfId="12" applyNumberFormat="1" applyFont="1" applyFill="1" applyAlignment="1"/>
    <xf numFmtId="39" fontId="10" fillId="0" borderId="0" xfId="12" applyNumberFormat="1" applyFont="1" applyFill="1" applyAlignment="1" applyProtection="1"/>
    <xf numFmtId="164" fontId="3" fillId="0" borderId="0" xfId="0" quotePrefix="1" applyFont="1" applyAlignment="1">
      <alignment horizontal="left"/>
    </xf>
    <xf numFmtId="164" fontId="7" fillId="0" borderId="0" xfId="0" applyFont="1" applyBorder="1" applyAlignment="1">
      <alignment wrapText="1"/>
    </xf>
    <xf numFmtId="164" fontId="15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5" fontId="8" fillId="0" borderId="0" xfId="9" applyNumberFormat="1" applyFont="1" applyAlignment="1">
      <alignment horizontal="center"/>
    </xf>
    <xf numFmtId="3" fontId="8" fillId="0" borderId="0" xfId="12" applyNumberFormat="1" applyFont="1" applyFill="1" applyAlignment="1">
      <alignment horizontal="center"/>
    </xf>
    <xf numFmtId="0" fontId="9" fillId="0" borderId="0" xfId="12" applyFont="1" applyFill="1" applyAlignment="1">
      <alignment horizontal="center"/>
    </xf>
    <xf numFmtId="0" fontId="8" fillId="0" borderId="0" xfId="14" quotePrefix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14" fontId="8" fillId="0" borderId="1" xfId="14" quotePrefix="1" applyNumberFormat="1" applyFont="1" applyFill="1" applyBorder="1" applyAlignment="1" applyProtection="1">
      <alignment horizontal="left" vertical="top" indent="4"/>
    </xf>
    <xf numFmtId="0" fontId="8" fillId="0" borderId="1" xfId="14" quotePrefix="1" applyFont="1" applyFill="1" applyBorder="1" applyAlignment="1" applyProtection="1">
      <alignment horizontal="center"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0" xfId="14" quotePrefix="1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</cellXfs>
  <cellStyles count="16">
    <cellStyle name="Comma" xfId="7" builtinId="3"/>
    <cellStyle name="Comma 2" xfId="11"/>
    <cellStyle name="Currency 2" xfId="10"/>
    <cellStyle name="Normal" xfId="0" builtinId="0"/>
    <cellStyle name="Normal 2" xfId="15"/>
    <cellStyle name="Normal 3" xfId="9"/>
    <cellStyle name="Normal 4 2" xfId="12"/>
    <cellStyle name="Normal_Pass-Through Model 11_2007 - 10_2008" xfId="14"/>
    <cellStyle name="Percent" xfId="8" builtinId="5"/>
    <cellStyle name="Percent 2" xfId="13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63</xdr:row>
      <xdr:rowOff>33616</xdr:rowOff>
    </xdr:from>
    <xdr:ext cx="9562618" cy="1892569"/>
    <xdr:sp macro="" textlink="">
      <xdr:nvSpPr>
        <xdr:cNvPr id="2" name="TextBox 1"/>
        <xdr:cNvSpPr txBox="1"/>
      </xdr:nvSpPr>
      <xdr:spPr>
        <a:xfrm>
          <a:off x="9200029" y="9973234"/>
          <a:ext cx="9562618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 TRACKING</a:t>
          </a:r>
        </a:p>
      </xdr:txBody>
    </xdr:sp>
    <xdr:clientData/>
  </xdr:oneCellAnchor>
  <xdr:twoCellAnchor>
    <xdr:from>
      <xdr:col>16</xdr:col>
      <xdr:colOff>739588</xdr:colOff>
      <xdr:row>68</xdr:row>
      <xdr:rowOff>0</xdr:rowOff>
    </xdr:from>
    <xdr:to>
      <xdr:col>21</xdr:col>
      <xdr:colOff>1053353</xdr:colOff>
      <xdr:row>68</xdr:row>
      <xdr:rowOff>0</xdr:rowOff>
    </xdr:to>
    <xdr:cxnSp macro="">
      <xdr:nvCxnSpPr>
        <xdr:cNvPr id="4" name="Straight Connector 3"/>
        <xdr:cNvCxnSpPr/>
      </xdr:nvCxnSpPr>
      <xdr:spPr>
        <a:xfrm>
          <a:off x="19050000" y="10724029"/>
          <a:ext cx="5804647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6724</xdr:colOff>
      <xdr:row>67</xdr:row>
      <xdr:rowOff>129988</xdr:rowOff>
    </xdr:from>
    <xdr:to>
      <xdr:col>7</xdr:col>
      <xdr:colOff>246529</xdr:colOff>
      <xdr:row>68</xdr:row>
      <xdr:rowOff>11206</xdr:rowOff>
    </xdr:to>
    <xdr:cxnSp macro="">
      <xdr:nvCxnSpPr>
        <xdr:cNvPr id="6" name="Straight Connector 5"/>
        <xdr:cNvCxnSpPr/>
      </xdr:nvCxnSpPr>
      <xdr:spPr>
        <a:xfrm>
          <a:off x="2270312" y="10697135"/>
          <a:ext cx="6671982" cy="381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63</xdr:row>
      <xdr:rowOff>11206</xdr:rowOff>
    </xdr:from>
    <xdr:to>
      <xdr:col>22</xdr:col>
      <xdr:colOff>22411</xdr:colOff>
      <xdr:row>77</xdr:row>
      <xdr:rowOff>123265</xdr:rowOff>
    </xdr:to>
    <xdr:cxnSp macro="">
      <xdr:nvCxnSpPr>
        <xdr:cNvPr id="9" name="Straight Arrow Connector 8"/>
        <xdr:cNvCxnSpPr/>
      </xdr:nvCxnSpPr>
      <xdr:spPr>
        <a:xfrm flipH="1">
          <a:off x="24910676" y="9950824"/>
          <a:ext cx="11206" cy="215152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0</xdr:colOff>
      <xdr:row>77</xdr:row>
      <xdr:rowOff>123263</xdr:rowOff>
    </xdr:from>
    <xdr:ext cx="3847143" cy="718466"/>
    <xdr:sp macro="" textlink="">
      <xdr:nvSpPr>
        <xdr:cNvPr id="11" name="TextBox 10"/>
        <xdr:cNvSpPr txBox="1"/>
      </xdr:nvSpPr>
      <xdr:spPr>
        <a:xfrm>
          <a:off x="24899471" y="12102351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79</xdr:row>
      <xdr:rowOff>134471</xdr:rowOff>
    </xdr:from>
    <xdr:to>
      <xdr:col>27</xdr:col>
      <xdr:colOff>784412</xdr:colOff>
      <xdr:row>79</xdr:row>
      <xdr:rowOff>145677</xdr:rowOff>
    </xdr:to>
    <xdr:cxnSp macro="">
      <xdr:nvCxnSpPr>
        <xdr:cNvPr id="15" name="Straight Arrow Connector 14"/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149112</xdr:colOff>
      <xdr:row>73</xdr:row>
      <xdr:rowOff>89013</xdr:rowOff>
    </xdr:from>
    <xdr:ext cx="781240" cy="1460464"/>
    <xdr:sp macro="" textlink="">
      <xdr:nvSpPr>
        <xdr:cNvPr id="2" name="TextBox 1"/>
        <xdr:cNvSpPr txBox="1"/>
      </xdr:nvSpPr>
      <xdr:spPr>
        <a:xfrm rot="5400000">
          <a:off x="13541375" y="11969750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</a:t>
          </a:r>
        </a:p>
        <a:p>
          <a:pPr algn="r"/>
          <a:r>
            <a:rPr lang="en-US" sz="1100" baseline="0"/>
            <a:t>Page 1 of 4</a:t>
          </a:r>
          <a:endParaRPr lang="en-US" sz="1100"/>
        </a:p>
      </xdr:txBody>
    </xdr:sp>
    <xdr:clientData/>
  </xdr:oneCellAnchor>
  <xdr:oneCellAnchor>
    <xdr:from>
      <xdr:col>26</xdr:col>
      <xdr:colOff>95137</xdr:colOff>
      <xdr:row>73</xdr:row>
      <xdr:rowOff>146163</xdr:rowOff>
    </xdr:from>
    <xdr:ext cx="781240" cy="1460464"/>
    <xdr:sp macro="" textlink="">
      <xdr:nvSpPr>
        <xdr:cNvPr id="3" name="TextBox 2"/>
        <xdr:cNvSpPr txBox="1"/>
      </xdr:nvSpPr>
      <xdr:spPr>
        <a:xfrm rot="5400000">
          <a:off x="24536400" y="12026900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</a:t>
          </a:r>
        </a:p>
        <a:p>
          <a:pPr algn="r"/>
          <a:r>
            <a:rPr lang="en-US" sz="1100" baseline="0"/>
            <a:t>Page 2  of 4</a:t>
          </a:r>
          <a:endParaRPr lang="en-US" sz="1100"/>
        </a:p>
      </xdr:txBody>
    </xdr:sp>
    <xdr:clientData/>
  </xdr:oneCellAnchor>
  <xdr:oneCellAnchor>
    <xdr:from>
      <xdr:col>38</xdr:col>
      <xdr:colOff>63500</xdr:colOff>
      <xdr:row>73</xdr:row>
      <xdr:rowOff>111125</xdr:rowOff>
    </xdr:from>
    <xdr:ext cx="781240" cy="1460464"/>
    <xdr:sp macro="" textlink="">
      <xdr:nvSpPr>
        <xdr:cNvPr id="4" name="TextBox 3"/>
        <xdr:cNvSpPr txBox="1"/>
      </xdr:nvSpPr>
      <xdr:spPr>
        <a:xfrm rot="5400000">
          <a:off x="34506013" y="11991862"/>
          <a:ext cx="146046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</a:t>
          </a:r>
          <a:r>
            <a:rPr lang="en-US" sz="1100" baseline="0"/>
            <a:t> No. 14-057-27</a:t>
          </a:r>
        </a:p>
        <a:p>
          <a:pPr algn="r"/>
          <a:r>
            <a:rPr lang="en-US" sz="1100" baseline="0"/>
            <a:t>Exhibit 1.1</a:t>
          </a:r>
        </a:p>
        <a:p>
          <a:pPr algn="r"/>
          <a:r>
            <a:rPr lang="en-US" sz="1100" baseline="0"/>
            <a:t>Page 3  of 4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85"/>
  <sheetViews>
    <sheetView topLeftCell="O1" zoomScale="85" zoomScaleNormal="85" workbookViewId="0">
      <pane ySplit="1680" topLeftCell="A46" activePane="bottomLeft"/>
      <selection activeCell="AD8" sqref="AD8:AD52"/>
      <selection pane="bottomLeft" activeCell="W72" sqref="W72"/>
    </sheetView>
  </sheetViews>
  <sheetFormatPr defaultRowHeight="12.75"/>
  <cols>
    <col min="1" max="1" width="3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7" width="16.42578125" bestFit="1" customWidth="1"/>
    <col min="28" max="28" width="13.85546875" style="7" bestFit="1" customWidth="1"/>
    <col min="29" max="37" width="16.28515625" style="7" bestFit="1" customWidth="1"/>
    <col min="38" max="49" width="9.140625" style="7"/>
  </cols>
  <sheetData>
    <row r="1" spans="1:49">
      <c r="B1" s="36">
        <f t="shared" ref="B1:Y1" si="0">YEAR(B7)</f>
        <v>2013</v>
      </c>
      <c r="C1" s="36">
        <f t="shared" si="0"/>
        <v>2013</v>
      </c>
      <c r="D1" s="36">
        <f t="shared" si="0"/>
        <v>2013</v>
      </c>
      <c r="E1" s="36">
        <f t="shared" si="0"/>
        <v>2013</v>
      </c>
      <c r="F1" s="36">
        <f t="shared" si="0"/>
        <v>2013</v>
      </c>
      <c r="G1" s="36">
        <f t="shared" si="0"/>
        <v>2013</v>
      </c>
      <c r="H1" s="36">
        <f t="shared" si="0"/>
        <v>2013</v>
      </c>
      <c r="I1" s="36">
        <f t="shared" si="0"/>
        <v>2013</v>
      </c>
      <c r="J1" s="36">
        <f t="shared" si="0"/>
        <v>2013</v>
      </c>
      <c r="K1" s="36">
        <f t="shared" si="0"/>
        <v>2013</v>
      </c>
      <c r="L1" s="36">
        <f t="shared" si="0"/>
        <v>2013</v>
      </c>
      <c r="M1" s="36">
        <f t="shared" si="0"/>
        <v>2013</v>
      </c>
      <c r="N1" s="36">
        <f t="shared" si="0"/>
        <v>2014</v>
      </c>
      <c r="O1" s="36">
        <f t="shared" si="0"/>
        <v>2014</v>
      </c>
      <c r="P1" s="36">
        <f t="shared" si="0"/>
        <v>2014</v>
      </c>
      <c r="Q1" s="36">
        <f t="shared" si="0"/>
        <v>2014</v>
      </c>
      <c r="R1" s="36">
        <f t="shared" si="0"/>
        <v>2014</v>
      </c>
      <c r="S1" s="36">
        <f t="shared" si="0"/>
        <v>2014</v>
      </c>
      <c r="T1" s="36">
        <f t="shared" si="0"/>
        <v>2014</v>
      </c>
      <c r="U1" s="36">
        <f t="shared" si="0"/>
        <v>2014</v>
      </c>
      <c r="V1" s="36">
        <f t="shared" si="0"/>
        <v>2014</v>
      </c>
      <c r="W1" s="36">
        <f t="shared" si="0"/>
        <v>2014</v>
      </c>
      <c r="X1" s="36">
        <f t="shared" si="0"/>
        <v>2014</v>
      </c>
      <c r="Y1" s="36">
        <f t="shared" si="0"/>
        <v>2014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>
      <c r="B2" s="36">
        <f t="shared" ref="B2:Y2" si="1">MONTH(B7)</f>
        <v>1</v>
      </c>
      <c r="C2" s="36">
        <f t="shared" si="1"/>
        <v>2</v>
      </c>
      <c r="D2" s="36">
        <f t="shared" si="1"/>
        <v>3</v>
      </c>
      <c r="E2" s="36">
        <f t="shared" si="1"/>
        <v>4</v>
      </c>
      <c r="F2" s="36">
        <f t="shared" si="1"/>
        <v>5</v>
      </c>
      <c r="G2" s="36">
        <f t="shared" si="1"/>
        <v>6</v>
      </c>
      <c r="H2" s="36">
        <f t="shared" si="1"/>
        <v>7</v>
      </c>
      <c r="I2" s="36">
        <f t="shared" si="1"/>
        <v>8</v>
      </c>
      <c r="J2" s="36">
        <f t="shared" si="1"/>
        <v>9</v>
      </c>
      <c r="K2" s="36">
        <f t="shared" si="1"/>
        <v>10</v>
      </c>
      <c r="L2" s="36">
        <f t="shared" si="1"/>
        <v>11</v>
      </c>
      <c r="M2" s="36">
        <f t="shared" si="1"/>
        <v>12</v>
      </c>
      <c r="N2" s="36">
        <f t="shared" si="1"/>
        <v>1</v>
      </c>
      <c r="O2" s="36">
        <f t="shared" si="1"/>
        <v>2</v>
      </c>
      <c r="P2" s="36">
        <f t="shared" si="1"/>
        <v>3</v>
      </c>
      <c r="Q2" s="36">
        <f t="shared" si="1"/>
        <v>4</v>
      </c>
      <c r="R2" s="36">
        <f t="shared" si="1"/>
        <v>5</v>
      </c>
      <c r="S2" s="36">
        <f t="shared" si="1"/>
        <v>6</v>
      </c>
      <c r="T2" s="36">
        <f t="shared" si="1"/>
        <v>7</v>
      </c>
      <c r="U2" s="36">
        <f t="shared" si="1"/>
        <v>8</v>
      </c>
      <c r="V2" s="36">
        <f t="shared" si="1"/>
        <v>9</v>
      </c>
      <c r="W2" s="36">
        <f t="shared" si="1"/>
        <v>10</v>
      </c>
      <c r="X2" s="36">
        <f t="shared" si="1"/>
        <v>11</v>
      </c>
      <c r="Y2" s="36">
        <f t="shared" si="1"/>
        <v>12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>
      <c r="B3" s="36">
        <f t="shared" ref="B3:Y3" si="2">DAY(B7)</f>
        <v>31</v>
      </c>
      <c r="C3" s="36">
        <f t="shared" si="2"/>
        <v>28</v>
      </c>
      <c r="D3" s="36">
        <f t="shared" si="2"/>
        <v>31</v>
      </c>
      <c r="E3" s="36">
        <f t="shared" si="2"/>
        <v>30</v>
      </c>
      <c r="F3" s="36">
        <f t="shared" si="2"/>
        <v>31</v>
      </c>
      <c r="G3" s="36">
        <f t="shared" si="2"/>
        <v>30</v>
      </c>
      <c r="H3" s="36">
        <f t="shared" si="2"/>
        <v>31</v>
      </c>
      <c r="I3" s="36">
        <f t="shared" si="2"/>
        <v>31</v>
      </c>
      <c r="J3" s="36">
        <f t="shared" si="2"/>
        <v>30</v>
      </c>
      <c r="K3" s="36">
        <f t="shared" si="2"/>
        <v>31</v>
      </c>
      <c r="L3" s="36">
        <f t="shared" si="2"/>
        <v>30</v>
      </c>
      <c r="M3" s="36">
        <f t="shared" si="2"/>
        <v>31</v>
      </c>
      <c r="N3" s="36">
        <f t="shared" si="2"/>
        <v>31</v>
      </c>
      <c r="O3" s="36">
        <f t="shared" si="2"/>
        <v>28</v>
      </c>
      <c r="P3" s="36">
        <f t="shared" si="2"/>
        <v>31</v>
      </c>
      <c r="Q3" s="36">
        <f t="shared" si="2"/>
        <v>30</v>
      </c>
      <c r="R3" s="36">
        <f t="shared" si="2"/>
        <v>31</v>
      </c>
      <c r="S3" s="36">
        <f t="shared" si="2"/>
        <v>30</v>
      </c>
      <c r="T3" s="36">
        <f t="shared" si="2"/>
        <v>31</v>
      </c>
      <c r="U3" s="36">
        <f t="shared" si="2"/>
        <v>31</v>
      </c>
      <c r="V3" s="36">
        <f t="shared" si="2"/>
        <v>30</v>
      </c>
      <c r="W3" s="36">
        <f t="shared" si="2"/>
        <v>31</v>
      </c>
      <c r="X3" s="36">
        <f t="shared" si="2"/>
        <v>30</v>
      </c>
      <c r="Y3" s="36">
        <f t="shared" si="2"/>
        <v>31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>
      <c r="B4" s="10">
        <f t="shared" ref="B4:Y4" si="3">YEAR(B7)</f>
        <v>2013</v>
      </c>
      <c r="C4" s="10">
        <f t="shared" si="3"/>
        <v>2013</v>
      </c>
      <c r="D4" s="10">
        <f t="shared" si="3"/>
        <v>2013</v>
      </c>
      <c r="E4" s="10">
        <f t="shared" si="3"/>
        <v>2013</v>
      </c>
      <c r="F4" s="10">
        <f t="shared" si="3"/>
        <v>2013</v>
      </c>
      <c r="G4" s="10">
        <f t="shared" si="3"/>
        <v>2013</v>
      </c>
      <c r="H4" s="10">
        <f t="shared" si="3"/>
        <v>2013</v>
      </c>
      <c r="I4" s="10">
        <f t="shared" si="3"/>
        <v>2013</v>
      </c>
      <c r="J4" s="10">
        <f t="shared" si="3"/>
        <v>2013</v>
      </c>
      <c r="K4" s="10">
        <f t="shared" si="3"/>
        <v>2013</v>
      </c>
      <c r="L4" s="10">
        <f t="shared" si="3"/>
        <v>2013</v>
      </c>
      <c r="M4" s="10">
        <f t="shared" si="3"/>
        <v>2013</v>
      </c>
      <c r="N4" s="10">
        <f t="shared" si="3"/>
        <v>2014</v>
      </c>
      <c r="O4" s="10">
        <f t="shared" si="3"/>
        <v>2014</v>
      </c>
      <c r="P4" s="10">
        <f t="shared" si="3"/>
        <v>2014</v>
      </c>
      <c r="Q4" s="10">
        <f t="shared" si="3"/>
        <v>2014</v>
      </c>
      <c r="R4" s="10">
        <f t="shared" si="3"/>
        <v>2014</v>
      </c>
      <c r="S4" s="10">
        <f t="shared" si="3"/>
        <v>2014</v>
      </c>
      <c r="T4" s="10">
        <f t="shared" si="3"/>
        <v>2014</v>
      </c>
      <c r="U4" s="10">
        <f t="shared" si="3"/>
        <v>2014</v>
      </c>
      <c r="V4" s="10">
        <f t="shared" si="3"/>
        <v>2014</v>
      </c>
      <c r="W4" s="10">
        <f t="shared" si="3"/>
        <v>2014</v>
      </c>
      <c r="X4" s="10">
        <f t="shared" si="3"/>
        <v>2014</v>
      </c>
      <c r="Y4" s="10">
        <f t="shared" si="3"/>
        <v>2014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>
      <c r="B5" s="9">
        <v>0.5</v>
      </c>
      <c r="C5" s="9">
        <v>0.5</v>
      </c>
      <c r="D5" s="9">
        <v>0.5</v>
      </c>
      <c r="E5" s="9">
        <v>0.5</v>
      </c>
      <c r="F5" s="9">
        <v>0.5</v>
      </c>
      <c r="G5" s="9">
        <v>0.5</v>
      </c>
      <c r="H5" s="9">
        <v>0.5</v>
      </c>
      <c r="I5" s="9">
        <v>0.5</v>
      </c>
      <c r="J5" s="9">
        <v>0.5</v>
      </c>
      <c r="K5" s="9">
        <v>0.5</v>
      </c>
      <c r="L5" s="9">
        <v>0.5</v>
      </c>
      <c r="M5" s="9">
        <v>0.5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>
      <c r="A7" t="s">
        <v>0</v>
      </c>
      <c r="B7" s="187">
        <v>41305</v>
      </c>
      <c r="C7" s="187">
        <v>41333</v>
      </c>
      <c r="D7" s="187">
        <v>41364</v>
      </c>
      <c r="E7" s="187">
        <v>41394</v>
      </c>
      <c r="F7" s="187">
        <v>41425</v>
      </c>
      <c r="G7" s="187">
        <v>41455</v>
      </c>
      <c r="H7" s="187">
        <v>41486</v>
      </c>
      <c r="I7" s="187">
        <v>41517</v>
      </c>
      <c r="J7" s="187">
        <v>41547</v>
      </c>
      <c r="K7" s="187">
        <v>41578</v>
      </c>
      <c r="L7" s="187">
        <v>41608</v>
      </c>
      <c r="M7" s="187">
        <v>41639</v>
      </c>
      <c r="N7" s="187">
        <v>41670</v>
      </c>
      <c r="O7" s="187">
        <v>41698</v>
      </c>
      <c r="P7" s="187">
        <v>41729</v>
      </c>
      <c r="Q7" s="187">
        <v>41759</v>
      </c>
      <c r="R7" s="187">
        <v>41790</v>
      </c>
      <c r="S7" s="187">
        <v>41820</v>
      </c>
      <c r="T7" s="187">
        <v>41851</v>
      </c>
      <c r="U7" s="187">
        <v>41882</v>
      </c>
      <c r="V7" s="187">
        <v>41912</v>
      </c>
      <c r="W7" s="187">
        <v>41943</v>
      </c>
      <c r="X7" s="187">
        <v>41973</v>
      </c>
      <c r="Y7" s="187">
        <v>42004</v>
      </c>
      <c r="Z7" s="182" t="s">
        <v>247</v>
      </c>
      <c r="AB7"/>
      <c r="AD7" s="207" t="s">
        <v>313</v>
      </c>
      <c r="AE7" s="207" t="s">
        <v>315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5" customFormat="1">
      <c r="A8" s="5" t="s">
        <v>1</v>
      </c>
      <c r="B8" s="7">
        <v>-1935.28</v>
      </c>
      <c r="C8" s="7">
        <v>0</v>
      </c>
      <c r="D8" s="7">
        <v>-94.86</v>
      </c>
      <c r="E8" s="7">
        <v>0</v>
      </c>
      <c r="F8" s="7">
        <v>932.74</v>
      </c>
      <c r="G8" s="7">
        <v>6595.94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/>
      <c r="X8" s="6"/>
      <c r="Y8" s="6"/>
      <c r="Z8" s="7">
        <f t="shared" ref="Z8:Z46" si="4">SUM(B8:Y8)</f>
        <v>5498.54</v>
      </c>
      <c r="AD8" s="183">
        <f t="shared" ref="AD8:AD51" si="5">SUM(B8:M8)</f>
        <v>5498.54</v>
      </c>
      <c r="AE8" s="183">
        <f>SUM(N8:Y8)</f>
        <v>0</v>
      </c>
    </row>
    <row r="9" spans="1:49">
      <c r="A9" s="8" t="s">
        <v>2</v>
      </c>
      <c r="B9" s="7">
        <v>0</v>
      </c>
      <c r="C9" s="7">
        <v>-4446.12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6"/>
      <c r="X9" s="6"/>
      <c r="Y9" s="6"/>
      <c r="Z9" s="7">
        <f t="shared" si="4"/>
        <v>-4446.12</v>
      </c>
      <c r="AB9"/>
      <c r="AD9" s="183">
        <f t="shared" si="5"/>
        <v>-4446.12</v>
      </c>
      <c r="AE9" s="183">
        <f t="shared" ref="AE9:AE50" si="6">SUM(N9:Y9)</f>
        <v>0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>
      <c r="A10" s="8" t="s">
        <v>3</v>
      </c>
      <c r="B10" s="7">
        <v>0</v>
      </c>
      <c r="C10" s="7">
        <v>-14552.42</v>
      </c>
      <c r="D10" s="7">
        <v>0</v>
      </c>
      <c r="E10" s="7">
        <v>0</v>
      </c>
      <c r="F10" s="7">
        <v>137.24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6"/>
      <c r="X10" s="6"/>
      <c r="Y10" s="6"/>
      <c r="Z10" s="7">
        <f t="shared" si="4"/>
        <v>-14415.18</v>
      </c>
      <c r="AB10"/>
      <c r="AD10" s="183">
        <f t="shared" si="5"/>
        <v>-14415.18</v>
      </c>
      <c r="AE10" s="183">
        <f t="shared" si="6"/>
        <v>0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>
      <c r="A11" t="s">
        <v>218</v>
      </c>
      <c r="B11" s="7">
        <v>0</v>
      </c>
      <c r="C11" s="7">
        <v>-924.94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-1609.34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-127.45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/>
      <c r="X11" s="7"/>
      <c r="Y11" s="7"/>
      <c r="Z11" s="7">
        <f t="shared" si="4"/>
        <v>-2661.7299999999996</v>
      </c>
      <c r="AB11"/>
      <c r="AD11" s="183">
        <f t="shared" si="5"/>
        <v>-2534.2799999999997</v>
      </c>
      <c r="AE11" s="183">
        <f t="shared" si="6"/>
        <v>-127.45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>
      <c r="A12" s="8" t="s">
        <v>187</v>
      </c>
      <c r="B12" s="7">
        <v>747.59</v>
      </c>
      <c r="C12" s="7">
        <v>0</v>
      </c>
      <c r="D12" s="7">
        <v>-5015.47</v>
      </c>
      <c r="E12" s="7">
        <v>-4438.34</v>
      </c>
      <c r="F12" s="7">
        <v>124942.86</v>
      </c>
      <c r="G12" s="7">
        <v>1275.57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-375.98</v>
      </c>
      <c r="R12" s="7">
        <v>0</v>
      </c>
      <c r="S12" s="7">
        <v>-0.35</v>
      </c>
      <c r="T12" s="7">
        <v>0</v>
      </c>
      <c r="U12" s="7">
        <v>0</v>
      </c>
      <c r="V12" s="7">
        <v>0</v>
      </c>
      <c r="W12" s="6"/>
      <c r="X12" s="6"/>
      <c r="Y12" s="6"/>
      <c r="Z12" s="7">
        <f t="shared" si="4"/>
        <v>117135.88</v>
      </c>
      <c r="AB12"/>
      <c r="AD12" s="183">
        <f t="shared" si="5"/>
        <v>117512.21</v>
      </c>
      <c r="AE12" s="183">
        <f t="shared" si="6"/>
        <v>-376.33000000000004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>
      <c r="A13" s="204" t="s">
        <v>206</v>
      </c>
      <c r="B13" s="7">
        <v>0</v>
      </c>
      <c r="C13" s="7">
        <v>0</v>
      </c>
      <c r="D13" s="7">
        <v>-90000</v>
      </c>
      <c r="E13" s="7">
        <v>0</v>
      </c>
      <c r="F13" s="7">
        <v>0</v>
      </c>
      <c r="G13" s="7">
        <v>-11030733.41</v>
      </c>
      <c r="H13" s="7">
        <v>0</v>
      </c>
      <c r="I13" s="7">
        <v>-1127579.21</v>
      </c>
      <c r="J13" s="7">
        <v>-37564.730000000003</v>
      </c>
      <c r="K13" s="7">
        <v>-1688510.1199999999</v>
      </c>
      <c r="L13" s="7">
        <v>48138.68</v>
      </c>
      <c r="M13" s="7">
        <v>-51285.11</v>
      </c>
      <c r="N13" s="7">
        <v>108732.58</v>
      </c>
      <c r="O13" s="7">
        <v>-33836.92</v>
      </c>
      <c r="P13" s="7">
        <v>-29899.079999999998</v>
      </c>
      <c r="Q13" s="7">
        <v>-1593.1</v>
      </c>
      <c r="R13" s="7">
        <v>92208.639999999999</v>
      </c>
      <c r="S13" s="7">
        <v>6540.69</v>
      </c>
      <c r="T13" s="7">
        <v>-1117.8800000000001</v>
      </c>
      <c r="U13" s="7">
        <v>0</v>
      </c>
      <c r="V13" s="7">
        <v>0</v>
      </c>
      <c r="W13" s="7"/>
      <c r="X13" s="7"/>
      <c r="Y13" s="7"/>
      <c r="Z13" s="7">
        <f t="shared" si="4"/>
        <v>-13836498.970000001</v>
      </c>
      <c r="AB13"/>
      <c r="AD13" s="183">
        <f t="shared" si="5"/>
        <v>-13977533.9</v>
      </c>
      <c r="AE13" s="183">
        <f t="shared" si="6"/>
        <v>141034.93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>
      <c r="A14" s="209" t="s">
        <v>226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-7619565.4199999999</v>
      </c>
      <c r="J14" s="7">
        <v>0</v>
      </c>
      <c r="K14" s="7">
        <v>-591916.64</v>
      </c>
      <c r="L14" s="7">
        <v>0</v>
      </c>
      <c r="M14" s="7">
        <v>-359986.8</v>
      </c>
      <c r="N14" s="7">
        <v>0</v>
      </c>
      <c r="O14" s="7">
        <v>-76662.2</v>
      </c>
      <c r="P14" s="7">
        <v>-3482.01</v>
      </c>
      <c r="Q14" s="7">
        <v>-29315.26</v>
      </c>
      <c r="R14" s="7">
        <v>85935.03</v>
      </c>
      <c r="S14" s="7">
        <v>3871.31</v>
      </c>
      <c r="T14" s="7">
        <v>0</v>
      </c>
      <c r="U14" s="7">
        <v>0</v>
      </c>
      <c r="V14" s="7">
        <v>0</v>
      </c>
      <c r="W14" s="7"/>
      <c r="X14" s="7"/>
      <c r="Y14" s="7"/>
      <c r="Z14" s="7">
        <f t="shared" si="4"/>
        <v>-8591121.9899999984</v>
      </c>
      <c r="AB14"/>
      <c r="AD14" s="183">
        <f t="shared" si="5"/>
        <v>-8571468.8599999994</v>
      </c>
      <c r="AE14" s="183">
        <f t="shared" si="6"/>
        <v>-19653.129999999986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>
      <c r="A15" s="8" t="s">
        <v>192</v>
      </c>
      <c r="B15" s="7">
        <v>10946.43</v>
      </c>
      <c r="C15" s="7">
        <v>0</v>
      </c>
      <c r="D15" s="7">
        <v>471.95</v>
      </c>
      <c r="E15" s="7">
        <v>0</v>
      </c>
      <c r="F15" s="7">
        <v>26873.5</v>
      </c>
      <c r="G15" s="7">
        <v>-5702.03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/>
      <c r="X15" s="7"/>
      <c r="Y15" s="7"/>
      <c r="Z15" s="7">
        <f t="shared" si="4"/>
        <v>32589.850000000006</v>
      </c>
      <c r="AB15"/>
      <c r="AD15" s="183">
        <f t="shared" si="5"/>
        <v>32589.850000000006</v>
      </c>
      <c r="AE15" s="183">
        <f t="shared" si="6"/>
        <v>0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>
      <c r="A16" s="8" t="s">
        <v>190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5516.83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/>
      <c r="X16" s="7"/>
      <c r="Y16" s="7"/>
      <c r="Z16" s="7">
        <f t="shared" si="4"/>
        <v>5516.83</v>
      </c>
      <c r="AB16"/>
      <c r="AD16" s="183">
        <f t="shared" si="5"/>
        <v>5516.83</v>
      </c>
      <c r="AE16" s="183">
        <f t="shared" si="6"/>
        <v>0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>
      <c r="A17" s="208" t="s">
        <v>225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-10293560.970000001</v>
      </c>
      <c r="J17" s="7">
        <v>0</v>
      </c>
      <c r="K17" s="7">
        <v>580413.11</v>
      </c>
      <c r="L17" s="7">
        <v>0</v>
      </c>
      <c r="M17" s="7">
        <v>-153193.53</v>
      </c>
      <c r="N17" s="7">
        <v>0</v>
      </c>
      <c r="O17" s="7">
        <v>-203715.43</v>
      </c>
      <c r="P17" s="7">
        <v>-23903.59</v>
      </c>
      <c r="Q17" s="7">
        <v>0</v>
      </c>
      <c r="R17" s="7">
        <v>113003.06</v>
      </c>
      <c r="S17" s="7">
        <v>0</v>
      </c>
      <c r="T17" s="7">
        <v>0</v>
      </c>
      <c r="U17" s="7">
        <v>0</v>
      </c>
      <c r="V17" s="7">
        <v>0</v>
      </c>
      <c r="W17" s="7"/>
      <c r="X17" s="7"/>
      <c r="Y17" s="7"/>
      <c r="Z17" s="7">
        <f t="shared" si="4"/>
        <v>-9980957.3499999996</v>
      </c>
      <c r="AB17"/>
      <c r="AD17" s="183">
        <f t="shared" si="5"/>
        <v>-9866341.3900000006</v>
      </c>
      <c r="AE17" s="183">
        <f t="shared" si="6"/>
        <v>-114615.95999999999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5" customFormat="1">
      <c r="A18" s="8" t="s">
        <v>191</v>
      </c>
      <c r="B18" s="7">
        <v>-25.33</v>
      </c>
      <c r="C18" s="7">
        <v>0</v>
      </c>
      <c r="D18" s="7">
        <v>-5.45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/>
      <c r="X18" s="7"/>
      <c r="Y18" s="7"/>
      <c r="Z18" s="7">
        <f t="shared" si="4"/>
        <v>-30.779999999999998</v>
      </c>
      <c r="AD18" s="183">
        <f t="shared" si="5"/>
        <v>-30.779999999999998</v>
      </c>
      <c r="AE18" s="183">
        <f t="shared" si="6"/>
        <v>0</v>
      </c>
    </row>
    <row r="19" spans="1:49" s="5" customFormat="1">
      <c r="A19" s="216" t="s">
        <v>248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-316462.44</v>
      </c>
      <c r="W19" s="7"/>
      <c r="X19" s="7"/>
      <c r="Y19" s="7"/>
      <c r="Z19" s="7">
        <f t="shared" si="4"/>
        <v>-316462.44</v>
      </c>
      <c r="AD19" s="183">
        <f t="shared" si="5"/>
        <v>0</v>
      </c>
      <c r="AE19" s="183">
        <f t="shared" si="6"/>
        <v>-316462.44</v>
      </c>
    </row>
    <row r="20" spans="1:49">
      <c r="A20" t="s">
        <v>221</v>
      </c>
      <c r="B20" s="7">
        <v>0</v>
      </c>
      <c r="C20" s="7">
        <v>0</v>
      </c>
      <c r="D20" s="7">
        <v>0</v>
      </c>
      <c r="E20" s="7">
        <v>0</v>
      </c>
      <c r="F20" s="7">
        <v>-102844.65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/>
      <c r="X20" s="7"/>
      <c r="Y20" s="7"/>
      <c r="Z20" s="7">
        <f t="shared" si="4"/>
        <v>-102844.65</v>
      </c>
      <c r="AB20"/>
      <c r="AD20" s="183">
        <f t="shared" si="5"/>
        <v>-102844.65</v>
      </c>
      <c r="AE20" s="183">
        <f t="shared" si="6"/>
        <v>0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>
      <c r="A21" s="202" t="s">
        <v>204</v>
      </c>
      <c r="B21" s="7">
        <v>0</v>
      </c>
      <c r="C21" s="7">
        <v>0</v>
      </c>
      <c r="D21" s="7">
        <v>-135022.32</v>
      </c>
      <c r="E21" s="7">
        <v>0</v>
      </c>
      <c r="F21" s="7">
        <v>-558295.25</v>
      </c>
      <c r="G21" s="7">
        <v>-636.79</v>
      </c>
      <c r="H21" s="7">
        <v>-4266.7299999999996</v>
      </c>
      <c r="I21" s="7">
        <v>0</v>
      </c>
      <c r="J21" s="7">
        <v>0</v>
      </c>
      <c r="K21" s="7">
        <v>288132.25</v>
      </c>
      <c r="L21" s="7">
        <v>-242.99</v>
      </c>
      <c r="M21" s="7">
        <v>-30595.25</v>
      </c>
      <c r="N21" s="7">
        <v>-11883.02</v>
      </c>
      <c r="O21" s="7">
        <v>0</v>
      </c>
      <c r="P21" s="7">
        <v>31881.99</v>
      </c>
      <c r="Q21" s="7">
        <v>0</v>
      </c>
      <c r="R21" s="7">
        <v>2087.6799999999998</v>
      </c>
      <c r="S21" s="7">
        <v>-49.91</v>
      </c>
      <c r="T21" s="7">
        <v>4488.92</v>
      </c>
      <c r="U21" s="7">
        <v>0</v>
      </c>
      <c r="V21" s="7">
        <v>-118.82</v>
      </c>
      <c r="W21" s="7"/>
      <c r="X21" s="7"/>
      <c r="Y21" s="7"/>
      <c r="Z21" s="7">
        <f t="shared" si="4"/>
        <v>-414520.24000000011</v>
      </c>
      <c r="AB21"/>
      <c r="AD21" s="183">
        <f t="shared" si="5"/>
        <v>-440927.08000000007</v>
      </c>
      <c r="AE21" s="183">
        <f t="shared" si="6"/>
        <v>26406.840000000004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>
      <c r="A22" t="s">
        <v>216</v>
      </c>
      <c r="B22" s="7">
        <v>0</v>
      </c>
      <c r="C22" s="7">
        <v>0</v>
      </c>
      <c r="D22" s="7">
        <v>-1988.66</v>
      </c>
      <c r="E22" s="7">
        <v>0</v>
      </c>
      <c r="F22" s="7">
        <v>-139.21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/>
      <c r="X22" s="7"/>
      <c r="Y22" s="7"/>
      <c r="Z22" s="7">
        <f t="shared" si="4"/>
        <v>-2127.87</v>
      </c>
      <c r="AB22"/>
      <c r="AD22" s="183">
        <f t="shared" si="5"/>
        <v>-2127.87</v>
      </c>
      <c r="AE22" s="183">
        <f t="shared" si="6"/>
        <v>0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>
      <c r="A23" s="202" t="s">
        <v>205</v>
      </c>
      <c r="B23" s="7">
        <v>-7261.96</v>
      </c>
      <c r="C23" s="7">
        <v>0</v>
      </c>
      <c r="D23" s="7">
        <v>-355.98</v>
      </c>
      <c r="E23" s="7">
        <v>0</v>
      </c>
      <c r="F23" s="7">
        <v>2276.85</v>
      </c>
      <c r="G23" s="7">
        <v>0</v>
      </c>
      <c r="H23" s="7">
        <v>-2276.85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/>
      <c r="X23" s="7"/>
      <c r="Y23" s="7"/>
      <c r="Z23" s="7">
        <f t="shared" si="4"/>
        <v>-7617.9400000000005</v>
      </c>
      <c r="AB23"/>
      <c r="AD23" s="183">
        <f t="shared" si="5"/>
        <v>-7617.9400000000005</v>
      </c>
      <c r="AE23" s="183">
        <f t="shared" si="6"/>
        <v>0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>
      <c r="A24" t="s">
        <v>223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-14430.85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/>
      <c r="X24" s="7"/>
      <c r="Y24" s="7"/>
      <c r="Z24" s="7">
        <f t="shared" si="4"/>
        <v>-14430.85</v>
      </c>
      <c r="AB24"/>
      <c r="AD24" s="183">
        <f t="shared" si="5"/>
        <v>-14430.85</v>
      </c>
      <c r="AE24" s="183">
        <f t="shared" si="6"/>
        <v>0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>
      <c r="A25" t="s">
        <v>217</v>
      </c>
      <c r="B25" s="7">
        <v>0</v>
      </c>
      <c r="C25" s="7">
        <v>0</v>
      </c>
      <c r="D25" s="7">
        <v>0</v>
      </c>
      <c r="E25" s="7">
        <v>-243.96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-105357.5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/>
      <c r="X25" s="7"/>
      <c r="Y25" s="7"/>
      <c r="Z25" s="7">
        <f t="shared" si="4"/>
        <v>-105601.46</v>
      </c>
      <c r="AB25"/>
      <c r="AD25" s="183">
        <f t="shared" si="5"/>
        <v>-243.96</v>
      </c>
      <c r="AE25" s="183">
        <f t="shared" si="6"/>
        <v>-105357.5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>
      <c r="A26" t="s">
        <v>219</v>
      </c>
      <c r="B26" s="7">
        <v>0</v>
      </c>
      <c r="C26" s="7">
        <v>-75135.5</v>
      </c>
      <c r="D26" s="7">
        <v>-856</v>
      </c>
      <c r="E26" s="7">
        <v>0</v>
      </c>
      <c r="F26" s="7">
        <v>-143.81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/>
      <c r="X26" s="7"/>
      <c r="Y26" s="7"/>
      <c r="Z26" s="7">
        <f t="shared" si="4"/>
        <v>-76135.31</v>
      </c>
      <c r="AB26"/>
      <c r="AD26" s="183">
        <f t="shared" si="5"/>
        <v>-76135.31</v>
      </c>
      <c r="AE26" s="183">
        <f t="shared" si="6"/>
        <v>0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>
      <c r="A27" s="203" t="s">
        <v>193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-6384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/>
      <c r="X27" s="7"/>
      <c r="Y27" s="7"/>
      <c r="Z27" s="7">
        <f t="shared" si="4"/>
        <v>-6384</v>
      </c>
      <c r="AB27"/>
      <c r="AD27" s="183">
        <f t="shared" si="5"/>
        <v>-6384</v>
      </c>
      <c r="AE27" s="183">
        <f t="shared" si="6"/>
        <v>0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>
      <c r="A28" s="8" t="s">
        <v>194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-2095.98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/>
      <c r="X28" s="7"/>
      <c r="Y28" s="7"/>
      <c r="Z28" s="7">
        <f t="shared" si="4"/>
        <v>-2095.98</v>
      </c>
      <c r="AB28"/>
      <c r="AD28" s="183">
        <f t="shared" si="5"/>
        <v>-2095.98</v>
      </c>
      <c r="AE28" s="183">
        <f t="shared" si="6"/>
        <v>0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>
      <c r="A29" t="s">
        <v>220</v>
      </c>
      <c r="B29" s="7">
        <v>0</v>
      </c>
      <c r="C29" s="7">
        <v>-387067.05</v>
      </c>
      <c r="D29" s="7">
        <v>-408.49</v>
      </c>
      <c r="E29" s="7">
        <v>0</v>
      </c>
      <c r="F29" s="7">
        <v>-1605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/>
      <c r="X29" s="7"/>
      <c r="Y29" s="7"/>
      <c r="Z29" s="7">
        <f t="shared" si="4"/>
        <v>-389080.54</v>
      </c>
      <c r="AB29"/>
      <c r="AD29" s="183">
        <f t="shared" si="5"/>
        <v>-389080.54</v>
      </c>
      <c r="AE29" s="183">
        <f t="shared" si="6"/>
        <v>0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>
      <c r="A30" s="216" t="s">
        <v>249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-1486305.31</v>
      </c>
      <c r="T30" s="7">
        <v>8710.26</v>
      </c>
      <c r="U30" s="7">
        <v>-17878.419999999998</v>
      </c>
      <c r="V30" s="7">
        <v>2656.09</v>
      </c>
      <c r="W30" s="7"/>
      <c r="X30" s="7"/>
      <c r="Y30" s="7"/>
      <c r="Z30" s="7">
        <f t="shared" si="4"/>
        <v>-1492817.38</v>
      </c>
      <c r="AB30"/>
      <c r="AD30" s="183">
        <f t="shared" si="5"/>
        <v>0</v>
      </c>
      <c r="AE30" s="183">
        <f t="shared" si="6"/>
        <v>-1492817.38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>
      <c r="A31" s="214" t="s">
        <v>241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-17283478.530000001</v>
      </c>
      <c r="L31" s="7">
        <v>-1054702.17</v>
      </c>
      <c r="M31" s="7">
        <v>0</v>
      </c>
      <c r="N31" s="7">
        <v>0</v>
      </c>
      <c r="O31" s="7">
        <v>-665779.84</v>
      </c>
      <c r="P31" s="7">
        <v>-10621.59</v>
      </c>
      <c r="Q31" s="7">
        <v>-11326.17</v>
      </c>
      <c r="R31" s="7">
        <v>-14533.14</v>
      </c>
      <c r="S31" s="7">
        <v>-35317</v>
      </c>
      <c r="T31" s="7">
        <v>-51000.89</v>
      </c>
      <c r="U31" s="7">
        <v>-39638.47</v>
      </c>
      <c r="V31" s="7">
        <v>0</v>
      </c>
      <c r="W31" s="7"/>
      <c r="X31" s="7"/>
      <c r="Y31" s="7"/>
      <c r="Z31" s="7">
        <f t="shared" si="4"/>
        <v>-19166397.800000004</v>
      </c>
      <c r="AB31"/>
      <c r="AD31" s="183">
        <f t="shared" si="5"/>
        <v>-18338180.700000003</v>
      </c>
      <c r="AE31" s="183">
        <f t="shared" si="6"/>
        <v>-828217.1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ht="13.5" customHeight="1">
      <c r="A32" s="215" t="s">
        <v>242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-2943420.0900000003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-1418146.14</v>
      </c>
      <c r="T32" s="7">
        <v>-10317.48</v>
      </c>
      <c r="U32" s="7">
        <v>258.49</v>
      </c>
      <c r="V32" s="7">
        <v>0</v>
      </c>
      <c r="W32" s="7"/>
      <c r="X32" s="7"/>
      <c r="Y32" s="7"/>
      <c r="Z32" s="7">
        <f t="shared" si="4"/>
        <v>-4371625.2200000007</v>
      </c>
      <c r="AB32"/>
      <c r="AD32" s="183">
        <f t="shared" si="5"/>
        <v>-2943420.0900000003</v>
      </c>
      <c r="AE32" s="183">
        <f t="shared" si="6"/>
        <v>-1428205.13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3.5" customHeight="1">
      <c r="A33" s="216" t="s">
        <v>250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-13580970.73</v>
      </c>
      <c r="W33" s="7"/>
      <c r="X33" s="7"/>
      <c r="Y33" s="7"/>
      <c r="Z33" s="7">
        <f t="shared" si="4"/>
        <v>-13580970.73</v>
      </c>
      <c r="AB33"/>
      <c r="AD33" s="183">
        <f t="shared" si="5"/>
        <v>0</v>
      </c>
      <c r="AE33" s="183">
        <f t="shared" si="6"/>
        <v>-13580970.73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ht="13.5" customHeight="1">
      <c r="A34" s="216" t="s">
        <v>251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-150501.17000000001</v>
      </c>
      <c r="M34" s="7">
        <v>-150.47</v>
      </c>
      <c r="N34" s="7">
        <v>0</v>
      </c>
      <c r="O34" s="7">
        <v>-1810.31</v>
      </c>
      <c r="P34" s="7">
        <v>-637.44000000000005</v>
      </c>
      <c r="Q34" s="7">
        <v>-825.99</v>
      </c>
      <c r="R34" s="7">
        <v>-6.91</v>
      </c>
      <c r="S34" s="7">
        <v>0</v>
      </c>
      <c r="T34" s="7">
        <v>0</v>
      </c>
      <c r="U34" s="7">
        <v>0</v>
      </c>
      <c r="V34" s="7">
        <v>0</v>
      </c>
      <c r="W34" s="7"/>
      <c r="X34" s="7"/>
      <c r="Y34" s="7"/>
      <c r="Z34" s="7">
        <f t="shared" si="4"/>
        <v>-153932.29</v>
      </c>
      <c r="AB34"/>
      <c r="AD34" s="183">
        <f t="shared" si="5"/>
        <v>-150651.64000000001</v>
      </c>
      <c r="AE34" s="183">
        <f t="shared" si="6"/>
        <v>-3280.6499999999996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>
      <c r="A35" t="s">
        <v>222</v>
      </c>
      <c r="B35" s="7">
        <v>0</v>
      </c>
      <c r="C35" s="7">
        <v>0</v>
      </c>
      <c r="D35" s="7">
        <v>0</v>
      </c>
      <c r="E35" s="7">
        <v>0</v>
      </c>
      <c r="F35" s="7">
        <v>-52104.38</v>
      </c>
      <c r="G35" s="7">
        <v>0</v>
      </c>
      <c r="H35" s="7">
        <v>0</v>
      </c>
      <c r="I35" s="7">
        <v>-31.41</v>
      </c>
      <c r="J35" s="7">
        <v>0</v>
      </c>
      <c r="K35" s="7">
        <v>31.41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/>
      <c r="X35" s="7"/>
      <c r="Y35" s="7"/>
      <c r="Z35" s="7">
        <f t="shared" si="4"/>
        <v>-52104.38</v>
      </c>
      <c r="AB35"/>
      <c r="AD35" s="183">
        <f t="shared" si="5"/>
        <v>-52104.38</v>
      </c>
      <c r="AE35" s="183">
        <f t="shared" si="6"/>
        <v>0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>
      <c r="A36" s="216" t="s">
        <v>252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-178783.69</v>
      </c>
      <c r="M36" s="7">
        <v>-4105.51</v>
      </c>
      <c r="N36" s="7">
        <v>0</v>
      </c>
      <c r="O36" s="7">
        <v>0</v>
      </c>
      <c r="P36" s="7">
        <v>2274.94</v>
      </c>
      <c r="Q36" s="7">
        <v>0</v>
      </c>
      <c r="R36" s="7">
        <v>0</v>
      </c>
      <c r="S36" s="7">
        <v>1975.99</v>
      </c>
      <c r="T36" s="7">
        <v>0</v>
      </c>
      <c r="U36" s="7">
        <v>0</v>
      </c>
      <c r="V36" s="7">
        <v>0</v>
      </c>
      <c r="W36" s="7"/>
      <c r="X36" s="7"/>
      <c r="Y36" s="7"/>
      <c r="Z36" s="7">
        <f t="shared" si="4"/>
        <v>-178638.27000000002</v>
      </c>
      <c r="AB36"/>
      <c r="AD36" s="183">
        <f t="shared" si="5"/>
        <v>-182889.2</v>
      </c>
      <c r="AE36" s="183">
        <f t="shared" si="6"/>
        <v>4250.93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>
      <c r="A37" s="214" t="s">
        <v>253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-269806.92</v>
      </c>
      <c r="N37" s="7">
        <v>0</v>
      </c>
      <c r="O37" s="7">
        <v>0</v>
      </c>
      <c r="P37" s="7">
        <v>-8428.0300000000007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/>
      <c r="X37" s="7"/>
      <c r="Y37" s="7"/>
      <c r="Z37" s="7">
        <f t="shared" si="4"/>
        <v>-278234.95</v>
      </c>
      <c r="AB37"/>
      <c r="AD37" s="183">
        <f t="shared" si="5"/>
        <v>-269806.92</v>
      </c>
      <c r="AE37" s="183">
        <f t="shared" si="6"/>
        <v>-8428.0300000000007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>
      <c r="A38" s="214" t="s">
        <v>271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-1641912.77</v>
      </c>
      <c r="X38" s="7"/>
      <c r="Y38" s="7"/>
      <c r="Z38" s="7">
        <f t="shared" si="4"/>
        <v>-1641912.77</v>
      </c>
      <c r="AB38"/>
      <c r="AD38" s="183">
        <f t="shared" si="5"/>
        <v>0</v>
      </c>
      <c r="AE38" s="183">
        <f t="shared" si="6"/>
        <v>-1641912.77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>
      <c r="A39" s="214" t="s">
        <v>254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-2021669.75</v>
      </c>
      <c r="R39" s="7">
        <v>0</v>
      </c>
      <c r="S39" s="7">
        <v>13455.56</v>
      </c>
      <c r="T39" s="7">
        <v>0</v>
      </c>
      <c r="U39" s="7">
        <v>0</v>
      </c>
      <c r="V39" s="7">
        <v>0</v>
      </c>
      <c r="W39" s="7"/>
      <c r="X39" s="7"/>
      <c r="Y39" s="7"/>
      <c r="Z39" s="7">
        <f t="shared" si="4"/>
        <v>-2008214.19</v>
      </c>
      <c r="AB39"/>
      <c r="AD39" s="183">
        <f t="shared" si="5"/>
        <v>0</v>
      </c>
      <c r="AE39" s="183">
        <f t="shared" si="6"/>
        <v>-2008214.19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>
      <c r="A40" s="214" t="s">
        <v>255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-258524.02</v>
      </c>
      <c r="P40" s="7">
        <v>-786.01</v>
      </c>
      <c r="Q40" s="7">
        <v>-796.44</v>
      </c>
      <c r="R40" s="7">
        <v>4725.28</v>
      </c>
      <c r="S40" s="7">
        <v>0</v>
      </c>
      <c r="T40" s="7">
        <v>0</v>
      </c>
      <c r="U40" s="7">
        <v>0</v>
      </c>
      <c r="V40" s="7">
        <v>0</v>
      </c>
      <c r="W40" s="7"/>
      <c r="X40" s="7"/>
      <c r="Y40" s="7"/>
      <c r="Z40" s="7">
        <f t="shared" si="4"/>
        <v>-255381.19</v>
      </c>
      <c r="AB40"/>
      <c r="AD40" s="183">
        <f t="shared" si="5"/>
        <v>0</v>
      </c>
      <c r="AE40" s="183">
        <f t="shared" si="6"/>
        <v>-255381.19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>
      <c r="A41" s="214" t="s">
        <v>256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-897355.16999999993</v>
      </c>
      <c r="P41" s="7">
        <v>-1973.66</v>
      </c>
      <c r="Q41" s="7">
        <v>1340</v>
      </c>
      <c r="R41" s="7">
        <v>12552.4</v>
      </c>
      <c r="S41" s="7">
        <v>-1258.8900000000001</v>
      </c>
      <c r="T41" s="7">
        <v>-1205.75</v>
      </c>
      <c r="U41" s="7">
        <v>-5266.5</v>
      </c>
      <c r="V41" s="7">
        <v>-139.5</v>
      </c>
      <c r="W41" s="7"/>
      <c r="X41" s="7"/>
      <c r="Y41" s="7"/>
      <c r="Z41" s="7">
        <f t="shared" si="4"/>
        <v>-893307.07</v>
      </c>
      <c r="AB41"/>
      <c r="AD41" s="183">
        <f t="shared" si="5"/>
        <v>0</v>
      </c>
      <c r="AE41" s="183">
        <f t="shared" si="6"/>
        <v>-893307.07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>
      <c r="A42" s="214" t="s">
        <v>270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v>-34150695.5</v>
      </c>
      <c r="X42" s="7"/>
      <c r="Y42" s="7"/>
      <c r="Z42" s="7">
        <f t="shared" si="4"/>
        <v>-34150695.5</v>
      </c>
      <c r="AB42"/>
      <c r="AD42" s="183">
        <f t="shared" si="5"/>
        <v>0</v>
      </c>
      <c r="AE42" s="183">
        <f t="shared" si="6"/>
        <v>-34150695.5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>
      <c r="A43" s="214" t="s">
        <v>257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-178223.31999999998</v>
      </c>
      <c r="P43" s="7">
        <v>0</v>
      </c>
      <c r="Q43" s="7">
        <v>-406.84999999999997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/>
      <c r="X43" s="7"/>
      <c r="Y43" s="7"/>
      <c r="Z43" s="7">
        <f t="shared" si="4"/>
        <v>-178630.16999999998</v>
      </c>
      <c r="AB43"/>
      <c r="AD43" s="183">
        <f t="shared" si="5"/>
        <v>0</v>
      </c>
      <c r="AE43" s="183">
        <f t="shared" si="6"/>
        <v>-178630.16999999998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>
      <c r="A44" s="214" t="s">
        <v>258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-662170.12</v>
      </c>
      <c r="P44" s="7">
        <v>0</v>
      </c>
      <c r="Q44" s="7">
        <v>140.79</v>
      </c>
      <c r="R44" s="7">
        <v>246021.33</v>
      </c>
      <c r="S44" s="7">
        <v>0</v>
      </c>
      <c r="T44" s="7">
        <v>0</v>
      </c>
      <c r="U44" s="7">
        <v>0</v>
      </c>
      <c r="V44" s="7">
        <v>0</v>
      </c>
      <c r="W44" s="7"/>
      <c r="X44" s="7"/>
      <c r="Y44" s="7"/>
      <c r="Z44" s="7">
        <f t="shared" si="4"/>
        <v>-416008</v>
      </c>
      <c r="AB44"/>
      <c r="AD44" s="183">
        <f t="shared" si="5"/>
        <v>0</v>
      </c>
      <c r="AE44" s="183">
        <f t="shared" si="6"/>
        <v>-416008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>
      <c r="A45" s="215" t="s">
        <v>240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-15552.32</v>
      </c>
      <c r="K45" s="7">
        <v>-252.31</v>
      </c>
      <c r="L45" s="7">
        <v>4.72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/>
      <c r="X45" s="7"/>
      <c r="Y45" s="7"/>
      <c r="Z45" s="7">
        <f t="shared" si="4"/>
        <v>-15799.91</v>
      </c>
      <c r="AB45"/>
      <c r="AD45" s="183">
        <f t="shared" si="5"/>
        <v>-15799.91</v>
      </c>
      <c r="AE45" s="183">
        <f t="shared" si="6"/>
        <v>0</v>
      </c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>
      <c r="A46" s="216" t="s">
        <v>259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-782732.79</v>
      </c>
      <c r="S46" s="7">
        <v>-122.08</v>
      </c>
      <c r="T46" s="7">
        <v>-23781.4</v>
      </c>
      <c r="U46" s="7">
        <v>-51.56</v>
      </c>
      <c r="V46" s="7">
        <v>-92.31</v>
      </c>
      <c r="W46" s="7"/>
      <c r="X46" s="7"/>
      <c r="Y46" s="7"/>
      <c r="Z46" s="7">
        <f t="shared" si="4"/>
        <v>-806780.14000000013</v>
      </c>
      <c r="AB46"/>
      <c r="AD46" s="183">
        <f t="shared" si="5"/>
        <v>0</v>
      </c>
      <c r="AE46" s="183">
        <f t="shared" si="6"/>
        <v>-806780.14000000013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>
      <c r="A47" s="216" t="s">
        <v>260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-3117728.43</v>
      </c>
      <c r="W47" s="7"/>
      <c r="X47" s="7"/>
      <c r="Y47" s="7"/>
      <c r="Z47" s="7">
        <f t="shared" ref="Z47:Z50" si="7">SUM(B47:Y47)</f>
        <v>-3117728.43</v>
      </c>
      <c r="AB47"/>
      <c r="AD47" s="183">
        <f t="shared" si="5"/>
        <v>0</v>
      </c>
      <c r="AE47" s="183">
        <f t="shared" si="6"/>
        <v>-3117728.43</v>
      </c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>
      <c r="A48" s="216" t="s">
        <v>261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-100391.95</v>
      </c>
      <c r="W48" s="7"/>
      <c r="X48" s="7"/>
      <c r="Y48" s="7"/>
      <c r="Z48" s="7">
        <f t="shared" si="7"/>
        <v>-100391.95</v>
      </c>
      <c r="AB48"/>
      <c r="AD48" s="183">
        <f t="shared" si="5"/>
        <v>0</v>
      </c>
      <c r="AE48" s="183">
        <f t="shared" si="6"/>
        <v>-100391.95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>
      <c r="A49" s="216" t="s">
        <v>262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-631679.62</v>
      </c>
      <c r="W49" s="7"/>
      <c r="X49" s="7"/>
      <c r="Y49" s="7"/>
      <c r="Z49" s="7">
        <f t="shared" si="7"/>
        <v>-631679.62</v>
      </c>
      <c r="AB49"/>
      <c r="AD49" s="183">
        <f t="shared" si="5"/>
        <v>0</v>
      </c>
      <c r="AE49" s="183">
        <f t="shared" si="6"/>
        <v>-631679.62</v>
      </c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>
      <c r="A50" s="216" t="s">
        <v>263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-864319.41999999993</v>
      </c>
      <c r="W50" s="7"/>
      <c r="X50" s="7"/>
      <c r="Y50" s="7"/>
      <c r="Z50" s="7">
        <f t="shared" si="7"/>
        <v>-864319.41999999993</v>
      </c>
      <c r="AB50"/>
      <c r="AD50" s="183">
        <f t="shared" si="5"/>
        <v>0</v>
      </c>
      <c r="AE50" s="183">
        <f t="shared" si="6"/>
        <v>-864319.41999999993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ht="13.5" thickBot="1">
      <c r="A51" t="s">
        <v>4</v>
      </c>
      <c r="B51" s="190">
        <f t="shared" ref="B51:V51" si="8">SUM(B8:B50)</f>
        <v>2471.4499999999998</v>
      </c>
      <c r="C51" s="190">
        <f t="shared" si="8"/>
        <v>-482126.02999999997</v>
      </c>
      <c r="D51" s="190">
        <f t="shared" si="8"/>
        <v>-233275.28000000003</v>
      </c>
      <c r="E51" s="190">
        <f t="shared" si="8"/>
        <v>-4682.3</v>
      </c>
      <c r="F51" s="190">
        <f t="shared" si="8"/>
        <v>-559969.11</v>
      </c>
      <c r="G51" s="190">
        <f t="shared" si="8"/>
        <v>-11043631.569999998</v>
      </c>
      <c r="H51" s="190">
        <f t="shared" si="8"/>
        <v>-6543.58</v>
      </c>
      <c r="I51" s="190">
        <f t="shared" si="8"/>
        <v>-19035220.18</v>
      </c>
      <c r="J51" s="190">
        <f t="shared" si="8"/>
        <v>-53117.05</v>
      </c>
      <c r="K51" s="190">
        <f t="shared" si="8"/>
        <v>-21640610.260000002</v>
      </c>
      <c r="L51" s="190">
        <f t="shared" si="8"/>
        <v>-1336086.6199999999</v>
      </c>
      <c r="M51" s="190">
        <f t="shared" si="8"/>
        <v>-877603.56999999983</v>
      </c>
      <c r="N51" s="190">
        <f t="shared" si="8"/>
        <v>-8507.9400000000023</v>
      </c>
      <c r="O51" s="190">
        <f t="shared" si="8"/>
        <v>-2978077.3299999996</v>
      </c>
      <c r="P51" s="190">
        <f t="shared" si="8"/>
        <v>-45574.479999999996</v>
      </c>
      <c r="Q51" s="190">
        <f t="shared" si="8"/>
        <v>-2064956.2</v>
      </c>
      <c r="R51" s="190">
        <f t="shared" si="8"/>
        <v>-240739.42000000004</v>
      </c>
      <c r="S51" s="190">
        <f t="shared" si="8"/>
        <v>-2915356.13</v>
      </c>
      <c r="T51" s="190">
        <f t="shared" si="8"/>
        <v>-74224.22</v>
      </c>
      <c r="U51" s="190">
        <f t="shared" si="8"/>
        <v>-62576.46</v>
      </c>
      <c r="V51" s="190">
        <f t="shared" si="8"/>
        <v>-18609247.130000003</v>
      </c>
      <c r="W51" s="190">
        <f>SUM(W8:W45)</f>
        <v>-35792608.270000003</v>
      </c>
      <c r="X51" s="190">
        <f>SUM(X8:X45)</f>
        <v>0</v>
      </c>
      <c r="Y51" s="190">
        <f>SUM(Y8:Y45)</f>
        <v>0</v>
      </c>
      <c r="Z51" s="190">
        <f>SUM(Z8:Z50)</f>
        <v>-118062261.68000001</v>
      </c>
      <c r="AB51"/>
      <c r="AD51" s="183">
        <f t="shared" si="5"/>
        <v>-55270394.099999994</v>
      </c>
      <c r="AE51" s="183">
        <f>SUM(N51:Y51)</f>
        <v>-62791867.580000006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ht="13.5" thickTop="1">
      <c r="A52" s="182" t="s">
        <v>224</v>
      </c>
      <c r="B52" s="7">
        <v>-42166.85</v>
      </c>
      <c r="C52" s="7">
        <v>0</v>
      </c>
      <c r="D52" s="7">
        <v>-394.74</v>
      </c>
      <c r="E52" s="7">
        <v>-690.94999999999993</v>
      </c>
      <c r="F52" s="7">
        <v>-90300.19</v>
      </c>
      <c r="G52" s="7">
        <v>-5969.46</v>
      </c>
      <c r="H52" s="7">
        <v>1588.01</v>
      </c>
      <c r="I52" s="7">
        <v>-29701.870000000003</v>
      </c>
      <c r="J52" s="7">
        <v>-48348.79</v>
      </c>
      <c r="K52" s="7">
        <v>-33794.93</v>
      </c>
      <c r="L52" s="7">
        <v>0</v>
      </c>
      <c r="M52" s="7">
        <v>0</v>
      </c>
      <c r="N52" s="7">
        <v>-5548.88</v>
      </c>
      <c r="O52" s="7">
        <v>0</v>
      </c>
      <c r="P52" s="7">
        <v>0</v>
      </c>
      <c r="Q52" s="7">
        <v>-2073.5500000000002</v>
      </c>
      <c r="R52" s="7">
        <v>-6698.04</v>
      </c>
      <c r="S52" s="7">
        <v>-891.39</v>
      </c>
      <c r="T52" s="7">
        <v>0</v>
      </c>
      <c r="U52" s="7">
        <v>-1096.49</v>
      </c>
      <c r="V52" s="7">
        <v>-1979215.15</v>
      </c>
      <c r="W52" s="7">
        <v>-243856.04</v>
      </c>
      <c r="X52" s="7"/>
      <c r="Y52" s="7"/>
      <c r="Z52" s="7">
        <f>SUM(B52:Y52)</f>
        <v>-2489159.31</v>
      </c>
      <c r="AB52" s="182" t="s">
        <v>314</v>
      </c>
      <c r="AD52" s="183">
        <f>AD51-'Exhibit 1.1 Page 4'!C7</f>
        <v>28729605.900000006</v>
      </c>
      <c r="AE52" s="183">
        <f>AE51+AD52</f>
        <v>-34062261.68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4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6" spans="1:49">
      <c r="A56" s="3" t="s">
        <v>6</v>
      </c>
    </row>
    <row r="57" spans="1:49" s="7" customFormat="1"/>
    <row r="58" spans="1:49">
      <c r="A58" s="3" t="s">
        <v>8</v>
      </c>
      <c r="B58" s="2" t="s">
        <v>12</v>
      </c>
      <c r="C58" s="2" t="s">
        <v>13</v>
      </c>
      <c r="D58" s="2" t="s">
        <v>14</v>
      </c>
      <c r="E58" s="2" t="s">
        <v>15</v>
      </c>
      <c r="F58" s="2" t="s">
        <v>16</v>
      </c>
      <c r="G58" s="2" t="s">
        <v>17</v>
      </c>
      <c r="H58" s="2" t="s">
        <v>18</v>
      </c>
      <c r="I58" s="2" t="s">
        <v>19</v>
      </c>
      <c r="J58" s="2" t="s">
        <v>20</v>
      </c>
      <c r="K58" s="2" t="s">
        <v>21</v>
      </c>
      <c r="L58" s="2" t="s">
        <v>22</v>
      </c>
      <c r="M58" s="2" t="s">
        <v>23</v>
      </c>
      <c r="N58" s="2" t="s">
        <v>24</v>
      </c>
      <c r="O58" s="2" t="s">
        <v>25</v>
      </c>
      <c r="P58" s="2" t="s">
        <v>26</v>
      </c>
      <c r="Q58" s="2" t="s">
        <v>27</v>
      </c>
      <c r="R58" s="2" t="s">
        <v>28</v>
      </c>
      <c r="S58" s="2" t="s">
        <v>29</v>
      </c>
      <c r="T58" s="2" t="s">
        <v>30</v>
      </c>
      <c r="U58" s="2" t="s">
        <v>31</v>
      </c>
      <c r="V58" s="2" t="s">
        <v>32</v>
      </c>
    </row>
    <row r="59" spans="1:49">
      <c r="A59" s="2" t="s">
        <v>10</v>
      </c>
      <c r="B59" s="14">
        <v>0.52500000000000002</v>
      </c>
      <c r="C59" s="14">
        <v>4.7500000000000001E-2</v>
      </c>
      <c r="D59" s="14">
        <v>4.2799999999999998E-2</v>
      </c>
      <c r="E59" s="14">
        <v>3.85E-2</v>
      </c>
      <c r="F59" s="14">
        <v>3.4700000000000002E-2</v>
      </c>
      <c r="G59" s="14">
        <v>3.1199999999999999E-2</v>
      </c>
      <c r="H59" s="14">
        <v>2.9499999999999998E-2</v>
      </c>
      <c r="I59" s="14">
        <v>2.9499999999999998E-2</v>
      </c>
      <c r="J59" s="14">
        <v>2.9600000000000001E-2</v>
      </c>
      <c r="K59" s="14">
        <v>2.9499999999999998E-2</v>
      </c>
      <c r="L59" s="14">
        <v>2.9600000000000001E-2</v>
      </c>
      <c r="M59" s="14">
        <v>2.9499999999999998E-2</v>
      </c>
      <c r="N59" s="14">
        <v>2.9600000000000001E-2</v>
      </c>
      <c r="O59" s="14">
        <v>2.9499999999999998E-2</v>
      </c>
      <c r="P59" s="14">
        <v>2.9600000000000001E-2</v>
      </c>
      <c r="Q59" s="14">
        <v>1.46E-2</v>
      </c>
      <c r="R59" s="14"/>
      <c r="S59" s="14"/>
      <c r="T59" s="14"/>
      <c r="U59" s="14"/>
      <c r="V59" s="14"/>
    </row>
    <row r="60" spans="1:49">
      <c r="A60" s="2" t="s">
        <v>11</v>
      </c>
      <c r="B60" s="14">
        <v>0.51880000000000004</v>
      </c>
      <c r="C60" s="14">
        <v>3.61E-2</v>
      </c>
      <c r="D60" s="14">
        <v>3.3399999999999999E-2</v>
      </c>
      <c r="E60" s="14">
        <v>3.09E-2</v>
      </c>
      <c r="F60" s="14">
        <v>2.86E-2</v>
      </c>
      <c r="G60" s="14">
        <v>2.64E-2</v>
      </c>
      <c r="H60" s="14">
        <v>2.4400000000000002E-2</v>
      </c>
      <c r="I60" s="14">
        <v>2.2599999999999999E-2</v>
      </c>
      <c r="J60" s="14">
        <v>2.231E-2</v>
      </c>
      <c r="K60" s="14">
        <v>2.23E-2</v>
      </c>
      <c r="L60" s="14">
        <v>2.231E-2</v>
      </c>
      <c r="M60" s="14">
        <v>2.23E-2</v>
      </c>
      <c r="N60" s="14">
        <v>2.231E-2</v>
      </c>
      <c r="O60" s="14">
        <v>2.23E-2</v>
      </c>
      <c r="P60" s="14">
        <v>2.231E-2</v>
      </c>
      <c r="Q60" s="14">
        <v>2.23E-2</v>
      </c>
      <c r="R60" s="14">
        <v>2.231E-2</v>
      </c>
      <c r="S60" s="14">
        <v>2.23E-2</v>
      </c>
      <c r="T60" s="14">
        <v>2.231E-2</v>
      </c>
      <c r="U60" s="14">
        <v>2.23E-2</v>
      </c>
      <c r="V60" s="14">
        <v>1.1140000000000001E-2</v>
      </c>
    </row>
    <row r="61" spans="1:49">
      <c r="A61" s="2" t="s">
        <v>9</v>
      </c>
      <c r="B61" s="14">
        <v>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/>
      <c r="S61" s="14"/>
      <c r="T61" s="14"/>
      <c r="U61" s="14"/>
      <c r="V61" s="14"/>
    </row>
    <row r="62" spans="1:49">
      <c r="A62" s="182" t="s">
        <v>215</v>
      </c>
      <c r="B62" s="14">
        <v>3.7600000000000001E-2</v>
      </c>
      <c r="C62" s="14">
        <v>7.22E-2</v>
      </c>
      <c r="D62" s="14">
        <v>6.6799999999999998E-2</v>
      </c>
      <c r="E62" s="14">
        <v>6.1800000000000001E-2</v>
      </c>
      <c r="F62" s="14">
        <v>5.7200000000000001E-2</v>
      </c>
      <c r="G62" s="14">
        <v>5.28E-2</v>
      </c>
      <c r="H62" s="14">
        <v>4.8800000000000003E-2</v>
      </c>
      <c r="I62" s="14">
        <v>4.5199999999999997E-2</v>
      </c>
      <c r="J62" s="14">
        <v>4.462E-2</v>
      </c>
      <c r="K62" s="14">
        <v>4.4600000000000001E-2</v>
      </c>
      <c r="L62" s="14">
        <v>4.462E-2</v>
      </c>
      <c r="M62" s="14">
        <v>4.4600000000000001E-2</v>
      </c>
      <c r="N62" s="14">
        <v>4.462E-2</v>
      </c>
      <c r="O62" s="14">
        <v>4.4600000000000001E-2</v>
      </c>
      <c r="P62" s="14">
        <v>4.462E-2</v>
      </c>
      <c r="Q62" s="14">
        <v>4.4600000000000001E-2</v>
      </c>
      <c r="R62" s="14">
        <v>4.462E-2</v>
      </c>
      <c r="S62" s="14">
        <v>4.4600000000000001E-2</v>
      </c>
      <c r="T62" s="14">
        <v>4.462E-2</v>
      </c>
      <c r="U62" s="14">
        <v>4.4600000000000001E-2</v>
      </c>
      <c r="V62" s="14">
        <v>2.2280000000000001E-2</v>
      </c>
    </row>
    <row r="64" spans="1:49">
      <c r="A64" s="3" t="s">
        <v>33</v>
      </c>
      <c r="B64" s="221">
        <f>B7</f>
        <v>41305</v>
      </c>
      <c r="C64" s="221">
        <f t="shared" ref="C64" si="9">EOMONTH(B64,1)</f>
        <v>41333</v>
      </c>
      <c r="D64" s="221">
        <f t="shared" ref="D64" si="10">EOMONTH(C64,1)</f>
        <v>41364</v>
      </c>
      <c r="E64" s="221">
        <f t="shared" ref="E64" si="11">EOMONTH(D64,1)</f>
        <v>41394</v>
      </c>
      <c r="F64" s="221">
        <f t="shared" ref="F64" si="12">EOMONTH(E64,1)</f>
        <v>41425</v>
      </c>
      <c r="G64" s="221">
        <f t="shared" ref="G64" si="13">EOMONTH(F64,1)</f>
        <v>41455</v>
      </c>
      <c r="H64" s="221">
        <f t="shared" ref="H64" si="14">EOMONTH(G64,1)</f>
        <v>41486</v>
      </c>
      <c r="I64" s="221">
        <f t="shared" ref="I64" si="15">EOMONTH(H64,1)</f>
        <v>41517</v>
      </c>
      <c r="J64" s="221">
        <f t="shared" ref="J64" si="16">EOMONTH(I64,1)</f>
        <v>41547</v>
      </c>
      <c r="K64" s="221">
        <f t="shared" ref="K64" si="17">EOMONTH(J64,1)</f>
        <v>41578</v>
      </c>
      <c r="L64" s="221">
        <f t="shared" ref="L64" si="18">EOMONTH(K64,1)</f>
        <v>41608</v>
      </c>
      <c r="M64" s="221">
        <f t="shared" ref="M64" si="19">EOMONTH(L64,1)</f>
        <v>41639</v>
      </c>
      <c r="N64" s="221">
        <f t="shared" ref="N64" si="20">EOMONTH(M64,1)</f>
        <v>41670</v>
      </c>
      <c r="O64" s="221">
        <f t="shared" ref="O64" si="21">EOMONTH(N64,1)</f>
        <v>41698</v>
      </c>
      <c r="P64" s="221">
        <f t="shared" ref="P64" si="22">EOMONTH(O64,1)</f>
        <v>41729</v>
      </c>
      <c r="Q64" s="221">
        <f t="shared" ref="Q64" si="23">EOMONTH(P64,1)</f>
        <v>41759</v>
      </c>
      <c r="R64" s="221">
        <f t="shared" ref="R64" si="24">EOMONTH(Q64,1)</f>
        <v>41790</v>
      </c>
      <c r="S64" s="221">
        <f t="shared" ref="S64" si="25">EOMONTH(R64,1)</f>
        <v>41820</v>
      </c>
      <c r="T64" s="221">
        <f t="shared" ref="T64" si="26">EOMONTH(S64,1)</f>
        <v>41851</v>
      </c>
      <c r="U64" s="221">
        <f t="shared" ref="U64" si="27">EOMONTH(T64,1)</f>
        <v>41882</v>
      </c>
      <c r="V64" s="221">
        <f t="shared" ref="V64" si="28">EOMONTH(U64,1)</f>
        <v>41912</v>
      </c>
      <c r="W64" s="3">
        <f t="shared" ref="W64" si="29">EOMONTH(V64,1)</f>
        <v>41943</v>
      </c>
      <c r="X64" s="3">
        <f t="shared" ref="X64" si="30">EOMONTH(W64,1)</f>
        <v>41973</v>
      </c>
      <c r="Y64" s="3">
        <f t="shared" ref="Y64" si="31">EOMONTH(X64,1)</f>
        <v>42004</v>
      </c>
      <c r="Z64" s="3">
        <f t="shared" ref="Z64" si="32">EOMONTH(Y64,1)</f>
        <v>42035</v>
      </c>
      <c r="AA64" s="3">
        <f t="shared" ref="AA64" si="33">EOMONTH(Z64,1)</f>
        <v>42063</v>
      </c>
      <c r="AB64" s="3">
        <f t="shared" ref="AB64" si="34">EOMONTH(AA64,1)</f>
        <v>42094</v>
      </c>
      <c r="AC64" s="3">
        <f t="shared" ref="AC64" si="35">EOMONTH(AB64,1)</f>
        <v>42124</v>
      </c>
      <c r="AD64" s="3">
        <f t="shared" ref="AD64" si="36">EOMONTH(AC64,1)</f>
        <v>42155</v>
      </c>
      <c r="AE64" s="3">
        <f t="shared" ref="AE64" si="37">EOMONTH(AD64,1)</f>
        <v>42185</v>
      </c>
      <c r="AF64" s="3">
        <f t="shared" ref="AF64" si="38">EOMONTH(AE64,1)</f>
        <v>42216</v>
      </c>
      <c r="AG64" s="3">
        <f t="shared" ref="AG64" si="39">EOMONTH(AF64,1)</f>
        <v>42247</v>
      </c>
      <c r="AH64" s="3">
        <f t="shared" ref="AH64" si="40">EOMONTH(AG64,1)</f>
        <v>42277</v>
      </c>
      <c r="AI64" s="3">
        <f t="shared" ref="AI64" si="41">EOMONTH(AH64,1)</f>
        <v>42308</v>
      </c>
      <c r="AJ64" s="3">
        <f t="shared" ref="AJ64" si="42">EOMONTH(AI64,1)</f>
        <v>42338</v>
      </c>
      <c r="AK64" s="3">
        <f t="shared" ref="AK64" si="43">EOMONTH(AJ64,1)</f>
        <v>42369</v>
      </c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>
      <c r="A65" s="189" t="s">
        <v>213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7"/>
      <c r="X65" s="7"/>
      <c r="Y65" s="7"/>
      <c r="Z65" s="7"/>
      <c r="AA65" s="7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>
      <c r="A66" s="188" t="s">
        <v>209</v>
      </c>
      <c r="B66" s="222">
        <f t="shared" ref="B66:L66" si="44">-SUM($B$51:$M$51)*$B$60/12*0</f>
        <v>0</v>
      </c>
      <c r="C66" s="222">
        <f t="shared" si="44"/>
        <v>0</v>
      </c>
      <c r="D66" s="222">
        <f t="shared" si="44"/>
        <v>0</v>
      </c>
      <c r="E66" s="222">
        <f t="shared" si="44"/>
        <v>0</v>
      </c>
      <c r="F66" s="222">
        <f t="shared" si="44"/>
        <v>0</v>
      </c>
      <c r="G66" s="222">
        <f t="shared" si="44"/>
        <v>0</v>
      </c>
      <c r="H66" s="222">
        <f t="shared" si="44"/>
        <v>0</v>
      </c>
      <c r="I66" s="222">
        <f t="shared" si="44"/>
        <v>0</v>
      </c>
      <c r="J66" s="222">
        <f t="shared" si="44"/>
        <v>0</v>
      </c>
      <c r="K66" s="222">
        <f t="shared" si="44"/>
        <v>0</v>
      </c>
      <c r="L66" s="222">
        <f t="shared" si="44"/>
        <v>0</v>
      </c>
      <c r="M66" s="222">
        <f>-SUM($B$51:$M$51)*$B$60/12*0</f>
        <v>0</v>
      </c>
      <c r="N66" s="222">
        <f t="shared" ref="N66:V66" si="45">-SUM($B$51:$M$51)*$C$60/12*0</f>
        <v>0</v>
      </c>
      <c r="O66" s="222">
        <f t="shared" si="45"/>
        <v>0</v>
      </c>
      <c r="P66" s="222">
        <f t="shared" si="45"/>
        <v>0</v>
      </c>
      <c r="Q66" s="222">
        <f t="shared" si="45"/>
        <v>0</v>
      </c>
      <c r="R66" s="222">
        <f t="shared" si="45"/>
        <v>0</v>
      </c>
      <c r="S66" s="222">
        <f t="shared" si="45"/>
        <v>0</v>
      </c>
      <c r="T66" s="222">
        <f t="shared" si="45"/>
        <v>0</v>
      </c>
      <c r="U66" s="222">
        <f t="shared" si="45"/>
        <v>0</v>
      </c>
      <c r="V66" s="222">
        <f t="shared" si="45"/>
        <v>0</v>
      </c>
      <c r="W66" s="7">
        <f>-SUM($B$51:$M$51)*$C$60/12*0</f>
        <v>0</v>
      </c>
      <c r="X66" s="7">
        <f t="shared" ref="X66:AK66" si="46">-SUM($B$51:$M$51)*$C$60/12*0</f>
        <v>0</v>
      </c>
      <c r="Y66" s="7">
        <f t="shared" si="46"/>
        <v>0</v>
      </c>
      <c r="Z66" s="7">
        <f t="shared" si="46"/>
        <v>0</v>
      </c>
      <c r="AA66" s="7">
        <f t="shared" si="46"/>
        <v>0</v>
      </c>
      <c r="AB66" s="7">
        <f t="shared" si="46"/>
        <v>0</v>
      </c>
      <c r="AC66" s="7">
        <f t="shared" si="46"/>
        <v>0</v>
      </c>
      <c r="AD66" s="7">
        <f t="shared" si="46"/>
        <v>0</v>
      </c>
      <c r="AE66" s="7">
        <f t="shared" si="46"/>
        <v>0</v>
      </c>
      <c r="AF66" s="7">
        <f t="shared" si="46"/>
        <v>0</v>
      </c>
      <c r="AG66" s="7">
        <f t="shared" si="46"/>
        <v>0</v>
      </c>
      <c r="AH66" s="7">
        <f t="shared" si="46"/>
        <v>0</v>
      </c>
      <c r="AI66" s="7">
        <f t="shared" si="46"/>
        <v>0</v>
      </c>
      <c r="AJ66" s="7">
        <f t="shared" si="46"/>
        <v>0</v>
      </c>
      <c r="AK66" s="7">
        <f t="shared" si="46"/>
        <v>0</v>
      </c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>
      <c r="A67" s="189" t="s">
        <v>214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7"/>
      <c r="X67" s="7"/>
      <c r="Y67" s="7"/>
      <c r="Z67" s="7"/>
      <c r="AA67" s="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>
      <c r="A68" s="188" t="s">
        <v>209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>
        <f t="shared" ref="N68:Y68" si="47">-$AE$52*$B$62/12</f>
        <v>106728.41993066667</v>
      </c>
      <c r="O68" s="222">
        <f t="shared" si="47"/>
        <v>106728.41993066667</v>
      </c>
      <c r="P68" s="222">
        <f t="shared" si="47"/>
        <v>106728.41993066667</v>
      </c>
      <c r="Q68" s="222">
        <f t="shared" si="47"/>
        <v>106728.41993066667</v>
      </c>
      <c r="R68" s="222">
        <f t="shared" si="47"/>
        <v>106728.41993066667</v>
      </c>
      <c r="S68" s="222">
        <f t="shared" si="47"/>
        <v>106728.41993066667</v>
      </c>
      <c r="T68" s="222">
        <f t="shared" si="47"/>
        <v>106728.41993066667</v>
      </c>
      <c r="U68" s="222">
        <f t="shared" si="47"/>
        <v>106728.41993066667</v>
      </c>
      <c r="V68" s="222">
        <f t="shared" si="47"/>
        <v>106728.41993066667</v>
      </c>
      <c r="W68" s="7">
        <f t="shared" si="47"/>
        <v>106728.41993066667</v>
      </c>
      <c r="X68" s="7">
        <f t="shared" si="47"/>
        <v>106728.41993066667</v>
      </c>
      <c r="Y68" s="7">
        <f t="shared" si="47"/>
        <v>106728.41993066667</v>
      </c>
      <c r="Z68" s="7">
        <f t="shared" ref="Z68:AK68" si="48">-$AE$52*$C$62/12</f>
        <v>204941.27444133334</v>
      </c>
      <c r="AA68" s="7">
        <f t="shared" si="48"/>
        <v>204941.27444133334</v>
      </c>
      <c r="AB68" s="7">
        <f t="shared" si="48"/>
        <v>204941.27444133334</v>
      </c>
      <c r="AC68" s="7">
        <f t="shared" si="48"/>
        <v>204941.27444133334</v>
      </c>
      <c r="AD68" s="7">
        <f t="shared" si="48"/>
        <v>204941.27444133334</v>
      </c>
      <c r="AE68" s="7">
        <f t="shared" si="48"/>
        <v>204941.27444133334</v>
      </c>
      <c r="AF68" s="7">
        <f t="shared" si="48"/>
        <v>204941.27444133334</v>
      </c>
      <c r="AG68" s="7">
        <f t="shared" si="48"/>
        <v>204941.27444133334</v>
      </c>
      <c r="AH68" s="7">
        <f t="shared" si="48"/>
        <v>204941.27444133334</v>
      </c>
      <c r="AI68" s="7">
        <f t="shared" si="48"/>
        <v>204941.27444133334</v>
      </c>
      <c r="AJ68" s="7">
        <f t="shared" si="48"/>
        <v>204941.27444133334</v>
      </c>
      <c r="AK68" s="7">
        <f t="shared" si="48"/>
        <v>204941.27444133334</v>
      </c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>
      <c r="A69" s="226" t="s">
        <v>316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7">
        <f>-'Exhibit 1.1'!Y58</f>
        <v>243856.04</v>
      </c>
      <c r="X69" s="7">
        <f>-'Exhibit 1.1'!Z58</f>
        <v>0</v>
      </c>
      <c r="Y69" s="7">
        <f>-'Exhibit 1.1'!AA58</f>
        <v>0</v>
      </c>
      <c r="Z69" s="7">
        <f>-'Exhibit 1.1'!AB58</f>
        <v>0</v>
      </c>
      <c r="AA69" s="7">
        <f>-'Exhibit 1.1'!AC58</f>
        <v>0</v>
      </c>
      <c r="AB69" s="7">
        <f>-'Exhibit 1.1'!AD58</f>
        <v>0</v>
      </c>
      <c r="AC69" s="7">
        <f>-'Exhibit 1.1'!AE58</f>
        <v>0</v>
      </c>
      <c r="AD69" s="7">
        <f>-'Exhibit 1.1'!AF58</f>
        <v>0</v>
      </c>
      <c r="AE69" s="7">
        <f>-'Exhibit 1.1'!AG58</f>
        <v>0</v>
      </c>
      <c r="AF69" s="7">
        <f>-'Exhibit 1.1'!AH58</f>
        <v>0</v>
      </c>
      <c r="AG69" s="7">
        <f>-'Exhibit 1.1'!AI58</f>
        <v>0</v>
      </c>
      <c r="AH69" s="7">
        <f>-'Exhibit 1.1'!AJ58</f>
        <v>0</v>
      </c>
      <c r="AI69" s="7">
        <f>-'Exhibit 1.1'!AK58</f>
        <v>0</v>
      </c>
      <c r="AJ69" s="7">
        <f>-'Exhibit 1.1'!AL58</f>
        <v>0</v>
      </c>
      <c r="AK69" s="7">
        <f>-'Exhibit 1.1'!AM58</f>
        <v>0</v>
      </c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>
      <c r="A70" s="184" t="s">
        <v>162</v>
      </c>
      <c r="B70" s="223">
        <f t="shared" ref="B70:V70" si="49">SUM(B65:B68)</f>
        <v>0</v>
      </c>
      <c r="C70" s="223">
        <f t="shared" si="49"/>
        <v>0</v>
      </c>
      <c r="D70" s="223">
        <f t="shared" si="49"/>
        <v>0</v>
      </c>
      <c r="E70" s="223">
        <f t="shared" si="49"/>
        <v>0</v>
      </c>
      <c r="F70" s="223">
        <f t="shared" si="49"/>
        <v>0</v>
      </c>
      <c r="G70" s="223">
        <f t="shared" si="49"/>
        <v>0</v>
      </c>
      <c r="H70" s="223">
        <f t="shared" si="49"/>
        <v>0</v>
      </c>
      <c r="I70" s="223">
        <f t="shared" si="49"/>
        <v>0</v>
      </c>
      <c r="J70" s="223">
        <f t="shared" si="49"/>
        <v>0</v>
      </c>
      <c r="K70" s="223">
        <f t="shared" si="49"/>
        <v>0</v>
      </c>
      <c r="L70" s="223">
        <f t="shared" si="49"/>
        <v>0</v>
      </c>
      <c r="M70" s="223">
        <f t="shared" si="49"/>
        <v>0</v>
      </c>
      <c r="N70" s="223">
        <f t="shared" si="49"/>
        <v>106728.41993066667</v>
      </c>
      <c r="O70" s="223">
        <f t="shared" si="49"/>
        <v>106728.41993066667</v>
      </c>
      <c r="P70" s="223">
        <f t="shared" si="49"/>
        <v>106728.41993066667</v>
      </c>
      <c r="Q70" s="223">
        <f t="shared" si="49"/>
        <v>106728.41993066667</v>
      </c>
      <c r="R70" s="223">
        <f t="shared" si="49"/>
        <v>106728.41993066667</v>
      </c>
      <c r="S70" s="223">
        <f t="shared" si="49"/>
        <v>106728.41993066667</v>
      </c>
      <c r="T70" s="223">
        <f t="shared" si="49"/>
        <v>106728.41993066667</v>
      </c>
      <c r="U70" s="223">
        <f t="shared" si="49"/>
        <v>106728.41993066667</v>
      </c>
      <c r="V70" s="223">
        <f t="shared" si="49"/>
        <v>106728.41993066667</v>
      </c>
      <c r="W70" s="15">
        <f>SUM(W65:W69)</f>
        <v>350584.45993066666</v>
      </c>
      <c r="X70" s="15">
        <f t="shared" ref="X70:AK70" si="50">SUM(X65:X69)</f>
        <v>106728.41993066667</v>
      </c>
      <c r="Y70" s="15">
        <f t="shared" si="50"/>
        <v>106728.41993066667</v>
      </c>
      <c r="Z70" s="15">
        <f t="shared" si="50"/>
        <v>204941.27444133334</v>
      </c>
      <c r="AA70" s="15">
        <f t="shared" si="50"/>
        <v>204941.27444133334</v>
      </c>
      <c r="AB70" s="15">
        <f t="shared" si="50"/>
        <v>204941.27444133334</v>
      </c>
      <c r="AC70" s="15">
        <f t="shared" si="50"/>
        <v>204941.27444133334</v>
      </c>
      <c r="AD70" s="15">
        <f t="shared" si="50"/>
        <v>204941.27444133334</v>
      </c>
      <c r="AE70" s="15">
        <f t="shared" si="50"/>
        <v>204941.27444133334</v>
      </c>
      <c r="AF70" s="15">
        <f t="shared" si="50"/>
        <v>204941.27444133334</v>
      </c>
      <c r="AG70" s="15">
        <f t="shared" si="50"/>
        <v>204941.27444133334</v>
      </c>
      <c r="AH70" s="15">
        <f t="shared" si="50"/>
        <v>204941.27444133334</v>
      </c>
      <c r="AI70" s="15">
        <f t="shared" si="50"/>
        <v>204941.27444133334</v>
      </c>
      <c r="AJ70" s="15">
        <f t="shared" si="50"/>
        <v>204941.27444133334</v>
      </c>
      <c r="AK70" s="15">
        <f t="shared" si="50"/>
        <v>204941.27444133334</v>
      </c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>
      <c r="A71" s="16" t="s">
        <v>40</v>
      </c>
      <c r="B71" s="222">
        <f>'Exhibit 1.1'!D65</f>
        <v>0</v>
      </c>
      <c r="C71" s="222">
        <f>'Exhibit 1.1'!E65</f>
        <v>0</v>
      </c>
      <c r="D71" s="222">
        <f>'Exhibit 1.1'!F65</f>
        <v>0</v>
      </c>
      <c r="E71" s="222">
        <f>'Exhibit 1.1'!G65</f>
        <v>0</v>
      </c>
      <c r="F71" s="222">
        <f>'Exhibit 1.1'!H65</f>
        <v>0</v>
      </c>
      <c r="G71" s="222">
        <f>'Exhibit 1.1'!I65</f>
        <v>0</v>
      </c>
      <c r="H71" s="222">
        <f>'Exhibit 1.1'!J65</f>
        <v>0</v>
      </c>
      <c r="I71" s="222">
        <f>'Exhibit 1.1'!K65</f>
        <v>0</v>
      </c>
      <c r="J71" s="222">
        <f>'Exhibit 1.1'!L65</f>
        <v>0</v>
      </c>
      <c r="K71" s="222">
        <f>'Exhibit 1.1'!M65</f>
        <v>0</v>
      </c>
      <c r="L71" s="222">
        <f>'Exhibit 1.1'!N65</f>
        <v>0</v>
      </c>
      <c r="M71" s="222">
        <f>'Exhibit 1.1'!O65</f>
        <v>0</v>
      </c>
      <c r="N71" s="222">
        <f>'Exhibit 1.1'!P65</f>
        <v>0</v>
      </c>
      <c r="O71" s="222">
        <f>'Exhibit 1.1'!Q65</f>
        <v>0</v>
      </c>
      <c r="P71" s="222">
        <f>'Exhibit 1.1'!R65</f>
        <v>0</v>
      </c>
      <c r="Q71" s="222">
        <f>'Exhibit 1.1'!S65</f>
        <v>0</v>
      </c>
      <c r="R71" s="222">
        <f>'Exhibit 1.1'!T65</f>
        <v>0</v>
      </c>
      <c r="S71" s="222">
        <f>'Exhibit 1.1'!U65</f>
        <v>0</v>
      </c>
      <c r="T71" s="222">
        <f>'Exhibit 1.1'!V65</f>
        <v>0</v>
      </c>
      <c r="U71" s="222">
        <f>'Exhibit 1.1'!W65</f>
        <v>0</v>
      </c>
      <c r="V71" s="222">
        <f>'Exhibit 1.1'!X65</f>
        <v>0</v>
      </c>
      <c r="W71" s="7">
        <f>'Exhibit 1.1'!Y65</f>
        <v>55191.971543833337</v>
      </c>
      <c r="X71" s="7">
        <f>'Exhibit 1.1'!Z65</f>
        <v>55191.971543833337</v>
      </c>
      <c r="Y71" s="7">
        <f>'Exhibit 1.1'!AA65</f>
        <v>55191.971543833337</v>
      </c>
      <c r="Z71" s="7">
        <f>'Exhibit 1.1'!AB65</f>
        <v>55191.971543833337</v>
      </c>
      <c r="AA71" s="7">
        <f>'Exhibit 1.1'!AC65</f>
        <v>55191.971543833337</v>
      </c>
      <c r="AB71" s="7">
        <f>'Exhibit 1.1'!AD65</f>
        <v>55191.971543833337</v>
      </c>
      <c r="AC71" s="7">
        <f>'Exhibit 1.1'!AE65</f>
        <v>55191.971543833337</v>
      </c>
      <c r="AD71" s="7">
        <f>'Exhibit 1.1'!AF65</f>
        <v>55191.971543833337</v>
      </c>
      <c r="AE71" s="7">
        <f>'Exhibit 1.1'!AG65</f>
        <v>55191.971543833337</v>
      </c>
      <c r="AF71" s="7">
        <f>'Exhibit 1.1'!AH65</f>
        <v>55191.971543833337</v>
      </c>
      <c r="AG71" s="7">
        <f>'Exhibit 1.1'!AI65</f>
        <v>55191.971543833337</v>
      </c>
      <c r="AH71" s="7">
        <f>'Exhibit 1.1'!AJ65</f>
        <v>55191.971543833337</v>
      </c>
      <c r="AI71" s="7">
        <f>'Exhibit 1.1'!AK65</f>
        <v>55191.971543833337</v>
      </c>
      <c r="AJ71" s="7">
        <f>'Exhibit 1.1'!AL65</f>
        <v>55191.971543833337</v>
      </c>
      <c r="AK71" s="7">
        <f>'Exhibit 1.1'!AM65</f>
        <v>55191.971543833337</v>
      </c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>
      <c r="A72" t="s">
        <v>184</v>
      </c>
      <c r="B72" s="222">
        <f t="shared" ref="B72:M72" si="51">B70-B71</f>
        <v>0</v>
      </c>
      <c r="C72" s="222">
        <f t="shared" si="51"/>
        <v>0</v>
      </c>
      <c r="D72" s="222">
        <f t="shared" si="51"/>
        <v>0</v>
      </c>
      <c r="E72" s="222">
        <f t="shared" si="51"/>
        <v>0</v>
      </c>
      <c r="F72" s="222">
        <f t="shared" si="51"/>
        <v>0</v>
      </c>
      <c r="G72" s="222">
        <f t="shared" si="51"/>
        <v>0</v>
      </c>
      <c r="H72" s="222">
        <f t="shared" si="51"/>
        <v>0</v>
      </c>
      <c r="I72" s="222">
        <f t="shared" si="51"/>
        <v>0</v>
      </c>
      <c r="J72" s="222">
        <f t="shared" si="51"/>
        <v>0</v>
      </c>
      <c r="K72" s="222">
        <f t="shared" si="51"/>
        <v>0</v>
      </c>
      <c r="L72" s="222">
        <f t="shared" si="51"/>
        <v>0</v>
      </c>
      <c r="M72" s="222">
        <f t="shared" si="51"/>
        <v>0</v>
      </c>
      <c r="N72" s="222">
        <f t="shared" ref="N72:Y72" si="52">N70-N71</f>
        <v>106728.41993066667</v>
      </c>
      <c r="O72" s="222">
        <f t="shared" si="52"/>
        <v>106728.41993066667</v>
      </c>
      <c r="P72" s="222">
        <f t="shared" si="52"/>
        <v>106728.41993066667</v>
      </c>
      <c r="Q72" s="222">
        <f t="shared" si="52"/>
        <v>106728.41993066667</v>
      </c>
      <c r="R72" s="222">
        <f t="shared" si="52"/>
        <v>106728.41993066667</v>
      </c>
      <c r="S72" s="222">
        <f t="shared" si="52"/>
        <v>106728.41993066667</v>
      </c>
      <c r="T72" s="222">
        <f t="shared" si="52"/>
        <v>106728.41993066667</v>
      </c>
      <c r="U72" s="222">
        <f t="shared" si="52"/>
        <v>106728.41993066667</v>
      </c>
      <c r="V72" s="222">
        <f t="shared" si="52"/>
        <v>106728.41993066667</v>
      </c>
      <c r="W72" s="7">
        <f t="shared" si="52"/>
        <v>295392.48838683334</v>
      </c>
      <c r="X72" s="7">
        <f t="shared" si="52"/>
        <v>51536.448386833334</v>
      </c>
      <c r="Y72" s="7">
        <f t="shared" si="52"/>
        <v>51536.448386833334</v>
      </c>
      <c r="Z72" s="7">
        <f t="shared" ref="Z72:AK72" si="53">Z70-Z71</f>
        <v>149749.30289749999</v>
      </c>
      <c r="AA72" s="7">
        <f t="shared" si="53"/>
        <v>149749.30289749999</v>
      </c>
      <c r="AB72" s="7">
        <f t="shared" si="53"/>
        <v>149749.30289749999</v>
      </c>
      <c r="AC72" s="7">
        <f t="shared" si="53"/>
        <v>149749.30289749999</v>
      </c>
      <c r="AD72" s="7">
        <f t="shared" si="53"/>
        <v>149749.30289749999</v>
      </c>
      <c r="AE72" s="7">
        <f t="shared" si="53"/>
        <v>149749.30289749999</v>
      </c>
      <c r="AF72" s="7">
        <f t="shared" si="53"/>
        <v>149749.30289749999</v>
      </c>
      <c r="AG72" s="7">
        <f t="shared" si="53"/>
        <v>149749.30289749999</v>
      </c>
      <c r="AH72" s="7">
        <f t="shared" si="53"/>
        <v>149749.30289749999</v>
      </c>
      <c r="AI72" s="7">
        <f t="shared" si="53"/>
        <v>149749.30289749999</v>
      </c>
      <c r="AJ72" s="7">
        <f t="shared" si="53"/>
        <v>149749.30289749999</v>
      </c>
      <c r="AK72" s="7">
        <f t="shared" si="53"/>
        <v>149749.30289749999</v>
      </c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>
      <c r="A73" t="s">
        <v>185</v>
      </c>
      <c r="B73" s="222">
        <v>0.38</v>
      </c>
      <c r="C73" s="222">
        <v>0.38</v>
      </c>
      <c r="D73" s="222">
        <v>0.38</v>
      </c>
      <c r="E73" s="222">
        <v>0.38</v>
      </c>
      <c r="F73" s="222">
        <v>0.38</v>
      </c>
      <c r="G73" s="222">
        <v>0.38</v>
      </c>
      <c r="H73" s="222">
        <v>0.38</v>
      </c>
      <c r="I73" s="222">
        <v>0.38</v>
      </c>
      <c r="J73" s="222">
        <v>0.38</v>
      </c>
      <c r="K73" s="222">
        <v>0.38</v>
      </c>
      <c r="L73" s="222">
        <v>0.38</v>
      </c>
      <c r="M73" s="222">
        <v>0.38</v>
      </c>
      <c r="N73" s="222">
        <v>0.38</v>
      </c>
      <c r="O73" s="222">
        <v>0.38</v>
      </c>
      <c r="P73" s="222">
        <v>0.38</v>
      </c>
      <c r="Q73" s="222">
        <v>0.38</v>
      </c>
      <c r="R73" s="222">
        <v>0.38</v>
      </c>
      <c r="S73" s="222">
        <v>0.38</v>
      </c>
      <c r="T73" s="222">
        <v>0.38</v>
      </c>
      <c r="U73" s="222">
        <v>0.38</v>
      </c>
      <c r="V73" s="222">
        <v>0.38</v>
      </c>
      <c r="W73" s="7">
        <v>0.38</v>
      </c>
      <c r="X73" s="7">
        <v>0.38</v>
      </c>
      <c r="Y73" s="7">
        <v>0.38</v>
      </c>
      <c r="Z73" s="7">
        <v>0.38</v>
      </c>
      <c r="AA73" s="7">
        <v>0.38</v>
      </c>
      <c r="AB73" s="7">
        <v>0.38</v>
      </c>
      <c r="AC73" s="7">
        <v>0.38</v>
      </c>
      <c r="AD73" s="7">
        <v>0.38</v>
      </c>
      <c r="AE73" s="7">
        <v>0.38</v>
      </c>
      <c r="AF73" s="7">
        <v>0.38</v>
      </c>
      <c r="AG73" s="7">
        <v>0.38</v>
      </c>
      <c r="AH73" s="7">
        <v>0.38</v>
      </c>
      <c r="AI73" s="7">
        <v>0.38</v>
      </c>
      <c r="AJ73" s="7">
        <v>0.38</v>
      </c>
      <c r="AK73" s="7">
        <v>0.38</v>
      </c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>
      <c r="A74" t="s">
        <v>186</v>
      </c>
      <c r="B74" s="222">
        <f>B72*B73</f>
        <v>0</v>
      </c>
      <c r="C74" s="222">
        <f t="shared" ref="C74:M74" si="54">C72*C73</f>
        <v>0</v>
      </c>
      <c r="D74" s="222">
        <f t="shared" si="54"/>
        <v>0</v>
      </c>
      <c r="E74" s="222">
        <f t="shared" si="54"/>
        <v>0</v>
      </c>
      <c r="F74" s="222">
        <f t="shared" si="54"/>
        <v>0</v>
      </c>
      <c r="G74" s="222">
        <f t="shared" si="54"/>
        <v>0</v>
      </c>
      <c r="H74" s="222">
        <f t="shared" si="54"/>
        <v>0</v>
      </c>
      <c r="I74" s="222">
        <f t="shared" si="54"/>
        <v>0</v>
      </c>
      <c r="J74" s="222">
        <f t="shared" si="54"/>
        <v>0</v>
      </c>
      <c r="K74" s="222">
        <f t="shared" si="54"/>
        <v>0</v>
      </c>
      <c r="L74" s="222">
        <f t="shared" si="54"/>
        <v>0</v>
      </c>
      <c r="M74" s="222">
        <f t="shared" si="54"/>
        <v>0</v>
      </c>
      <c r="N74" s="222">
        <f t="shared" ref="N74:Y74" si="55">N72*N73</f>
        <v>40556.799573653334</v>
      </c>
      <c r="O74" s="222">
        <f t="shared" si="55"/>
        <v>40556.799573653334</v>
      </c>
      <c r="P74" s="222">
        <f t="shared" si="55"/>
        <v>40556.799573653334</v>
      </c>
      <c r="Q74" s="222">
        <f t="shared" si="55"/>
        <v>40556.799573653334</v>
      </c>
      <c r="R74" s="222">
        <f t="shared" si="55"/>
        <v>40556.799573653334</v>
      </c>
      <c r="S74" s="222">
        <f t="shared" si="55"/>
        <v>40556.799573653334</v>
      </c>
      <c r="T74" s="222">
        <f t="shared" si="55"/>
        <v>40556.799573653334</v>
      </c>
      <c r="U74" s="222">
        <f t="shared" si="55"/>
        <v>40556.799573653334</v>
      </c>
      <c r="V74" s="222">
        <f t="shared" si="55"/>
        <v>40556.799573653334</v>
      </c>
      <c r="W74" s="7">
        <f t="shared" si="55"/>
        <v>112249.14558699667</v>
      </c>
      <c r="X74" s="7">
        <f t="shared" si="55"/>
        <v>19583.850386996666</v>
      </c>
      <c r="Y74" s="7">
        <f t="shared" si="55"/>
        <v>19583.850386996666</v>
      </c>
      <c r="Z74" s="7">
        <f t="shared" ref="Z74:AK74" si="56">Z72*Z73</f>
        <v>56904.735101049999</v>
      </c>
      <c r="AA74" s="7">
        <f t="shared" si="56"/>
        <v>56904.735101049999</v>
      </c>
      <c r="AB74" s="7">
        <f t="shared" si="56"/>
        <v>56904.735101049999</v>
      </c>
      <c r="AC74" s="7">
        <f t="shared" si="56"/>
        <v>56904.735101049999</v>
      </c>
      <c r="AD74" s="7">
        <f t="shared" si="56"/>
        <v>56904.735101049999</v>
      </c>
      <c r="AE74" s="7">
        <f t="shared" si="56"/>
        <v>56904.735101049999</v>
      </c>
      <c r="AF74" s="7">
        <f t="shared" si="56"/>
        <v>56904.735101049999</v>
      </c>
      <c r="AG74" s="7">
        <f t="shared" si="56"/>
        <v>56904.735101049999</v>
      </c>
      <c r="AH74" s="7">
        <f t="shared" si="56"/>
        <v>56904.735101049999</v>
      </c>
      <c r="AI74" s="7">
        <f t="shared" si="56"/>
        <v>56904.735101049999</v>
      </c>
      <c r="AJ74" s="7">
        <f t="shared" si="56"/>
        <v>56904.735101049999</v>
      </c>
      <c r="AK74" s="7">
        <f t="shared" si="56"/>
        <v>56904.735101049999</v>
      </c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>
      <c r="A75" t="s">
        <v>46</v>
      </c>
      <c r="B75" s="222">
        <f>B74</f>
        <v>0</v>
      </c>
      <c r="C75" s="222">
        <f t="shared" ref="C75" si="57">B75+C74</f>
        <v>0</v>
      </c>
      <c r="D75" s="222">
        <f t="shared" ref="D75" si="58">C75+D74</f>
        <v>0</v>
      </c>
      <c r="E75" s="222">
        <f t="shared" ref="E75" si="59">D75+E74</f>
        <v>0</v>
      </c>
      <c r="F75" s="222">
        <f t="shared" ref="F75" si="60">E75+F74</f>
        <v>0</v>
      </c>
      <c r="G75" s="222">
        <f t="shared" ref="G75" si="61">F75+G74</f>
        <v>0</v>
      </c>
      <c r="H75" s="222">
        <f t="shared" ref="H75" si="62">G75+H74</f>
        <v>0</v>
      </c>
      <c r="I75" s="222">
        <f t="shared" ref="I75" si="63">H75+I74</f>
        <v>0</v>
      </c>
      <c r="J75" s="222">
        <f t="shared" ref="J75" si="64">I75+J74</f>
        <v>0</v>
      </c>
      <c r="K75" s="222">
        <f t="shared" ref="K75" si="65">J75+K74</f>
        <v>0</v>
      </c>
      <c r="L75" s="222">
        <f t="shared" ref="L75" si="66">K75+L74</f>
        <v>0</v>
      </c>
      <c r="M75" s="222">
        <f t="shared" ref="M75" si="67">L75+M74</f>
        <v>0</v>
      </c>
      <c r="N75" s="222">
        <f t="shared" ref="N75" si="68">M75+N74</f>
        <v>40556.799573653334</v>
      </c>
      <c r="O75" s="222">
        <f t="shared" ref="O75" si="69">N75+O74</f>
        <v>81113.599147306668</v>
      </c>
      <c r="P75" s="222">
        <f t="shared" ref="P75" si="70">O75+P74</f>
        <v>121670.39872096</v>
      </c>
      <c r="Q75" s="222">
        <f t="shared" ref="Q75" si="71">P75+Q74</f>
        <v>162227.19829461334</v>
      </c>
      <c r="R75" s="222">
        <f t="shared" ref="R75" si="72">Q75+R74</f>
        <v>202783.99786826666</v>
      </c>
      <c r="S75" s="222">
        <f t="shared" ref="S75" si="73">R75+S74</f>
        <v>243340.79744191997</v>
      </c>
      <c r="T75" s="222">
        <f t="shared" ref="T75" si="74">S75+T74</f>
        <v>283897.59701557329</v>
      </c>
      <c r="U75" s="222">
        <f t="shared" ref="U75" si="75">T75+U74</f>
        <v>324454.39658922661</v>
      </c>
      <c r="V75" s="222">
        <f t="shared" ref="V75" si="76">U75+V74</f>
        <v>365011.19616287993</v>
      </c>
      <c r="W75" s="7">
        <f t="shared" ref="W75" si="77">V75+W74</f>
        <v>477260.34174987662</v>
      </c>
      <c r="X75" s="7">
        <f t="shared" ref="X75" si="78">W75+X74</f>
        <v>496844.19213687326</v>
      </c>
      <c r="Y75" s="7">
        <f t="shared" ref="Y75" si="79">X75+Y74</f>
        <v>516428.0425238699</v>
      </c>
      <c r="Z75" s="7">
        <f t="shared" ref="Z75" si="80">Y75+Z74</f>
        <v>573332.77762491989</v>
      </c>
      <c r="AA75" s="7">
        <f t="shared" ref="AA75" si="81">Z75+AA74</f>
        <v>630237.51272596989</v>
      </c>
      <c r="AB75" s="7">
        <f t="shared" ref="AB75" si="82">AA75+AB74</f>
        <v>687142.24782701989</v>
      </c>
      <c r="AC75" s="7">
        <f t="shared" ref="AC75" si="83">AB75+AC74</f>
        <v>744046.98292806989</v>
      </c>
      <c r="AD75" s="7">
        <f t="shared" ref="AD75" si="84">AC75+AD74</f>
        <v>800951.71802911989</v>
      </c>
      <c r="AE75" s="7">
        <f t="shared" ref="AE75" si="85">AD75+AE74</f>
        <v>857856.45313016989</v>
      </c>
      <c r="AF75" s="7">
        <f t="shared" ref="AF75" si="86">AE75+AF74</f>
        <v>914761.18823121989</v>
      </c>
      <c r="AG75" s="7">
        <f t="shared" ref="AG75" si="87">AF75+AG74</f>
        <v>971665.92333226989</v>
      </c>
      <c r="AH75" s="7">
        <f t="shared" ref="AH75" si="88">AG75+AH74</f>
        <v>1028570.6584333199</v>
      </c>
      <c r="AI75" s="7">
        <f t="shared" ref="AI75" si="89">AH75+AI74</f>
        <v>1085475.3935343698</v>
      </c>
      <c r="AJ75" s="7">
        <f t="shared" ref="AJ75" si="90">AI75+AJ74</f>
        <v>1142380.1286354198</v>
      </c>
      <c r="AK75" s="7">
        <f t="shared" ref="AK75" si="91">AJ75+AK74</f>
        <v>1199284.8637364698</v>
      </c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49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49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49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13"/>
      <c r="X79" s="7"/>
      <c r="Y79" s="7"/>
      <c r="Z79" s="7"/>
      <c r="AA79" s="7"/>
    </row>
    <row r="80" spans="1:49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</sheetData>
  <sortState ref="A49:BS82">
    <sortCondition ref="A49:A82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77"/>
  <sheetViews>
    <sheetView tabSelected="1" view="pageBreakPreview" zoomScaleNormal="70" zoomScaleSheetLayoutView="100" workbookViewId="0">
      <pane ySplit="1125" topLeftCell="A61" activePane="bottomLeft"/>
      <selection activeCell="X4" sqref="X4"/>
      <selection pane="bottomLeft" activeCell="I74" sqref="I74"/>
    </sheetView>
  </sheetViews>
  <sheetFormatPr defaultRowHeight="12.75"/>
  <cols>
    <col min="1" max="1" width="6.85546875" bestFit="1" customWidth="1"/>
    <col min="2" max="2" width="11" customWidth="1"/>
    <col min="3" max="3" width="38.140625" bestFit="1" customWidth="1"/>
    <col min="4" max="7" width="13.85546875" style="7" customWidth="1"/>
    <col min="8" max="8" width="13.85546875" style="7" bestFit="1" customWidth="1"/>
    <col min="9" max="26" width="13.85546875" style="7" customWidth="1"/>
    <col min="27" max="27" width="12.7109375" style="7" bestFit="1" customWidth="1"/>
    <col min="28" max="35" width="12.28515625" style="7" bestFit="1" customWidth="1"/>
    <col min="36" max="36" width="13.28515625" style="7" bestFit="1" customWidth="1"/>
    <col min="37" max="37" width="12.28515625" style="7" bestFit="1" customWidth="1"/>
    <col min="38" max="39" width="12.7109375" style="7" bestFit="1" customWidth="1"/>
    <col min="40" max="40" width="4.7109375" style="7" bestFit="1" customWidth="1"/>
    <col min="41" max="41" width="12.7109375" style="7" bestFit="1" customWidth="1"/>
    <col min="42" max="42" width="12.5703125" style="7" bestFit="1" customWidth="1"/>
    <col min="43" max="43" width="12.140625" style="7" bestFit="1" customWidth="1"/>
    <col min="44" max="45" width="12.5703125" style="7" bestFit="1" customWidth="1"/>
    <col min="46" max="46" width="12.140625" style="7" bestFit="1" customWidth="1"/>
    <col min="47" max="47" width="12" style="7" bestFit="1" customWidth="1"/>
    <col min="48" max="48" width="12.140625" style="7" bestFit="1" customWidth="1"/>
    <col min="49" max="49" width="12" style="7" bestFit="1" customWidth="1"/>
    <col min="50" max="50" width="13.28515625" style="7" bestFit="1" customWidth="1"/>
    <col min="51" max="51" width="12" style="7" bestFit="1" customWidth="1"/>
    <col min="52" max="53" width="12.7109375" style="7" bestFit="1" customWidth="1"/>
    <col min="54" max="54" width="9.140625" style="7"/>
  </cols>
  <sheetData>
    <row r="1" spans="1:54" ht="15.75">
      <c r="A1" s="228" t="s">
        <v>180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54" ht="15">
      <c r="D2" s="211" t="s">
        <v>65</v>
      </c>
      <c r="E2" s="211" t="s">
        <v>66</v>
      </c>
      <c r="F2" s="211" t="s">
        <v>67</v>
      </c>
      <c r="G2" s="211" t="s">
        <v>164</v>
      </c>
      <c r="H2" s="211" t="s">
        <v>83</v>
      </c>
      <c r="I2" s="211" t="s">
        <v>84</v>
      </c>
      <c r="J2" s="211" t="s">
        <v>85</v>
      </c>
      <c r="K2" s="211" t="s">
        <v>86</v>
      </c>
      <c r="L2" s="211" t="s">
        <v>87</v>
      </c>
      <c r="M2" s="211" t="s">
        <v>88</v>
      </c>
      <c r="N2" s="211" t="s">
        <v>89</v>
      </c>
      <c r="O2" s="211" t="s">
        <v>165</v>
      </c>
      <c r="P2" s="211" t="s">
        <v>166</v>
      </c>
      <c r="Q2" s="211" t="s">
        <v>167</v>
      </c>
      <c r="R2" s="211" t="s">
        <v>168</v>
      </c>
      <c r="S2" s="211" t="s">
        <v>169</v>
      </c>
      <c r="T2" s="211" t="s">
        <v>170</v>
      </c>
      <c r="U2" s="211" t="s">
        <v>171</v>
      </c>
      <c r="V2" s="211" t="s">
        <v>172</v>
      </c>
      <c r="W2" s="211" t="s">
        <v>173</v>
      </c>
      <c r="X2" s="211" t="s">
        <v>174</v>
      </c>
      <c r="Y2" s="211" t="s">
        <v>175</v>
      </c>
      <c r="Z2" s="211" t="s">
        <v>176</v>
      </c>
      <c r="AA2" s="211" t="s">
        <v>177</v>
      </c>
      <c r="AB2" s="211" t="s">
        <v>178</v>
      </c>
      <c r="AC2" s="211" t="s">
        <v>179</v>
      </c>
      <c r="AD2" s="211" t="s">
        <v>195</v>
      </c>
      <c r="AE2" s="211" t="s">
        <v>196</v>
      </c>
      <c r="AF2" s="211" t="s">
        <v>197</v>
      </c>
      <c r="AG2" s="211" t="s">
        <v>198</v>
      </c>
      <c r="AH2" s="211" t="s">
        <v>234</v>
      </c>
      <c r="AI2" s="211" t="s">
        <v>235</v>
      </c>
      <c r="AJ2" s="211" t="s">
        <v>236</v>
      </c>
      <c r="AK2" s="211" t="s">
        <v>237</v>
      </c>
      <c r="AL2" s="211" t="s">
        <v>238</v>
      </c>
      <c r="AM2" s="211" t="s">
        <v>239</v>
      </c>
      <c r="AN2" s="212"/>
    </row>
    <row r="3" spans="1:54">
      <c r="D3" s="17">
        <v>41305</v>
      </c>
      <c r="E3" s="17">
        <f t="shared" ref="E3" si="0">EOMONTH(D3,1)</f>
        <v>41333</v>
      </c>
      <c r="F3" s="17">
        <f t="shared" ref="F3:G3" si="1">EOMONTH(E3,1)</f>
        <v>41364</v>
      </c>
      <c r="G3" s="17">
        <f t="shared" si="1"/>
        <v>41394</v>
      </c>
      <c r="H3" s="17">
        <f t="shared" ref="H3" si="2">EOMONTH(G3,1)</f>
        <v>41425</v>
      </c>
      <c r="I3" s="17">
        <f t="shared" ref="I3:J3" si="3">EOMONTH(H3,1)</f>
        <v>41455</v>
      </c>
      <c r="J3" s="17">
        <f t="shared" si="3"/>
        <v>41486</v>
      </c>
      <c r="K3" s="17">
        <f t="shared" ref="K3" si="4">EOMONTH(J3,1)</f>
        <v>41517</v>
      </c>
      <c r="L3" s="17">
        <f>EOMONTH(K3,1)</f>
        <v>41547</v>
      </c>
      <c r="M3" s="17">
        <f t="shared" ref="M3:O3" si="5">EOMONTH(L3,1)</f>
        <v>41578</v>
      </c>
      <c r="N3" s="17">
        <f t="shared" ref="N3" si="6">EOMONTH(M3,1)</f>
        <v>41608</v>
      </c>
      <c r="O3" s="17">
        <f t="shared" si="5"/>
        <v>41639</v>
      </c>
      <c r="P3" s="17">
        <f t="shared" ref="P3" si="7">EOMONTH(O3,1)</f>
        <v>41670</v>
      </c>
      <c r="Q3" s="17">
        <f t="shared" ref="Q3" si="8">EOMONTH(P3,1)</f>
        <v>41698</v>
      </c>
      <c r="R3" s="17">
        <f t="shared" ref="R3" si="9">EOMONTH(Q3,1)</f>
        <v>41729</v>
      </c>
      <c r="S3" s="17">
        <f t="shared" ref="S3" si="10">EOMONTH(R3,1)</f>
        <v>41759</v>
      </c>
      <c r="T3" s="17">
        <f t="shared" ref="T3" si="11">EOMONTH(S3,1)</f>
        <v>41790</v>
      </c>
      <c r="U3" s="17">
        <f t="shared" ref="U3" si="12">EOMONTH(T3,1)</f>
        <v>41820</v>
      </c>
      <c r="V3" s="17">
        <f t="shared" ref="V3" si="13">EOMONTH(U3,1)</f>
        <v>41851</v>
      </c>
      <c r="W3" s="17">
        <f t="shared" ref="W3" si="14">EOMONTH(V3,1)</f>
        <v>41882</v>
      </c>
      <c r="X3" s="17">
        <f t="shared" ref="X3" si="15">EOMONTH(W3,1)</f>
        <v>41912</v>
      </c>
      <c r="Y3" s="17">
        <f t="shared" ref="Y3" si="16">EOMONTH(X3,1)</f>
        <v>41943</v>
      </c>
      <c r="Z3" s="17">
        <f t="shared" ref="Z3" si="17">EOMONTH(Y3,1)</f>
        <v>41973</v>
      </c>
      <c r="AA3" s="17">
        <f t="shared" ref="AA3" si="18">EOMONTH(Z3,1)</f>
        <v>42004</v>
      </c>
      <c r="AB3" s="17">
        <f t="shared" ref="AB3" si="19">EOMONTH(AA3,1)</f>
        <v>42035</v>
      </c>
      <c r="AC3" s="17">
        <f t="shared" ref="AC3" si="20">EOMONTH(AB3,1)</f>
        <v>42063</v>
      </c>
      <c r="AD3" s="17">
        <f t="shared" ref="AD3" si="21">EOMONTH(AC3,1)</f>
        <v>42094</v>
      </c>
      <c r="AE3" s="17">
        <f t="shared" ref="AE3" si="22">EOMONTH(AD3,1)</f>
        <v>42124</v>
      </c>
      <c r="AF3" s="17">
        <f t="shared" ref="AF3" si="23">EOMONTH(AE3,1)</f>
        <v>42155</v>
      </c>
      <c r="AG3" s="17">
        <f t="shared" ref="AG3" si="24">EOMONTH(AF3,1)</f>
        <v>42185</v>
      </c>
      <c r="AH3" s="17">
        <f t="shared" ref="AH3" si="25">EOMONTH(AG3,1)</f>
        <v>42216</v>
      </c>
      <c r="AI3" s="17">
        <f t="shared" ref="AI3" si="26">EOMONTH(AH3,1)</f>
        <v>42247</v>
      </c>
      <c r="AJ3" s="17">
        <f t="shared" ref="AJ3" si="27">EOMONTH(AI3,1)</f>
        <v>42277</v>
      </c>
      <c r="AK3" s="17">
        <f t="shared" ref="AK3" si="28">EOMONTH(AJ3,1)</f>
        <v>42308</v>
      </c>
      <c r="AL3" s="17">
        <f t="shared" ref="AL3:AM3" si="29">EOMONTH(AK3,1)</f>
        <v>42338</v>
      </c>
      <c r="AM3" s="17">
        <f t="shared" si="29"/>
        <v>42369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>
      <c r="B4" s="3" t="s">
        <v>0</v>
      </c>
      <c r="C4" s="3" t="s">
        <v>34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s="36">
        <v>1</v>
      </c>
      <c r="B5" t="str">
        <f>Calculations!A8</f>
        <v>01007067</v>
      </c>
      <c r="C5" t="s">
        <v>272</v>
      </c>
      <c r="D5" s="11">
        <f>-Calculations!B8</f>
        <v>1935.28</v>
      </c>
      <c r="E5" s="11">
        <f>-Calculations!C8</f>
        <v>0</v>
      </c>
      <c r="F5" s="11">
        <f>-Calculations!D8</f>
        <v>94.86</v>
      </c>
      <c r="G5" s="11">
        <f>-Calculations!E8</f>
        <v>0</v>
      </c>
      <c r="H5" s="11">
        <f>-Calculations!F8</f>
        <v>-932.74</v>
      </c>
      <c r="I5" s="11">
        <f>-Calculations!G8</f>
        <v>-6595.94</v>
      </c>
      <c r="J5" s="11">
        <f>-Calculations!H8</f>
        <v>0</v>
      </c>
      <c r="K5" s="11">
        <f>-Calculations!I8</f>
        <v>0</v>
      </c>
      <c r="L5" s="11">
        <f>-Calculations!J8</f>
        <v>0</v>
      </c>
      <c r="M5" s="11">
        <f>-Calculations!K8</f>
        <v>0</v>
      </c>
      <c r="N5" s="11">
        <f>-Calculations!L8</f>
        <v>0</v>
      </c>
      <c r="O5" s="11">
        <f>-Calculations!M8</f>
        <v>0</v>
      </c>
      <c r="P5" s="11">
        <f>-Calculations!N8</f>
        <v>0</v>
      </c>
      <c r="Q5" s="11">
        <f>-Calculations!O8</f>
        <v>0</v>
      </c>
      <c r="R5" s="11">
        <f>-Calculations!P8</f>
        <v>0</v>
      </c>
      <c r="S5" s="11">
        <f>-Calculations!Q8</f>
        <v>0</v>
      </c>
      <c r="T5" s="11">
        <f>-Calculations!R8</f>
        <v>0</v>
      </c>
      <c r="U5" s="11">
        <f>-Calculations!S8</f>
        <v>0</v>
      </c>
      <c r="V5" s="11">
        <f>-Calculations!T8</f>
        <v>0</v>
      </c>
      <c r="W5" s="11">
        <f>-Calculations!U8</f>
        <v>0</v>
      </c>
      <c r="X5" s="11">
        <f>-Calculations!V8</f>
        <v>0</v>
      </c>
      <c r="Y5" s="11">
        <f>-Calculations!W8</f>
        <v>0</v>
      </c>
      <c r="Z5" s="11">
        <f>-Calculations!X8</f>
        <v>0</v>
      </c>
      <c r="AA5" s="11">
        <f>-Calculations!Y8</f>
        <v>0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>
      <c r="A6" s="36">
        <f>A5+1</f>
        <v>2</v>
      </c>
      <c r="B6" t="str">
        <f>Calculations!A9</f>
        <v>01008213</v>
      </c>
      <c r="C6" t="s">
        <v>273</v>
      </c>
      <c r="D6" s="11">
        <f>-Calculations!B9</f>
        <v>0</v>
      </c>
      <c r="E6" s="11">
        <f>-Calculations!C9</f>
        <v>4446.12</v>
      </c>
      <c r="F6" s="11">
        <f>-Calculations!D9</f>
        <v>0</v>
      </c>
      <c r="G6" s="11">
        <f>-Calculations!E9</f>
        <v>0</v>
      </c>
      <c r="H6" s="11">
        <f>-Calculations!F9</f>
        <v>0</v>
      </c>
      <c r="I6" s="11">
        <f>-Calculations!G9</f>
        <v>0</v>
      </c>
      <c r="J6" s="11">
        <f>-Calculations!H9</f>
        <v>0</v>
      </c>
      <c r="K6" s="11">
        <f>-Calculations!I9</f>
        <v>0</v>
      </c>
      <c r="L6" s="11">
        <f>-Calculations!J9</f>
        <v>0</v>
      </c>
      <c r="M6" s="11">
        <f>-Calculations!K9</f>
        <v>0</v>
      </c>
      <c r="N6" s="11">
        <f>-Calculations!L9</f>
        <v>0</v>
      </c>
      <c r="O6" s="11">
        <f>-Calculations!M9</f>
        <v>0</v>
      </c>
      <c r="P6" s="11">
        <f>-Calculations!N9</f>
        <v>0</v>
      </c>
      <c r="Q6" s="11">
        <f>-Calculations!O9</f>
        <v>0</v>
      </c>
      <c r="R6" s="11">
        <f>-Calculations!P9</f>
        <v>0</v>
      </c>
      <c r="S6" s="11">
        <f>-Calculations!Q9</f>
        <v>0</v>
      </c>
      <c r="T6" s="11">
        <f>-Calculations!R9</f>
        <v>0</v>
      </c>
      <c r="U6" s="11">
        <f>-Calculations!S9</f>
        <v>0</v>
      </c>
      <c r="V6" s="11">
        <f>-Calculations!T9</f>
        <v>0</v>
      </c>
      <c r="W6" s="11">
        <f>-Calculations!U9</f>
        <v>0</v>
      </c>
      <c r="X6" s="11">
        <f>-Calculations!V9</f>
        <v>0</v>
      </c>
      <c r="Y6" s="11">
        <f>-Calculations!W9</f>
        <v>0</v>
      </c>
      <c r="Z6" s="11">
        <f>-Calculations!X9</f>
        <v>0</v>
      </c>
      <c r="AA6" s="11">
        <f>-Calculations!Y9</f>
        <v>0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5" customFormat="1">
      <c r="A7" s="36">
        <f t="shared" ref="A7:A47" si="30">A6+1</f>
        <v>3</v>
      </c>
      <c r="B7" t="str">
        <f>Calculations!A10</f>
        <v>01009359</v>
      </c>
      <c r="C7" t="s">
        <v>274</v>
      </c>
      <c r="D7" s="11">
        <f>-Calculations!B10</f>
        <v>0</v>
      </c>
      <c r="E7" s="11">
        <f>-Calculations!C10</f>
        <v>14552.42</v>
      </c>
      <c r="F7" s="11">
        <f>-Calculations!D10</f>
        <v>0</v>
      </c>
      <c r="G7" s="11">
        <f>-Calculations!E10</f>
        <v>0</v>
      </c>
      <c r="H7" s="11">
        <f>-Calculations!F10</f>
        <v>-137.24</v>
      </c>
      <c r="I7" s="11">
        <f>-Calculations!G10</f>
        <v>0</v>
      </c>
      <c r="J7" s="11">
        <f>-Calculations!H10</f>
        <v>0</v>
      </c>
      <c r="K7" s="11">
        <f>-Calculations!I10</f>
        <v>0</v>
      </c>
      <c r="L7" s="11">
        <f>-Calculations!J10</f>
        <v>0</v>
      </c>
      <c r="M7" s="11">
        <f>-Calculations!K10</f>
        <v>0</v>
      </c>
      <c r="N7" s="11">
        <f>-Calculations!L10</f>
        <v>0</v>
      </c>
      <c r="O7" s="11">
        <f>-Calculations!M10</f>
        <v>0</v>
      </c>
      <c r="P7" s="11">
        <f>-Calculations!N10</f>
        <v>0</v>
      </c>
      <c r="Q7" s="11">
        <f>-Calculations!O10</f>
        <v>0</v>
      </c>
      <c r="R7" s="11">
        <f>-Calculations!P10</f>
        <v>0</v>
      </c>
      <c r="S7" s="11">
        <f>-Calculations!Q10</f>
        <v>0</v>
      </c>
      <c r="T7" s="11">
        <f>-Calculations!R10</f>
        <v>0</v>
      </c>
      <c r="U7" s="11">
        <f>-Calculations!S10</f>
        <v>0</v>
      </c>
      <c r="V7" s="11">
        <f>-Calculations!T10</f>
        <v>0</v>
      </c>
      <c r="W7" s="11">
        <f>-Calculations!U10</f>
        <v>0</v>
      </c>
      <c r="X7" s="11">
        <f>-Calculations!V10</f>
        <v>0</v>
      </c>
      <c r="Y7" s="11">
        <f>-Calculations!W10</f>
        <v>0</v>
      </c>
      <c r="Z7" s="11">
        <f>-Calculations!X10</f>
        <v>0</v>
      </c>
      <c r="AA7" s="11">
        <f>-Calculations!Y10</f>
        <v>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54" s="5" customFormat="1">
      <c r="A8" s="36">
        <f t="shared" si="30"/>
        <v>4</v>
      </c>
      <c r="B8" t="str">
        <f>Calculations!A11</f>
        <v>01009663</v>
      </c>
      <c r="C8" t="s">
        <v>275</v>
      </c>
      <c r="D8" s="11">
        <f>-Calculations!B11</f>
        <v>0</v>
      </c>
      <c r="E8" s="11">
        <f>-Calculations!C11</f>
        <v>924.94</v>
      </c>
      <c r="F8" s="11">
        <f>-Calculations!D11</f>
        <v>0</v>
      </c>
      <c r="G8" s="11">
        <f>-Calculations!E11</f>
        <v>0</v>
      </c>
      <c r="H8" s="11">
        <f>-Calculations!F11</f>
        <v>0</v>
      </c>
      <c r="I8" s="11">
        <f>-Calculations!G11</f>
        <v>0</v>
      </c>
      <c r="J8" s="11">
        <f>-Calculations!H11</f>
        <v>0</v>
      </c>
      <c r="K8" s="11">
        <f>-Calculations!I11</f>
        <v>0</v>
      </c>
      <c r="L8" s="11">
        <f>-Calculations!J11</f>
        <v>0</v>
      </c>
      <c r="M8" s="11">
        <f>-Calculations!K11</f>
        <v>1609.34</v>
      </c>
      <c r="N8" s="11">
        <f>-Calculations!L11</f>
        <v>0</v>
      </c>
      <c r="O8" s="11">
        <f>-Calculations!M11</f>
        <v>0</v>
      </c>
      <c r="P8" s="11">
        <f>-Calculations!N11</f>
        <v>0</v>
      </c>
      <c r="Q8" s="11">
        <f>-Calculations!O11</f>
        <v>0</v>
      </c>
      <c r="R8" s="11">
        <f>-Calculations!P11</f>
        <v>0</v>
      </c>
      <c r="S8" s="11">
        <f>-Calculations!Q11</f>
        <v>127.45</v>
      </c>
      <c r="T8" s="11">
        <f>-Calculations!R11</f>
        <v>0</v>
      </c>
      <c r="U8" s="11">
        <f>-Calculations!S11</f>
        <v>0</v>
      </c>
      <c r="V8" s="11">
        <f>-Calculations!T11</f>
        <v>0</v>
      </c>
      <c r="W8" s="11">
        <f>-Calculations!U11</f>
        <v>0</v>
      </c>
      <c r="X8" s="11">
        <f>-Calculations!V11</f>
        <v>0</v>
      </c>
      <c r="Y8" s="11">
        <f>-Calculations!W11</f>
        <v>0</v>
      </c>
      <c r="Z8" s="11">
        <f>-Calculations!X11</f>
        <v>0</v>
      </c>
      <c r="AA8" s="11">
        <f>-Calculations!Y11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54" s="5" customFormat="1">
      <c r="A9" s="36">
        <f t="shared" si="30"/>
        <v>5</v>
      </c>
      <c r="B9" t="str">
        <f>Calculations!A12</f>
        <v>01009666</v>
      </c>
      <c r="C9" t="s">
        <v>276</v>
      </c>
      <c r="D9" s="11">
        <f>-Calculations!B12</f>
        <v>-747.59</v>
      </c>
      <c r="E9" s="11">
        <f>-Calculations!C12</f>
        <v>0</v>
      </c>
      <c r="F9" s="11">
        <f>-Calculations!D12</f>
        <v>5015.47</v>
      </c>
      <c r="G9" s="11">
        <f>-Calculations!E12</f>
        <v>4438.34</v>
      </c>
      <c r="H9" s="11">
        <f>-Calculations!F12</f>
        <v>-124942.86</v>
      </c>
      <c r="I9" s="11">
        <f>-Calculations!G12</f>
        <v>-1275.57</v>
      </c>
      <c r="J9" s="11">
        <f>-Calculations!H12</f>
        <v>0</v>
      </c>
      <c r="K9" s="11">
        <f>-Calculations!I12</f>
        <v>0</v>
      </c>
      <c r="L9" s="11">
        <f>-Calculations!J12</f>
        <v>0</v>
      </c>
      <c r="M9" s="11">
        <f>-Calculations!K12</f>
        <v>0</v>
      </c>
      <c r="N9" s="11">
        <f>-Calculations!L12</f>
        <v>0</v>
      </c>
      <c r="O9" s="11">
        <f>-Calculations!M12</f>
        <v>0</v>
      </c>
      <c r="P9" s="11">
        <f>-Calculations!N12</f>
        <v>0</v>
      </c>
      <c r="Q9" s="11">
        <f>-Calculations!O12</f>
        <v>0</v>
      </c>
      <c r="R9" s="11">
        <f>-Calculations!P12</f>
        <v>0</v>
      </c>
      <c r="S9" s="11">
        <f>-Calculations!Q12</f>
        <v>375.98</v>
      </c>
      <c r="T9" s="11">
        <f>-Calculations!R12</f>
        <v>0</v>
      </c>
      <c r="U9" s="11">
        <f>-Calculations!S12</f>
        <v>0.35</v>
      </c>
      <c r="V9" s="11">
        <f>-Calculations!T12</f>
        <v>0</v>
      </c>
      <c r="W9" s="11">
        <f>-Calculations!U12</f>
        <v>0</v>
      </c>
      <c r="X9" s="11">
        <f>-Calculations!V12</f>
        <v>0</v>
      </c>
      <c r="Y9" s="11">
        <f>-Calculations!W12</f>
        <v>0</v>
      </c>
      <c r="Z9" s="11">
        <f>-Calculations!X12</f>
        <v>0</v>
      </c>
      <c r="AA9" s="11">
        <f>-Calculations!Y12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54" s="5" customFormat="1">
      <c r="A10" s="36">
        <f t="shared" si="30"/>
        <v>6</v>
      </c>
      <c r="B10" t="str">
        <f>Calculations!A13</f>
        <v>01010104</v>
      </c>
      <c r="C10" t="s">
        <v>277</v>
      </c>
      <c r="D10" s="11">
        <f>-Calculations!B13</f>
        <v>0</v>
      </c>
      <c r="E10" s="11">
        <f>-Calculations!C13</f>
        <v>0</v>
      </c>
      <c r="F10" s="11">
        <f>-Calculations!D13</f>
        <v>90000</v>
      </c>
      <c r="G10" s="11">
        <f>-Calculations!E13</f>
        <v>0</v>
      </c>
      <c r="H10" s="11">
        <f>-Calculations!F13</f>
        <v>0</v>
      </c>
      <c r="I10" s="11">
        <f>-Calculations!G13</f>
        <v>11030733.41</v>
      </c>
      <c r="J10" s="11">
        <f>-Calculations!H13</f>
        <v>0</v>
      </c>
      <c r="K10" s="11">
        <f>-Calculations!I13</f>
        <v>1127579.21</v>
      </c>
      <c r="L10" s="11">
        <f>-Calculations!J13</f>
        <v>37564.730000000003</v>
      </c>
      <c r="M10" s="11">
        <f>-Calculations!K13</f>
        <v>1688510.1199999999</v>
      </c>
      <c r="N10" s="11">
        <f>-Calculations!L13</f>
        <v>-48138.68</v>
      </c>
      <c r="O10" s="11">
        <f>-Calculations!M13</f>
        <v>51285.11</v>
      </c>
      <c r="P10" s="11">
        <f>-Calculations!N13</f>
        <v>-108732.58</v>
      </c>
      <c r="Q10" s="11">
        <f>-Calculations!O13</f>
        <v>33836.92</v>
      </c>
      <c r="R10" s="11">
        <f>-Calculations!P13</f>
        <v>29899.079999999998</v>
      </c>
      <c r="S10" s="11">
        <f>-Calculations!Q13</f>
        <v>1593.1</v>
      </c>
      <c r="T10" s="11">
        <f>-Calculations!R13</f>
        <v>-92208.639999999999</v>
      </c>
      <c r="U10" s="11">
        <f>-Calculations!S13</f>
        <v>-6540.69</v>
      </c>
      <c r="V10" s="11">
        <f>-Calculations!T13</f>
        <v>1117.8800000000001</v>
      </c>
      <c r="W10" s="11">
        <f>-Calculations!U13</f>
        <v>0</v>
      </c>
      <c r="X10" s="11">
        <f>-Calculations!V13</f>
        <v>0</v>
      </c>
      <c r="Y10" s="11">
        <f>-Calculations!W13</f>
        <v>0</v>
      </c>
      <c r="Z10" s="11">
        <f>-Calculations!X13</f>
        <v>0</v>
      </c>
      <c r="AA10" s="11">
        <f>-Calculations!Y13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4" s="5" customFormat="1">
      <c r="A11" s="36">
        <f t="shared" si="30"/>
        <v>7</v>
      </c>
      <c r="B11" t="str">
        <f>Calculations!A14</f>
        <v>01010105</v>
      </c>
      <c r="C11" t="s">
        <v>278</v>
      </c>
      <c r="D11" s="11">
        <f>-Calculations!B14</f>
        <v>0</v>
      </c>
      <c r="E11" s="11">
        <f>-Calculations!C14</f>
        <v>0</v>
      </c>
      <c r="F11" s="11">
        <f>-Calculations!D14</f>
        <v>0</v>
      </c>
      <c r="G11" s="11">
        <f>-Calculations!E14</f>
        <v>0</v>
      </c>
      <c r="H11" s="11">
        <f>-Calculations!F14</f>
        <v>0</v>
      </c>
      <c r="I11" s="11">
        <f>-Calculations!G14</f>
        <v>0</v>
      </c>
      <c r="J11" s="11">
        <f>-Calculations!H14</f>
        <v>0</v>
      </c>
      <c r="K11" s="11">
        <f>-Calculations!I14</f>
        <v>7619565.4199999999</v>
      </c>
      <c r="L11" s="11">
        <f>-Calculations!J14</f>
        <v>0</v>
      </c>
      <c r="M11" s="11">
        <f>-Calculations!K14</f>
        <v>591916.64</v>
      </c>
      <c r="N11" s="11">
        <f>-Calculations!L14</f>
        <v>0</v>
      </c>
      <c r="O11" s="11">
        <f>-Calculations!M14</f>
        <v>359986.8</v>
      </c>
      <c r="P11" s="11">
        <f>-Calculations!N14</f>
        <v>0</v>
      </c>
      <c r="Q11" s="11">
        <f>-Calculations!O14</f>
        <v>76662.2</v>
      </c>
      <c r="R11" s="11">
        <f>-Calculations!P14</f>
        <v>3482.01</v>
      </c>
      <c r="S11" s="11">
        <f>-Calculations!Q14</f>
        <v>29315.26</v>
      </c>
      <c r="T11" s="11">
        <f>-Calculations!R14</f>
        <v>-85935.03</v>
      </c>
      <c r="U11" s="11">
        <f>-Calculations!S14</f>
        <v>-3871.31</v>
      </c>
      <c r="V11" s="11">
        <f>-Calculations!T14</f>
        <v>0</v>
      </c>
      <c r="W11" s="11">
        <f>-Calculations!U14</f>
        <v>0</v>
      </c>
      <c r="X11" s="11">
        <f>-Calculations!V14</f>
        <v>0</v>
      </c>
      <c r="Y11" s="11">
        <f>-Calculations!W14</f>
        <v>0</v>
      </c>
      <c r="Z11" s="11">
        <f>-Calculations!X14</f>
        <v>0</v>
      </c>
      <c r="AA11" s="11">
        <f>-Calculations!Y14</f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54" s="5" customFormat="1">
      <c r="A12" s="36">
        <f t="shared" si="30"/>
        <v>8</v>
      </c>
      <c r="B12" t="str">
        <f>Calculations!A15</f>
        <v>01010132</v>
      </c>
      <c r="C12" t="s">
        <v>279</v>
      </c>
      <c r="D12" s="11">
        <f>-Calculations!B15</f>
        <v>-10946.43</v>
      </c>
      <c r="E12" s="11">
        <f>-Calculations!C15</f>
        <v>0</v>
      </c>
      <c r="F12" s="11">
        <f>-Calculations!D15</f>
        <v>-471.95</v>
      </c>
      <c r="G12" s="11">
        <f>-Calculations!E15</f>
        <v>0</v>
      </c>
      <c r="H12" s="11">
        <f>-Calculations!F15</f>
        <v>-26873.5</v>
      </c>
      <c r="I12" s="11">
        <f>-Calculations!G15</f>
        <v>5702.03</v>
      </c>
      <c r="J12" s="11">
        <f>-Calculations!H15</f>
        <v>0</v>
      </c>
      <c r="K12" s="11">
        <f>-Calculations!I15</f>
        <v>0</v>
      </c>
      <c r="L12" s="11">
        <f>-Calculations!J15</f>
        <v>0</v>
      </c>
      <c r="M12" s="11">
        <f>-Calculations!K15</f>
        <v>0</v>
      </c>
      <c r="N12" s="11">
        <f>-Calculations!L15</f>
        <v>0</v>
      </c>
      <c r="O12" s="11">
        <f>-Calculations!M15</f>
        <v>0</v>
      </c>
      <c r="P12" s="11">
        <f>-Calculations!N15</f>
        <v>0</v>
      </c>
      <c r="Q12" s="11">
        <f>-Calculations!O15</f>
        <v>0</v>
      </c>
      <c r="R12" s="11">
        <f>-Calculations!P15</f>
        <v>0</v>
      </c>
      <c r="S12" s="11">
        <f>-Calculations!Q15</f>
        <v>0</v>
      </c>
      <c r="T12" s="11">
        <f>-Calculations!R15</f>
        <v>0</v>
      </c>
      <c r="U12" s="11">
        <f>-Calculations!S15</f>
        <v>0</v>
      </c>
      <c r="V12" s="11">
        <f>-Calculations!T15</f>
        <v>0</v>
      </c>
      <c r="W12" s="11">
        <f>-Calculations!U15</f>
        <v>0</v>
      </c>
      <c r="X12" s="11">
        <f>-Calculations!V15</f>
        <v>0</v>
      </c>
      <c r="Y12" s="11">
        <f>-Calculations!W15</f>
        <v>0</v>
      </c>
      <c r="Z12" s="11">
        <f>-Calculations!X15</f>
        <v>0</v>
      </c>
      <c r="AA12" s="11">
        <f>-Calculations!Y15</f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54" s="5" customFormat="1">
      <c r="A13" s="36">
        <f t="shared" si="30"/>
        <v>9</v>
      </c>
      <c r="B13" t="str">
        <f>Calculations!A16</f>
        <v>01040064</v>
      </c>
      <c r="C13" t="s">
        <v>280</v>
      </c>
      <c r="D13" s="11">
        <f>-Calculations!B16</f>
        <v>0</v>
      </c>
      <c r="E13" s="11">
        <f>-Calculations!C16</f>
        <v>0</v>
      </c>
      <c r="F13" s="11">
        <f>-Calculations!D16</f>
        <v>0</v>
      </c>
      <c r="G13" s="11">
        <f>-Calculations!E16</f>
        <v>0</v>
      </c>
      <c r="H13" s="11">
        <f>-Calculations!F16</f>
        <v>0</v>
      </c>
      <c r="I13" s="11">
        <f>-Calculations!G16</f>
        <v>0</v>
      </c>
      <c r="J13" s="11">
        <f>-Calculations!H16</f>
        <v>0</v>
      </c>
      <c r="K13" s="11">
        <f>-Calculations!I16</f>
        <v>-5516.83</v>
      </c>
      <c r="L13" s="11">
        <f>-Calculations!J16</f>
        <v>0</v>
      </c>
      <c r="M13" s="11">
        <f>-Calculations!K16</f>
        <v>0</v>
      </c>
      <c r="N13" s="11">
        <f>-Calculations!L16</f>
        <v>0</v>
      </c>
      <c r="O13" s="11">
        <f>-Calculations!M16</f>
        <v>0</v>
      </c>
      <c r="P13" s="11">
        <f>-Calculations!N16</f>
        <v>0</v>
      </c>
      <c r="Q13" s="11">
        <f>-Calculations!O16</f>
        <v>0</v>
      </c>
      <c r="R13" s="11">
        <f>-Calculations!P16</f>
        <v>0</v>
      </c>
      <c r="S13" s="11">
        <f>-Calculations!Q16</f>
        <v>0</v>
      </c>
      <c r="T13" s="11">
        <f>-Calculations!R16</f>
        <v>0</v>
      </c>
      <c r="U13" s="11">
        <f>-Calculations!S16</f>
        <v>0</v>
      </c>
      <c r="V13" s="11">
        <f>-Calculations!T16</f>
        <v>0</v>
      </c>
      <c r="W13" s="11">
        <f>-Calculations!U16</f>
        <v>0</v>
      </c>
      <c r="X13" s="11">
        <f>-Calculations!V16</f>
        <v>0</v>
      </c>
      <c r="Y13" s="11">
        <f>-Calculations!W16</f>
        <v>0</v>
      </c>
      <c r="Z13" s="11">
        <f>-Calculations!X16</f>
        <v>0</v>
      </c>
      <c r="AA13" s="11">
        <f>-Calculations!Y16</f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4" s="5" customFormat="1">
      <c r="A14" s="36">
        <f t="shared" si="30"/>
        <v>10</v>
      </c>
      <c r="B14" t="str">
        <f>Calculations!A17</f>
        <v>01040158</v>
      </c>
      <c r="C14" t="s">
        <v>281</v>
      </c>
      <c r="D14" s="11">
        <f>-Calculations!B17</f>
        <v>0</v>
      </c>
      <c r="E14" s="11">
        <f>-Calculations!C17</f>
        <v>0</v>
      </c>
      <c r="F14" s="11">
        <f>-Calculations!D17</f>
        <v>0</v>
      </c>
      <c r="G14" s="11">
        <f>-Calculations!E17</f>
        <v>0</v>
      </c>
      <c r="H14" s="11">
        <f>-Calculations!F17</f>
        <v>0</v>
      </c>
      <c r="I14" s="11">
        <f>-Calculations!G17</f>
        <v>0</v>
      </c>
      <c r="J14" s="11">
        <f>-Calculations!H17</f>
        <v>0</v>
      </c>
      <c r="K14" s="11">
        <f>-Calculations!I17</f>
        <v>10293560.970000001</v>
      </c>
      <c r="L14" s="11">
        <f>-Calculations!J17</f>
        <v>0</v>
      </c>
      <c r="M14" s="11">
        <f>-Calculations!K17</f>
        <v>-580413.11</v>
      </c>
      <c r="N14" s="11">
        <f>-Calculations!L17</f>
        <v>0</v>
      </c>
      <c r="O14" s="11">
        <f>-Calculations!M17</f>
        <v>153193.53</v>
      </c>
      <c r="P14" s="11">
        <f>-Calculations!N17</f>
        <v>0</v>
      </c>
      <c r="Q14" s="11">
        <f>-Calculations!O17</f>
        <v>203715.43</v>
      </c>
      <c r="R14" s="11">
        <f>-Calculations!P17</f>
        <v>23903.59</v>
      </c>
      <c r="S14" s="11">
        <f>-Calculations!Q17</f>
        <v>0</v>
      </c>
      <c r="T14" s="11">
        <f>-Calculations!R17</f>
        <v>-113003.06</v>
      </c>
      <c r="U14" s="11">
        <f>-Calculations!S17</f>
        <v>0</v>
      </c>
      <c r="V14" s="11">
        <f>-Calculations!T17</f>
        <v>0</v>
      </c>
      <c r="W14" s="11">
        <f>-Calculations!U17</f>
        <v>0</v>
      </c>
      <c r="X14" s="11">
        <f>-Calculations!V17</f>
        <v>0</v>
      </c>
      <c r="Y14" s="11">
        <f>-Calculations!W17</f>
        <v>0</v>
      </c>
      <c r="Z14" s="11">
        <f>-Calculations!X17</f>
        <v>0</v>
      </c>
      <c r="AA14" s="11">
        <f>-Calculations!Y17</f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54" s="5" customFormat="1">
      <c r="A15" s="36">
        <f t="shared" si="30"/>
        <v>11</v>
      </c>
      <c r="B15" t="str">
        <f>Calculations!A18</f>
        <v>01040177</v>
      </c>
      <c r="C15" t="s">
        <v>282</v>
      </c>
      <c r="D15" s="11">
        <f>-Calculations!B18</f>
        <v>25.33</v>
      </c>
      <c r="E15" s="11">
        <f>-Calculations!C18</f>
        <v>0</v>
      </c>
      <c r="F15" s="11">
        <f>-Calculations!D18</f>
        <v>5.45</v>
      </c>
      <c r="G15" s="11">
        <f>-Calculations!E18</f>
        <v>0</v>
      </c>
      <c r="H15" s="11">
        <f>-Calculations!F18</f>
        <v>0</v>
      </c>
      <c r="I15" s="11">
        <f>-Calculations!G18</f>
        <v>0</v>
      </c>
      <c r="J15" s="11">
        <f>-Calculations!H18</f>
        <v>0</v>
      </c>
      <c r="K15" s="11">
        <f>-Calculations!I18</f>
        <v>0</v>
      </c>
      <c r="L15" s="11">
        <f>-Calculations!J18</f>
        <v>0</v>
      </c>
      <c r="M15" s="11">
        <f>-Calculations!K18</f>
        <v>0</v>
      </c>
      <c r="N15" s="11">
        <f>-Calculations!L18</f>
        <v>0</v>
      </c>
      <c r="O15" s="11">
        <f>-Calculations!M18</f>
        <v>0</v>
      </c>
      <c r="P15" s="11">
        <f>-Calculations!N18</f>
        <v>0</v>
      </c>
      <c r="Q15" s="11">
        <f>-Calculations!O18</f>
        <v>0</v>
      </c>
      <c r="R15" s="11">
        <f>-Calculations!P18</f>
        <v>0</v>
      </c>
      <c r="S15" s="11">
        <f>-Calculations!Q18</f>
        <v>0</v>
      </c>
      <c r="T15" s="11">
        <f>-Calculations!R18</f>
        <v>0</v>
      </c>
      <c r="U15" s="11">
        <f>-Calculations!S18</f>
        <v>0</v>
      </c>
      <c r="V15" s="11">
        <f>-Calculations!T18</f>
        <v>0</v>
      </c>
      <c r="W15" s="11">
        <f>-Calculations!U18</f>
        <v>0</v>
      </c>
      <c r="X15" s="11">
        <f>-Calculations!V18</f>
        <v>0</v>
      </c>
      <c r="Y15" s="11">
        <f>-Calculations!W18</f>
        <v>0</v>
      </c>
      <c r="Z15" s="11">
        <f>-Calculations!X18</f>
        <v>0</v>
      </c>
      <c r="AA15" s="11">
        <f>-Calculations!Y18</f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54" s="5" customFormat="1">
      <c r="A16" s="36">
        <f t="shared" si="30"/>
        <v>12</v>
      </c>
      <c r="B16" t="str">
        <f>Calculations!A19</f>
        <v>01040200</v>
      </c>
      <c r="C16" t="s">
        <v>283</v>
      </c>
      <c r="D16" s="11">
        <f>-Calculations!B19</f>
        <v>0</v>
      </c>
      <c r="E16" s="11">
        <f>-Calculations!C19</f>
        <v>0</v>
      </c>
      <c r="F16" s="11">
        <f>-Calculations!D19</f>
        <v>0</v>
      </c>
      <c r="G16" s="11">
        <f>-Calculations!E19</f>
        <v>0</v>
      </c>
      <c r="H16" s="11">
        <f>-Calculations!F19</f>
        <v>0</v>
      </c>
      <c r="I16" s="11">
        <f>-Calculations!G19</f>
        <v>0</v>
      </c>
      <c r="J16" s="11">
        <f>-Calculations!H19</f>
        <v>0</v>
      </c>
      <c r="K16" s="11">
        <f>-Calculations!I19</f>
        <v>0</v>
      </c>
      <c r="L16" s="11">
        <f>-Calculations!J19</f>
        <v>0</v>
      </c>
      <c r="M16" s="11">
        <f>-Calculations!K19</f>
        <v>0</v>
      </c>
      <c r="N16" s="11">
        <f>-Calculations!L19</f>
        <v>0</v>
      </c>
      <c r="O16" s="11">
        <f>-Calculations!M19</f>
        <v>0</v>
      </c>
      <c r="P16" s="11">
        <f>-Calculations!N19</f>
        <v>0</v>
      </c>
      <c r="Q16" s="11">
        <f>-Calculations!O19</f>
        <v>0</v>
      </c>
      <c r="R16" s="11">
        <f>-Calculations!P19</f>
        <v>0</v>
      </c>
      <c r="S16" s="11">
        <f>-Calculations!Q19</f>
        <v>0</v>
      </c>
      <c r="T16" s="11">
        <f>-Calculations!R19</f>
        <v>0</v>
      </c>
      <c r="U16" s="11">
        <f>-Calculations!S19</f>
        <v>0</v>
      </c>
      <c r="V16" s="11">
        <f>-Calculations!T19</f>
        <v>0</v>
      </c>
      <c r="W16" s="11">
        <f>-Calculations!U19</f>
        <v>0</v>
      </c>
      <c r="X16" s="11">
        <f>-Calculations!V19</f>
        <v>316462.44</v>
      </c>
      <c r="Y16" s="11">
        <f>-Calculations!W19</f>
        <v>0</v>
      </c>
      <c r="Z16" s="11">
        <f>-Calculations!X19</f>
        <v>0</v>
      </c>
      <c r="AA16" s="11">
        <f>-Calculations!Y19</f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>
      <c r="A17" s="36">
        <f t="shared" si="30"/>
        <v>13</v>
      </c>
      <c r="B17" t="str">
        <f>Calculations!A20</f>
        <v>01040251</v>
      </c>
      <c r="C17" t="s">
        <v>284</v>
      </c>
      <c r="D17" s="11">
        <f>-Calculations!B20</f>
        <v>0</v>
      </c>
      <c r="E17" s="11">
        <f>-Calculations!C20</f>
        <v>0</v>
      </c>
      <c r="F17" s="11">
        <f>-Calculations!D20</f>
        <v>0</v>
      </c>
      <c r="G17" s="11">
        <f>-Calculations!E20</f>
        <v>0</v>
      </c>
      <c r="H17" s="11">
        <f>-Calculations!F20</f>
        <v>102844.65</v>
      </c>
      <c r="I17" s="11">
        <f>-Calculations!G20</f>
        <v>0</v>
      </c>
      <c r="J17" s="11">
        <f>-Calculations!H20</f>
        <v>0</v>
      </c>
      <c r="K17" s="11">
        <f>-Calculations!I20</f>
        <v>0</v>
      </c>
      <c r="L17" s="11">
        <f>-Calculations!J20</f>
        <v>0</v>
      </c>
      <c r="M17" s="11">
        <f>-Calculations!K20</f>
        <v>0</v>
      </c>
      <c r="N17" s="11">
        <f>-Calculations!L20</f>
        <v>0</v>
      </c>
      <c r="O17" s="11">
        <f>-Calculations!M20</f>
        <v>0</v>
      </c>
      <c r="P17" s="11">
        <f>-Calculations!N20</f>
        <v>0</v>
      </c>
      <c r="Q17" s="11">
        <f>-Calculations!O20</f>
        <v>0</v>
      </c>
      <c r="R17" s="11">
        <f>-Calculations!P20</f>
        <v>0</v>
      </c>
      <c r="S17" s="11">
        <f>-Calculations!Q20</f>
        <v>0</v>
      </c>
      <c r="T17" s="11">
        <f>-Calculations!R20</f>
        <v>0</v>
      </c>
      <c r="U17" s="11">
        <f>-Calculations!S20</f>
        <v>0</v>
      </c>
      <c r="V17" s="11">
        <f>-Calculations!T20</f>
        <v>0</v>
      </c>
      <c r="W17" s="11">
        <f>-Calculations!U20</f>
        <v>0</v>
      </c>
      <c r="X17" s="11">
        <f>-Calculations!V20</f>
        <v>0</v>
      </c>
      <c r="Y17" s="11">
        <f>-Calculations!W20</f>
        <v>0</v>
      </c>
      <c r="Z17" s="11">
        <f>-Calculations!X20</f>
        <v>0</v>
      </c>
      <c r="AA17" s="11">
        <f>-Calculations!Y20</f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5" customFormat="1">
      <c r="A18" s="36">
        <f t="shared" si="30"/>
        <v>14</v>
      </c>
      <c r="B18" t="str">
        <f>Calculations!A21</f>
        <v>01040277</v>
      </c>
      <c r="C18" t="s">
        <v>210</v>
      </c>
      <c r="D18" s="11">
        <f>-Calculations!B21</f>
        <v>0</v>
      </c>
      <c r="E18" s="11">
        <f>-Calculations!C21</f>
        <v>0</v>
      </c>
      <c r="F18" s="11">
        <f>-Calculations!D21</f>
        <v>135022.32</v>
      </c>
      <c r="G18" s="11">
        <f>-Calculations!E21</f>
        <v>0</v>
      </c>
      <c r="H18" s="11">
        <f>-Calculations!F21</f>
        <v>558295.25</v>
      </c>
      <c r="I18" s="11">
        <f>-Calculations!G21</f>
        <v>636.79</v>
      </c>
      <c r="J18" s="11">
        <f>-Calculations!H21</f>
        <v>4266.7299999999996</v>
      </c>
      <c r="K18" s="11">
        <f>-Calculations!I21</f>
        <v>0</v>
      </c>
      <c r="L18" s="11">
        <f>-Calculations!J21</f>
        <v>0</v>
      </c>
      <c r="M18" s="11">
        <f>-Calculations!K21</f>
        <v>-288132.25</v>
      </c>
      <c r="N18" s="11">
        <f>-Calculations!L21</f>
        <v>242.99</v>
      </c>
      <c r="O18" s="11">
        <f>-Calculations!M21</f>
        <v>30595.25</v>
      </c>
      <c r="P18" s="11">
        <f>-Calculations!N21</f>
        <v>11883.02</v>
      </c>
      <c r="Q18" s="11">
        <f>-Calculations!O21</f>
        <v>0</v>
      </c>
      <c r="R18" s="11">
        <f>-Calculations!P21</f>
        <v>-31881.99</v>
      </c>
      <c r="S18" s="11">
        <f>-Calculations!Q21</f>
        <v>0</v>
      </c>
      <c r="T18" s="11">
        <f>-Calculations!R21</f>
        <v>-2087.6799999999998</v>
      </c>
      <c r="U18" s="11">
        <f>-Calculations!S21</f>
        <v>49.91</v>
      </c>
      <c r="V18" s="11">
        <f>-Calculations!T21</f>
        <v>-4488.92</v>
      </c>
      <c r="W18" s="11">
        <f>-Calculations!U21</f>
        <v>0</v>
      </c>
      <c r="X18" s="11">
        <f>-Calculations!V21</f>
        <v>118.82</v>
      </c>
      <c r="Y18" s="11">
        <f>-Calculations!W21</f>
        <v>0</v>
      </c>
      <c r="Z18" s="11">
        <f>-Calculations!X21</f>
        <v>0</v>
      </c>
      <c r="AA18" s="11">
        <f>-Calculations!Y21</f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5" customFormat="1">
      <c r="A19" s="36">
        <f t="shared" si="30"/>
        <v>15</v>
      </c>
      <c r="B19" t="str">
        <f>Calculations!A22</f>
        <v>01040420</v>
      </c>
      <c r="C19" t="s">
        <v>285</v>
      </c>
      <c r="D19" s="11">
        <f>-Calculations!B22</f>
        <v>0</v>
      </c>
      <c r="E19" s="11">
        <f>-Calculations!C22</f>
        <v>0</v>
      </c>
      <c r="F19" s="11">
        <f>-Calculations!D22</f>
        <v>1988.66</v>
      </c>
      <c r="G19" s="11">
        <f>-Calculations!E22</f>
        <v>0</v>
      </c>
      <c r="H19" s="11">
        <f>-Calculations!F22</f>
        <v>139.21</v>
      </c>
      <c r="I19" s="11">
        <f>-Calculations!G22</f>
        <v>0</v>
      </c>
      <c r="J19" s="11">
        <f>-Calculations!H22</f>
        <v>0</v>
      </c>
      <c r="K19" s="11">
        <f>-Calculations!I22</f>
        <v>0</v>
      </c>
      <c r="L19" s="11">
        <f>-Calculations!J22</f>
        <v>0</v>
      </c>
      <c r="M19" s="11">
        <f>-Calculations!K22</f>
        <v>0</v>
      </c>
      <c r="N19" s="11">
        <f>-Calculations!L22</f>
        <v>0</v>
      </c>
      <c r="O19" s="11">
        <f>-Calculations!M22</f>
        <v>0</v>
      </c>
      <c r="P19" s="11">
        <f>-Calculations!N22</f>
        <v>0</v>
      </c>
      <c r="Q19" s="11">
        <f>-Calculations!O22</f>
        <v>0</v>
      </c>
      <c r="R19" s="11">
        <f>-Calculations!P22</f>
        <v>0</v>
      </c>
      <c r="S19" s="11">
        <f>-Calculations!Q22</f>
        <v>0</v>
      </c>
      <c r="T19" s="11">
        <f>-Calculations!R22</f>
        <v>0</v>
      </c>
      <c r="U19" s="11">
        <f>-Calculations!S22</f>
        <v>0</v>
      </c>
      <c r="V19" s="11">
        <f>-Calculations!T22</f>
        <v>0</v>
      </c>
      <c r="W19" s="11">
        <f>-Calculations!U22</f>
        <v>0</v>
      </c>
      <c r="X19" s="11">
        <f>-Calculations!V22</f>
        <v>0</v>
      </c>
      <c r="Y19" s="11">
        <f>-Calculations!W22</f>
        <v>0</v>
      </c>
      <c r="Z19" s="11">
        <f>-Calculations!X22</f>
        <v>0</v>
      </c>
      <c r="AA19" s="11">
        <f>-Calculations!Y22</f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5" customFormat="1">
      <c r="A20" s="36">
        <f t="shared" si="30"/>
        <v>16</v>
      </c>
      <c r="B20" t="str">
        <f>Calculations!A23</f>
        <v>01040493</v>
      </c>
      <c r="C20" t="s">
        <v>286</v>
      </c>
      <c r="D20" s="11">
        <f>-Calculations!B23</f>
        <v>7261.96</v>
      </c>
      <c r="E20" s="11">
        <f>-Calculations!C23</f>
        <v>0</v>
      </c>
      <c r="F20" s="11">
        <f>-Calculations!D23</f>
        <v>355.98</v>
      </c>
      <c r="G20" s="11">
        <f>-Calculations!E23</f>
        <v>0</v>
      </c>
      <c r="H20" s="11">
        <f>-Calculations!F23</f>
        <v>-2276.85</v>
      </c>
      <c r="I20" s="11">
        <f>-Calculations!G23</f>
        <v>0</v>
      </c>
      <c r="J20" s="11">
        <f>-Calculations!H23</f>
        <v>2276.85</v>
      </c>
      <c r="K20" s="11">
        <f>-Calculations!I23</f>
        <v>0</v>
      </c>
      <c r="L20" s="11">
        <f>-Calculations!J23</f>
        <v>0</v>
      </c>
      <c r="M20" s="11">
        <f>-Calculations!K23</f>
        <v>0</v>
      </c>
      <c r="N20" s="11">
        <f>-Calculations!L23</f>
        <v>0</v>
      </c>
      <c r="O20" s="11">
        <f>-Calculations!M23</f>
        <v>0</v>
      </c>
      <c r="P20" s="11">
        <f>-Calculations!N23</f>
        <v>0</v>
      </c>
      <c r="Q20" s="11">
        <f>-Calculations!O23</f>
        <v>0</v>
      </c>
      <c r="R20" s="11">
        <f>-Calculations!P23</f>
        <v>0</v>
      </c>
      <c r="S20" s="11">
        <f>-Calculations!Q23</f>
        <v>0</v>
      </c>
      <c r="T20" s="11">
        <f>-Calculations!R23</f>
        <v>0</v>
      </c>
      <c r="U20" s="11">
        <f>-Calculations!S23</f>
        <v>0</v>
      </c>
      <c r="V20" s="11">
        <f>-Calculations!T23</f>
        <v>0</v>
      </c>
      <c r="W20" s="11">
        <f>-Calculations!U23</f>
        <v>0</v>
      </c>
      <c r="X20" s="11">
        <f>-Calculations!V23</f>
        <v>0</v>
      </c>
      <c r="Y20" s="11">
        <f>-Calculations!W23</f>
        <v>0</v>
      </c>
      <c r="Z20" s="11">
        <f>-Calculations!X23</f>
        <v>0</v>
      </c>
      <c r="AA20" s="11">
        <f>-Calculations!Y23</f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s="5" customFormat="1">
      <c r="A21" s="36">
        <f t="shared" si="30"/>
        <v>17</v>
      </c>
      <c r="B21" t="str">
        <f>Calculations!A24</f>
        <v>01040494</v>
      </c>
      <c r="C21" t="s">
        <v>287</v>
      </c>
      <c r="D21" s="11">
        <f>-Calculations!B24</f>
        <v>0</v>
      </c>
      <c r="E21" s="11">
        <f>-Calculations!C24</f>
        <v>0</v>
      </c>
      <c r="F21" s="11">
        <f>-Calculations!D24</f>
        <v>0</v>
      </c>
      <c r="G21" s="11">
        <f>-Calculations!E24</f>
        <v>0</v>
      </c>
      <c r="H21" s="11">
        <f>-Calculations!F24</f>
        <v>0</v>
      </c>
      <c r="I21" s="11">
        <f>-Calculations!G24</f>
        <v>14430.85</v>
      </c>
      <c r="J21" s="11">
        <f>-Calculations!H24</f>
        <v>0</v>
      </c>
      <c r="K21" s="11">
        <f>-Calculations!I24</f>
        <v>0</v>
      </c>
      <c r="L21" s="11">
        <f>-Calculations!J24</f>
        <v>0</v>
      </c>
      <c r="M21" s="11">
        <f>-Calculations!K24</f>
        <v>0</v>
      </c>
      <c r="N21" s="11">
        <f>-Calculations!L24</f>
        <v>0</v>
      </c>
      <c r="O21" s="11">
        <f>-Calculations!M24</f>
        <v>0</v>
      </c>
      <c r="P21" s="11">
        <f>-Calculations!N24</f>
        <v>0</v>
      </c>
      <c r="Q21" s="11">
        <f>-Calculations!O24</f>
        <v>0</v>
      </c>
      <c r="R21" s="11">
        <f>-Calculations!P24</f>
        <v>0</v>
      </c>
      <c r="S21" s="11">
        <f>-Calculations!Q24</f>
        <v>0</v>
      </c>
      <c r="T21" s="11">
        <f>-Calculations!R24</f>
        <v>0</v>
      </c>
      <c r="U21" s="11">
        <f>-Calculations!S24</f>
        <v>0</v>
      </c>
      <c r="V21" s="11">
        <f>-Calculations!T24</f>
        <v>0</v>
      </c>
      <c r="W21" s="11">
        <f>-Calculations!U24</f>
        <v>0</v>
      </c>
      <c r="X21" s="11">
        <f>-Calculations!V24</f>
        <v>0</v>
      </c>
      <c r="Y21" s="11">
        <f>-Calculations!W24</f>
        <v>0</v>
      </c>
      <c r="Z21" s="11">
        <f>-Calculations!X24</f>
        <v>0</v>
      </c>
      <c r="AA21" s="11">
        <f>-Calculations!Y24</f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5" customFormat="1">
      <c r="A22" s="36">
        <f t="shared" si="30"/>
        <v>18</v>
      </c>
      <c r="B22" t="str">
        <f>Calculations!A25</f>
        <v>01040864</v>
      </c>
      <c r="C22" t="s">
        <v>288</v>
      </c>
      <c r="D22" s="11">
        <f>-Calculations!B25</f>
        <v>0</v>
      </c>
      <c r="E22" s="11">
        <f>-Calculations!C25</f>
        <v>0</v>
      </c>
      <c r="F22" s="11">
        <f>-Calculations!D25</f>
        <v>0</v>
      </c>
      <c r="G22" s="11">
        <f>-Calculations!E25</f>
        <v>243.96</v>
      </c>
      <c r="H22" s="11">
        <f>-Calculations!F25</f>
        <v>0</v>
      </c>
      <c r="I22" s="11">
        <f>-Calculations!G25</f>
        <v>0</v>
      </c>
      <c r="J22" s="11">
        <f>-Calculations!H25</f>
        <v>0</v>
      </c>
      <c r="K22" s="11">
        <f>-Calculations!I25</f>
        <v>0</v>
      </c>
      <c r="L22" s="11">
        <f>-Calculations!J25</f>
        <v>0</v>
      </c>
      <c r="M22" s="11">
        <f>-Calculations!K25</f>
        <v>0</v>
      </c>
      <c r="N22" s="11">
        <f>-Calculations!L25</f>
        <v>0</v>
      </c>
      <c r="O22" s="11">
        <f>-Calculations!M25</f>
        <v>0</v>
      </c>
      <c r="P22" s="11">
        <f>-Calculations!N25</f>
        <v>105357.5</v>
      </c>
      <c r="Q22" s="11">
        <f>-Calculations!O25</f>
        <v>0</v>
      </c>
      <c r="R22" s="11">
        <f>-Calculations!P25</f>
        <v>0</v>
      </c>
      <c r="S22" s="11">
        <f>-Calculations!Q25</f>
        <v>0</v>
      </c>
      <c r="T22" s="11">
        <f>-Calculations!R25</f>
        <v>0</v>
      </c>
      <c r="U22" s="11">
        <f>-Calculations!S25</f>
        <v>0</v>
      </c>
      <c r="V22" s="11">
        <f>-Calculations!T25</f>
        <v>0</v>
      </c>
      <c r="W22" s="11">
        <f>-Calculations!U25</f>
        <v>0</v>
      </c>
      <c r="X22" s="11">
        <f>-Calculations!V25</f>
        <v>0</v>
      </c>
      <c r="Y22" s="11">
        <f>-Calculations!W25</f>
        <v>0</v>
      </c>
      <c r="Z22" s="11">
        <f>-Calculations!X25</f>
        <v>0</v>
      </c>
      <c r="AA22" s="11">
        <f>-Calculations!Y25</f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5" customFormat="1">
      <c r="A23" s="36">
        <f t="shared" si="30"/>
        <v>19</v>
      </c>
      <c r="B23" t="str">
        <f>Calculations!A26</f>
        <v>01040999</v>
      </c>
      <c r="C23" t="s">
        <v>289</v>
      </c>
      <c r="D23" s="11">
        <f>-Calculations!B26</f>
        <v>0</v>
      </c>
      <c r="E23" s="11">
        <f>-Calculations!C26</f>
        <v>75135.5</v>
      </c>
      <c r="F23" s="11">
        <f>-Calculations!D26</f>
        <v>856</v>
      </c>
      <c r="G23" s="11">
        <f>-Calculations!E26</f>
        <v>0</v>
      </c>
      <c r="H23" s="11">
        <f>-Calculations!F26</f>
        <v>143.81</v>
      </c>
      <c r="I23" s="11">
        <f>-Calculations!G26</f>
        <v>0</v>
      </c>
      <c r="J23" s="11">
        <f>-Calculations!H26</f>
        <v>0</v>
      </c>
      <c r="K23" s="11">
        <f>-Calculations!I26</f>
        <v>0</v>
      </c>
      <c r="L23" s="11">
        <f>-Calculations!J26</f>
        <v>0</v>
      </c>
      <c r="M23" s="11">
        <f>-Calculations!K26</f>
        <v>0</v>
      </c>
      <c r="N23" s="11">
        <f>-Calculations!L26</f>
        <v>0</v>
      </c>
      <c r="O23" s="11">
        <f>-Calculations!M26</f>
        <v>0</v>
      </c>
      <c r="P23" s="11">
        <f>-Calculations!N26</f>
        <v>0</v>
      </c>
      <c r="Q23" s="11">
        <f>-Calculations!O26</f>
        <v>0</v>
      </c>
      <c r="R23" s="11">
        <f>-Calculations!P26</f>
        <v>0</v>
      </c>
      <c r="S23" s="11">
        <f>-Calculations!Q26</f>
        <v>0</v>
      </c>
      <c r="T23" s="11">
        <f>-Calculations!R26</f>
        <v>0</v>
      </c>
      <c r="U23" s="11">
        <f>-Calculations!S26</f>
        <v>0</v>
      </c>
      <c r="V23" s="11">
        <f>-Calculations!T26</f>
        <v>0</v>
      </c>
      <c r="W23" s="11">
        <f>-Calculations!U26</f>
        <v>0</v>
      </c>
      <c r="X23" s="11">
        <f>-Calculations!V26</f>
        <v>0</v>
      </c>
      <c r="Y23" s="11">
        <f>-Calculations!W26</f>
        <v>0</v>
      </c>
      <c r="Z23" s="11">
        <f>-Calculations!X26</f>
        <v>0</v>
      </c>
      <c r="AA23" s="11">
        <f>-Calculations!Y26</f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5" customFormat="1">
      <c r="A24" s="36">
        <f t="shared" si="30"/>
        <v>20</v>
      </c>
      <c r="B24" t="str">
        <f>Calculations!A27</f>
        <v>01041006</v>
      </c>
      <c r="C24" t="s">
        <v>290</v>
      </c>
      <c r="D24" s="11">
        <f>-Calculations!B27</f>
        <v>0</v>
      </c>
      <c r="E24" s="11">
        <f>-Calculations!C27</f>
        <v>0</v>
      </c>
      <c r="F24" s="11">
        <f>-Calculations!D27</f>
        <v>0</v>
      </c>
      <c r="G24" s="11">
        <f>-Calculations!E27</f>
        <v>0</v>
      </c>
      <c r="H24" s="11">
        <f>-Calculations!F27</f>
        <v>0</v>
      </c>
      <c r="I24" s="11">
        <f>-Calculations!G27</f>
        <v>0</v>
      </c>
      <c r="J24" s="11">
        <f>-Calculations!H27</f>
        <v>0</v>
      </c>
      <c r="K24" s="11">
        <f>-Calculations!I27</f>
        <v>0</v>
      </c>
      <c r="L24" s="11">
        <f>-Calculations!J27</f>
        <v>0</v>
      </c>
      <c r="M24" s="11">
        <f>-Calculations!K27</f>
        <v>0</v>
      </c>
      <c r="N24" s="11">
        <f>-Calculations!L27</f>
        <v>0</v>
      </c>
      <c r="O24" s="11">
        <f>-Calculations!M27</f>
        <v>6384</v>
      </c>
      <c r="P24" s="11">
        <f>-Calculations!N27</f>
        <v>0</v>
      </c>
      <c r="Q24" s="11">
        <f>-Calculations!O27</f>
        <v>0</v>
      </c>
      <c r="R24" s="11">
        <f>-Calculations!P27</f>
        <v>0</v>
      </c>
      <c r="S24" s="11">
        <f>-Calculations!Q27</f>
        <v>0</v>
      </c>
      <c r="T24" s="11">
        <f>-Calculations!R27</f>
        <v>0</v>
      </c>
      <c r="U24" s="11">
        <f>-Calculations!S27</f>
        <v>0</v>
      </c>
      <c r="V24" s="11">
        <f>-Calculations!T27</f>
        <v>0</v>
      </c>
      <c r="W24" s="11">
        <f>-Calculations!U27</f>
        <v>0</v>
      </c>
      <c r="X24" s="11">
        <f>-Calculations!V27</f>
        <v>0</v>
      </c>
      <c r="Y24" s="11">
        <f>-Calculations!W27</f>
        <v>0</v>
      </c>
      <c r="Z24" s="11">
        <f>-Calculations!X27</f>
        <v>0</v>
      </c>
      <c r="AA24" s="11">
        <f>-Calculations!Y27</f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>
      <c r="A25" s="36">
        <f t="shared" si="30"/>
        <v>21</v>
      </c>
      <c r="B25" t="str">
        <f>Calculations!A28</f>
        <v>01041007</v>
      </c>
      <c r="C25" t="s">
        <v>291</v>
      </c>
      <c r="D25" s="11">
        <f>-Calculations!B28</f>
        <v>0</v>
      </c>
      <c r="E25" s="11">
        <f>-Calculations!C28</f>
        <v>0</v>
      </c>
      <c r="F25" s="11">
        <f>-Calculations!D28</f>
        <v>0</v>
      </c>
      <c r="G25" s="11">
        <f>-Calculations!E28</f>
        <v>0</v>
      </c>
      <c r="H25" s="11">
        <f>-Calculations!F28</f>
        <v>0</v>
      </c>
      <c r="I25" s="11">
        <f>-Calculations!G28</f>
        <v>0</v>
      </c>
      <c r="J25" s="11">
        <f>-Calculations!H28</f>
        <v>0</v>
      </c>
      <c r="K25" s="11">
        <f>-Calculations!I28</f>
        <v>0</v>
      </c>
      <c r="L25" s="11">
        <f>-Calculations!J28</f>
        <v>0</v>
      </c>
      <c r="M25" s="11">
        <f>-Calculations!K28</f>
        <v>0</v>
      </c>
      <c r="N25" s="11">
        <f>-Calculations!L28</f>
        <v>0</v>
      </c>
      <c r="O25" s="11">
        <f>-Calculations!M28</f>
        <v>2095.98</v>
      </c>
      <c r="P25" s="11">
        <f>-Calculations!N28</f>
        <v>0</v>
      </c>
      <c r="Q25" s="11">
        <f>-Calculations!O28</f>
        <v>0</v>
      </c>
      <c r="R25" s="11">
        <f>-Calculations!P28</f>
        <v>0</v>
      </c>
      <c r="S25" s="11">
        <f>-Calculations!Q28</f>
        <v>0</v>
      </c>
      <c r="T25" s="11">
        <f>-Calculations!R28</f>
        <v>0</v>
      </c>
      <c r="U25" s="11">
        <f>-Calculations!S28</f>
        <v>0</v>
      </c>
      <c r="V25" s="11">
        <f>-Calculations!T28</f>
        <v>0</v>
      </c>
      <c r="W25" s="11">
        <f>-Calculations!U28</f>
        <v>0</v>
      </c>
      <c r="X25" s="11">
        <f>-Calculations!V28</f>
        <v>0</v>
      </c>
      <c r="Y25" s="11">
        <f>-Calculations!W28</f>
        <v>0</v>
      </c>
      <c r="Z25" s="11">
        <f>-Calculations!X28</f>
        <v>0</v>
      </c>
      <c r="AA25" s="11">
        <f>-Calculations!Y28</f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5" customFormat="1">
      <c r="A26" s="36">
        <f t="shared" si="30"/>
        <v>22</v>
      </c>
      <c r="B26" t="str">
        <f>Calculations!A29</f>
        <v>01041081</v>
      </c>
      <c r="C26" t="s">
        <v>292</v>
      </c>
      <c r="D26" s="11">
        <f>-Calculations!B29</f>
        <v>0</v>
      </c>
      <c r="E26" s="11">
        <f>-Calculations!C29</f>
        <v>387067.05</v>
      </c>
      <c r="F26" s="11">
        <f>-Calculations!D29</f>
        <v>408.49</v>
      </c>
      <c r="G26" s="11">
        <f>-Calculations!E29</f>
        <v>0</v>
      </c>
      <c r="H26" s="11">
        <f>-Calculations!F29</f>
        <v>1605</v>
      </c>
      <c r="I26" s="11">
        <f>-Calculations!G29</f>
        <v>0</v>
      </c>
      <c r="J26" s="11">
        <f>-Calculations!H29</f>
        <v>0</v>
      </c>
      <c r="K26" s="11">
        <f>-Calculations!I29</f>
        <v>0</v>
      </c>
      <c r="L26" s="11">
        <f>-Calculations!J29</f>
        <v>0</v>
      </c>
      <c r="M26" s="11">
        <f>-Calculations!K29</f>
        <v>0</v>
      </c>
      <c r="N26" s="11">
        <f>-Calculations!L29</f>
        <v>0</v>
      </c>
      <c r="O26" s="11">
        <f>-Calculations!M29</f>
        <v>0</v>
      </c>
      <c r="P26" s="11">
        <f>-Calculations!N29</f>
        <v>0</v>
      </c>
      <c r="Q26" s="11">
        <f>-Calculations!O29</f>
        <v>0</v>
      </c>
      <c r="R26" s="11">
        <f>-Calculations!P29</f>
        <v>0</v>
      </c>
      <c r="S26" s="11">
        <f>-Calculations!Q29</f>
        <v>0</v>
      </c>
      <c r="T26" s="11">
        <f>-Calculations!R29</f>
        <v>0</v>
      </c>
      <c r="U26" s="11">
        <f>-Calculations!S29</f>
        <v>0</v>
      </c>
      <c r="V26" s="11">
        <f>-Calculations!T29</f>
        <v>0</v>
      </c>
      <c r="W26" s="11">
        <f>-Calculations!U29</f>
        <v>0</v>
      </c>
      <c r="X26" s="11">
        <f>-Calculations!V29</f>
        <v>0</v>
      </c>
      <c r="Y26" s="11">
        <f>-Calculations!W29</f>
        <v>0</v>
      </c>
      <c r="Z26" s="11">
        <f>-Calculations!X29</f>
        <v>0</v>
      </c>
      <c r="AA26" s="11">
        <f>-Calculations!Y29</f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5" customFormat="1">
      <c r="A27" s="36">
        <f t="shared" si="30"/>
        <v>23</v>
      </c>
      <c r="B27" t="str">
        <f>Calculations!A30</f>
        <v>01041173</v>
      </c>
      <c r="C27" t="s">
        <v>293</v>
      </c>
      <c r="D27" s="11">
        <f>-Calculations!B30</f>
        <v>0</v>
      </c>
      <c r="E27" s="11">
        <f>-Calculations!C30</f>
        <v>0</v>
      </c>
      <c r="F27" s="11">
        <f>-Calculations!D30</f>
        <v>0</v>
      </c>
      <c r="G27" s="11">
        <f>-Calculations!E30</f>
        <v>0</v>
      </c>
      <c r="H27" s="11">
        <f>-Calculations!F30</f>
        <v>0</v>
      </c>
      <c r="I27" s="11">
        <f>-Calculations!G30</f>
        <v>0</v>
      </c>
      <c r="J27" s="11">
        <f>-Calculations!H30</f>
        <v>0</v>
      </c>
      <c r="K27" s="11">
        <f>-Calculations!I30</f>
        <v>0</v>
      </c>
      <c r="L27" s="11">
        <f>-Calculations!J30</f>
        <v>0</v>
      </c>
      <c r="M27" s="11">
        <f>-Calculations!K30</f>
        <v>0</v>
      </c>
      <c r="N27" s="11">
        <f>-Calculations!L30</f>
        <v>0</v>
      </c>
      <c r="O27" s="11">
        <f>-Calculations!M30</f>
        <v>0</v>
      </c>
      <c r="P27" s="11">
        <f>-Calculations!N30</f>
        <v>0</v>
      </c>
      <c r="Q27" s="11">
        <f>-Calculations!O30</f>
        <v>0</v>
      </c>
      <c r="R27" s="11">
        <f>-Calculations!P30</f>
        <v>0</v>
      </c>
      <c r="S27" s="11">
        <f>-Calculations!Q30</f>
        <v>0</v>
      </c>
      <c r="T27" s="11">
        <f>-Calculations!R30</f>
        <v>0</v>
      </c>
      <c r="U27" s="11">
        <f>-Calculations!S30</f>
        <v>1486305.31</v>
      </c>
      <c r="V27" s="11">
        <f>-Calculations!T30</f>
        <v>-8710.26</v>
      </c>
      <c r="W27" s="11">
        <f>-Calculations!U30</f>
        <v>17878.419999999998</v>
      </c>
      <c r="X27" s="11">
        <f>-Calculations!V30</f>
        <v>-2656.09</v>
      </c>
      <c r="Y27" s="11">
        <f>-Calculations!W30</f>
        <v>0</v>
      </c>
      <c r="Z27" s="11">
        <f>-Calculations!X30</f>
        <v>0</v>
      </c>
      <c r="AA27" s="11">
        <f>-Calculations!Y30</f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5" customFormat="1">
      <c r="A28" s="36">
        <f t="shared" si="30"/>
        <v>24</v>
      </c>
      <c r="B28" t="str">
        <f>Calculations!A31</f>
        <v>01041175</v>
      </c>
      <c r="C28" t="s">
        <v>294</v>
      </c>
      <c r="D28" s="11">
        <f>-Calculations!B31</f>
        <v>0</v>
      </c>
      <c r="E28" s="11">
        <f>-Calculations!C31</f>
        <v>0</v>
      </c>
      <c r="F28" s="11">
        <f>-Calculations!D31</f>
        <v>0</v>
      </c>
      <c r="G28" s="11">
        <f>-Calculations!E31</f>
        <v>0</v>
      </c>
      <c r="H28" s="11">
        <f>-Calculations!F31</f>
        <v>0</v>
      </c>
      <c r="I28" s="11">
        <f>-Calculations!G31</f>
        <v>0</v>
      </c>
      <c r="J28" s="11">
        <f>-Calculations!H31</f>
        <v>0</v>
      </c>
      <c r="K28" s="11">
        <f>-Calculations!I31</f>
        <v>0</v>
      </c>
      <c r="L28" s="11">
        <f>-Calculations!J31</f>
        <v>0</v>
      </c>
      <c r="M28" s="11">
        <f>-Calculations!K31</f>
        <v>17283478.530000001</v>
      </c>
      <c r="N28" s="11">
        <f>-Calculations!L31</f>
        <v>1054702.17</v>
      </c>
      <c r="O28" s="11">
        <f>-Calculations!M31</f>
        <v>0</v>
      </c>
      <c r="P28" s="11">
        <f>-Calculations!N31</f>
        <v>0</v>
      </c>
      <c r="Q28" s="11">
        <f>-Calculations!O31</f>
        <v>665779.84</v>
      </c>
      <c r="R28" s="11">
        <f>-Calculations!P31</f>
        <v>10621.59</v>
      </c>
      <c r="S28" s="11">
        <f>-Calculations!Q31</f>
        <v>11326.17</v>
      </c>
      <c r="T28" s="11">
        <f>-Calculations!R31</f>
        <v>14533.14</v>
      </c>
      <c r="U28" s="11">
        <f>-Calculations!S31</f>
        <v>35317</v>
      </c>
      <c r="V28" s="11">
        <f>-Calculations!T31</f>
        <v>51000.89</v>
      </c>
      <c r="W28" s="11">
        <f>-Calculations!U31</f>
        <v>39638.47</v>
      </c>
      <c r="X28" s="11">
        <f>-Calculations!V31</f>
        <v>0</v>
      </c>
      <c r="Y28" s="11">
        <f>-Calculations!W31</f>
        <v>0</v>
      </c>
      <c r="Z28" s="11">
        <f>-Calculations!X31</f>
        <v>0</v>
      </c>
      <c r="AA28" s="11">
        <f>-Calculations!Y31</f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s="5" customFormat="1">
      <c r="A29" s="36">
        <f t="shared" si="30"/>
        <v>25</v>
      </c>
      <c r="B29" t="str">
        <f>Calculations!A32</f>
        <v>01041176</v>
      </c>
      <c r="C29" t="s">
        <v>243</v>
      </c>
      <c r="D29" s="11">
        <f>-Calculations!B32</f>
        <v>0</v>
      </c>
      <c r="E29" s="11">
        <f>-Calculations!C32</f>
        <v>0</v>
      </c>
      <c r="F29" s="11">
        <f>-Calculations!D32</f>
        <v>0</v>
      </c>
      <c r="G29" s="11">
        <f>-Calculations!E32</f>
        <v>0</v>
      </c>
      <c r="H29" s="11">
        <f>-Calculations!F32</f>
        <v>0</v>
      </c>
      <c r="I29" s="11">
        <f>-Calculations!G32</f>
        <v>0</v>
      </c>
      <c r="J29" s="11">
        <f>-Calculations!H32</f>
        <v>0</v>
      </c>
      <c r="K29" s="11">
        <f>-Calculations!I32</f>
        <v>0</v>
      </c>
      <c r="L29" s="11">
        <f>-Calculations!J32</f>
        <v>0</v>
      </c>
      <c r="M29" s="11">
        <f>-Calculations!K32</f>
        <v>2943420.0900000003</v>
      </c>
      <c r="N29" s="11">
        <f>-Calculations!L32</f>
        <v>0</v>
      </c>
      <c r="O29" s="11">
        <f>-Calculations!M32</f>
        <v>0</v>
      </c>
      <c r="P29" s="11">
        <f>-Calculations!N32</f>
        <v>0</v>
      </c>
      <c r="Q29" s="11">
        <f>-Calculations!O32</f>
        <v>0</v>
      </c>
      <c r="R29" s="11">
        <f>-Calculations!P32</f>
        <v>0</v>
      </c>
      <c r="S29" s="11">
        <f>-Calculations!Q32</f>
        <v>0</v>
      </c>
      <c r="T29" s="11">
        <f>-Calculations!R32</f>
        <v>0</v>
      </c>
      <c r="U29" s="11">
        <f>-Calculations!S32</f>
        <v>1418146.14</v>
      </c>
      <c r="V29" s="11">
        <f>-Calculations!T32</f>
        <v>10317.48</v>
      </c>
      <c r="W29" s="11">
        <f>-Calculations!U32</f>
        <v>-258.49</v>
      </c>
      <c r="X29" s="11">
        <f>-Calculations!V32</f>
        <v>0</v>
      </c>
      <c r="Y29" s="11">
        <f>-Calculations!W32</f>
        <v>0</v>
      </c>
      <c r="Z29" s="11">
        <f>-Calculations!X32</f>
        <v>0</v>
      </c>
      <c r="AA29" s="11">
        <f>-Calculations!Y32</f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5" customFormat="1">
      <c r="A30" s="36">
        <f>A29+1</f>
        <v>26</v>
      </c>
      <c r="B30" t="str">
        <f>Calculations!A33</f>
        <v>01041178</v>
      </c>
      <c r="C30" t="s">
        <v>295</v>
      </c>
      <c r="D30" s="11">
        <f>-Calculations!B33</f>
        <v>0</v>
      </c>
      <c r="E30" s="11">
        <f>-Calculations!C33</f>
        <v>0</v>
      </c>
      <c r="F30" s="11">
        <f>-Calculations!D33</f>
        <v>0</v>
      </c>
      <c r="G30" s="11">
        <f>-Calculations!E33</f>
        <v>0</v>
      </c>
      <c r="H30" s="11">
        <f>-Calculations!F33</f>
        <v>0</v>
      </c>
      <c r="I30" s="11">
        <f>-Calculations!G33</f>
        <v>0</v>
      </c>
      <c r="J30" s="11">
        <f>-Calculations!H33</f>
        <v>0</v>
      </c>
      <c r="K30" s="11">
        <f>-Calculations!I33</f>
        <v>0</v>
      </c>
      <c r="L30" s="11">
        <f>-Calculations!J33</f>
        <v>0</v>
      </c>
      <c r="M30" s="11">
        <f>-Calculations!K33</f>
        <v>0</v>
      </c>
      <c r="N30" s="11">
        <f>-Calculations!L33</f>
        <v>0</v>
      </c>
      <c r="O30" s="11">
        <f>-Calculations!M33</f>
        <v>0</v>
      </c>
      <c r="P30" s="11">
        <f>-Calculations!N33</f>
        <v>0</v>
      </c>
      <c r="Q30" s="11">
        <f>-Calculations!O33</f>
        <v>0</v>
      </c>
      <c r="R30" s="11">
        <f>-Calculations!P33</f>
        <v>0</v>
      </c>
      <c r="S30" s="11">
        <f>-Calculations!Q33</f>
        <v>0</v>
      </c>
      <c r="T30" s="11">
        <f>-Calculations!R33</f>
        <v>0</v>
      </c>
      <c r="U30" s="11">
        <f>-Calculations!S33</f>
        <v>0</v>
      </c>
      <c r="V30" s="11">
        <f>-Calculations!T33</f>
        <v>0</v>
      </c>
      <c r="W30" s="11">
        <f>-Calculations!U33</f>
        <v>0</v>
      </c>
      <c r="X30" s="11">
        <f>-Calculations!V33</f>
        <v>13580970.73</v>
      </c>
      <c r="Y30" s="11">
        <f>-Calculations!W33</f>
        <v>0</v>
      </c>
      <c r="Z30" s="11">
        <f>-Calculations!X33</f>
        <v>0</v>
      </c>
      <c r="AA30" s="11">
        <f>-Calculations!Y33</f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5" customFormat="1">
      <c r="A31" s="36">
        <f t="shared" si="30"/>
        <v>27</v>
      </c>
      <c r="B31" t="str">
        <f>Calculations!A34</f>
        <v>01041281</v>
      </c>
      <c r="C31" t="s">
        <v>296</v>
      </c>
      <c r="D31" s="11">
        <f>-Calculations!B34</f>
        <v>0</v>
      </c>
      <c r="E31" s="11">
        <f>-Calculations!C34</f>
        <v>0</v>
      </c>
      <c r="F31" s="11">
        <f>-Calculations!D34</f>
        <v>0</v>
      </c>
      <c r="G31" s="11">
        <f>-Calculations!E34</f>
        <v>0</v>
      </c>
      <c r="H31" s="11">
        <f>-Calculations!F34</f>
        <v>0</v>
      </c>
      <c r="I31" s="11">
        <f>-Calculations!G34</f>
        <v>0</v>
      </c>
      <c r="J31" s="11">
        <f>-Calculations!H34</f>
        <v>0</v>
      </c>
      <c r="K31" s="11">
        <f>-Calculations!I34</f>
        <v>0</v>
      </c>
      <c r="L31" s="11">
        <f>-Calculations!J34</f>
        <v>0</v>
      </c>
      <c r="M31" s="11">
        <f>-Calculations!K34</f>
        <v>0</v>
      </c>
      <c r="N31" s="11">
        <f>-Calculations!L34</f>
        <v>150501.17000000001</v>
      </c>
      <c r="O31" s="11">
        <f>-Calculations!M34</f>
        <v>150.47</v>
      </c>
      <c r="P31" s="11">
        <f>-Calculations!N34</f>
        <v>0</v>
      </c>
      <c r="Q31" s="11">
        <f>-Calculations!O34</f>
        <v>1810.31</v>
      </c>
      <c r="R31" s="11">
        <f>-Calculations!P34</f>
        <v>637.44000000000005</v>
      </c>
      <c r="S31" s="11">
        <f>-Calculations!Q34</f>
        <v>825.99</v>
      </c>
      <c r="T31" s="11">
        <f>-Calculations!R34</f>
        <v>6.91</v>
      </c>
      <c r="U31" s="11">
        <f>-Calculations!S34</f>
        <v>0</v>
      </c>
      <c r="V31" s="11">
        <f>-Calculations!T34</f>
        <v>0</v>
      </c>
      <c r="W31" s="11">
        <f>-Calculations!U34</f>
        <v>0</v>
      </c>
      <c r="X31" s="11">
        <f>-Calculations!V34</f>
        <v>0</v>
      </c>
      <c r="Y31" s="11">
        <f>-Calculations!W34</f>
        <v>0</v>
      </c>
      <c r="Z31" s="11">
        <f>-Calculations!X34</f>
        <v>0</v>
      </c>
      <c r="AA31" s="11">
        <f>-Calculations!Y34</f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5" customFormat="1">
      <c r="A32" s="36">
        <f t="shared" si="30"/>
        <v>28</v>
      </c>
      <c r="B32" t="str">
        <f>Calculations!A35</f>
        <v>01041294</v>
      </c>
      <c r="C32" t="s">
        <v>297</v>
      </c>
      <c r="D32" s="11">
        <f>-Calculations!B35</f>
        <v>0</v>
      </c>
      <c r="E32" s="11">
        <f>-Calculations!C35</f>
        <v>0</v>
      </c>
      <c r="F32" s="11">
        <f>-Calculations!D35</f>
        <v>0</v>
      </c>
      <c r="G32" s="11">
        <f>-Calculations!E35</f>
        <v>0</v>
      </c>
      <c r="H32" s="11">
        <f>-Calculations!F35</f>
        <v>52104.38</v>
      </c>
      <c r="I32" s="11">
        <f>-Calculations!G35</f>
        <v>0</v>
      </c>
      <c r="J32" s="11">
        <f>-Calculations!H35</f>
        <v>0</v>
      </c>
      <c r="K32" s="11">
        <f>-Calculations!I35</f>
        <v>31.41</v>
      </c>
      <c r="L32" s="11">
        <f>-Calculations!J35</f>
        <v>0</v>
      </c>
      <c r="M32" s="11">
        <f>-Calculations!K35</f>
        <v>-31.41</v>
      </c>
      <c r="N32" s="11">
        <f>-Calculations!L35</f>
        <v>0</v>
      </c>
      <c r="O32" s="11">
        <f>-Calculations!M35</f>
        <v>0</v>
      </c>
      <c r="P32" s="11">
        <f>-Calculations!N35</f>
        <v>0</v>
      </c>
      <c r="Q32" s="11">
        <f>-Calculations!O35</f>
        <v>0</v>
      </c>
      <c r="R32" s="11">
        <f>-Calculations!P35</f>
        <v>0</v>
      </c>
      <c r="S32" s="11">
        <f>-Calculations!Q35</f>
        <v>0</v>
      </c>
      <c r="T32" s="11">
        <f>-Calculations!R35</f>
        <v>0</v>
      </c>
      <c r="U32" s="11">
        <f>-Calculations!S35</f>
        <v>0</v>
      </c>
      <c r="V32" s="11">
        <f>-Calculations!T35</f>
        <v>0</v>
      </c>
      <c r="W32" s="11">
        <f>-Calculations!U35</f>
        <v>0</v>
      </c>
      <c r="X32" s="11">
        <f>-Calculations!V35</f>
        <v>0</v>
      </c>
      <c r="Y32" s="11">
        <f>-Calculations!W35</f>
        <v>0</v>
      </c>
      <c r="Z32" s="11">
        <f>-Calculations!X35</f>
        <v>0</v>
      </c>
      <c r="AA32" s="11">
        <f>-Calculations!Y35</f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5" customFormat="1">
      <c r="A33" s="36">
        <f t="shared" si="30"/>
        <v>29</v>
      </c>
      <c r="B33" t="str">
        <f>Calculations!A36</f>
        <v>01041295</v>
      </c>
      <c r="C33" t="s">
        <v>298</v>
      </c>
      <c r="D33" s="11">
        <f>-Calculations!B36</f>
        <v>0</v>
      </c>
      <c r="E33" s="11">
        <f>-Calculations!C36</f>
        <v>0</v>
      </c>
      <c r="F33" s="11">
        <f>-Calculations!D36</f>
        <v>0</v>
      </c>
      <c r="G33" s="11">
        <f>-Calculations!E36</f>
        <v>0</v>
      </c>
      <c r="H33" s="11">
        <f>-Calculations!F36</f>
        <v>0</v>
      </c>
      <c r="I33" s="11">
        <f>-Calculations!G36</f>
        <v>0</v>
      </c>
      <c r="J33" s="11">
        <f>-Calculations!H36</f>
        <v>0</v>
      </c>
      <c r="K33" s="11">
        <f>-Calculations!I36</f>
        <v>0</v>
      </c>
      <c r="L33" s="11">
        <f>-Calculations!J36</f>
        <v>0</v>
      </c>
      <c r="M33" s="11">
        <f>-Calculations!K36</f>
        <v>0</v>
      </c>
      <c r="N33" s="11">
        <f>-Calculations!L36</f>
        <v>178783.69</v>
      </c>
      <c r="O33" s="11">
        <f>-Calculations!M36</f>
        <v>4105.51</v>
      </c>
      <c r="P33" s="11">
        <f>-Calculations!N36</f>
        <v>0</v>
      </c>
      <c r="Q33" s="11">
        <f>-Calculations!O36</f>
        <v>0</v>
      </c>
      <c r="R33" s="11">
        <f>-Calculations!P36</f>
        <v>-2274.94</v>
      </c>
      <c r="S33" s="11">
        <f>-Calculations!Q36</f>
        <v>0</v>
      </c>
      <c r="T33" s="11">
        <f>-Calculations!R36</f>
        <v>0</v>
      </c>
      <c r="U33" s="11">
        <f>-Calculations!S36</f>
        <v>-1975.99</v>
      </c>
      <c r="V33" s="11">
        <f>-Calculations!T36</f>
        <v>0</v>
      </c>
      <c r="W33" s="11">
        <f>-Calculations!U36</f>
        <v>0</v>
      </c>
      <c r="X33" s="11">
        <f>-Calculations!V36</f>
        <v>0</v>
      </c>
      <c r="Y33" s="11">
        <f>-Calculations!W36</f>
        <v>0</v>
      </c>
      <c r="Z33" s="11">
        <f>-Calculations!X36</f>
        <v>0</v>
      </c>
      <c r="AA33" s="11">
        <f>-Calculations!Y36</f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s="5" customFormat="1">
      <c r="A34" s="36">
        <f t="shared" si="30"/>
        <v>30</v>
      </c>
      <c r="B34" t="str">
        <f>Calculations!A37</f>
        <v>01041753</v>
      </c>
      <c r="C34" t="s">
        <v>299</v>
      </c>
      <c r="D34" s="11">
        <f>-Calculations!B37</f>
        <v>0</v>
      </c>
      <c r="E34" s="11">
        <f>-Calculations!C37</f>
        <v>0</v>
      </c>
      <c r="F34" s="11">
        <f>-Calculations!D37</f>
        <v>0</v>
      </c>
      <c r="G34" s="11">
        <f>-Calculations!E37</f>
        <v>0</v>
      </c>
      <c r="H34" s="11">
        <f>-Calculations!F37</f>
        <v>0</v>
      </c>
      <c r="I34" s="11">
        <f>-Calculations!G37</f>
        <v>0</v>
      </c>
      <c r="J34" s="11">
        <f>-Calculations!H37</f>
        <v>0</v>
      </c>
      <c r="K34" s="11">
        <f>-Calculations!I37</f>
        <v>0</v>
      </c>
      <c r="L34" s="11">
        <f>-Calculations!J37</f>
        <v>0</v>
      </c>
      <c r="M34" s="11">
        <f>-Calculations!K37</f>
        <v>0</v>
      </c>
      <c r="N34" s="11">
        <f>-Calculations!L37</f>
        <v>0</v>
      </c>
      <c r="O34" s="11">
        <f>-Calculations!M37</f>
        <v>269806.92</v>
      </c>
      <c r="P34" s="11">
        <f>-Calculations!N37</f>
        <v>0</v>
      </c>
      <c r="Q34" s="11">
        <f>-Calculations!O37</f>
        <v>0</v>
      </c>
      <c r="R34" s="11">
        <f>-Calculations!P37</f>
        <v>8428.0300000000007</v>
      </c>
      <c r="S34" s="11">
        <f>-Calculations!Q37</f>
        <v>0</v>
      </c>
      <c r="T34" s="11">
        <f>-Calculations!R37</f>
        <v>0</v>
      </c>
      <c r="U34" s="11">
        <f>-Calculations!S37</f>
        <v>0</v>
      </c>
      <c r="V34" s="11">
        <f>-Calculations!T37</f>
        <v>0</v>
      </c>
      <c r="W34" s="11">
        <f>-Calculations!U37</f>
        <v>0</v>
      </c>
      <c r="X34" s="11">
        <f>-Calculations!V37</f>
        <v>0</v>
      </c>
      <c r="Y34" s="11">
        <f>-Calculations!W37</f>
        <v>0</v>
      </c>
      <c r="Z34" s="11">
        <f>-Calculations!X37</f>
        <v>0</v>
      </c>
      <c r="AA34" s="11">
        <f>-Calculations!Y37</f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5" customFormat="1">
      <c r="A35" s="36">
        <f t="shared" si="30"/>
        <v>31</v>
      </c>
      <c r="B35" t="str">
        <f>Calculations!A38</f>
        <v>01041777</v>
      </c>
      <c r="C35" s="220" t="s">
        <v>310</v>
      </c>
      <c r="D35" s="11">
        <f>-Calculations!B38</f>
        <v>0</v>
      </c>
      <c r="E35" s="11">
        <f>-Calculations!C38</f>
        <v>0</v>
      </c>
      <c r="F35" s="11">
        <f>-Calculations!D38</f>
        <v>0</v>
      </c>
      <c r="G35" s="11">
        <f>-Calculations!E38</f>
        <v>0</v>
      </c>
      <c r="H35" s="11">
        <f>-Calculations!F38</f>
        <v>0</v>
      </c>
      <c r="I35" s="11">
        <f>-Calculations!G38</f>
        <v>0</v>
      </c>
      <c r="J35" s="11">
        <f>-Calculations!H38</f>
        <v>0</v>
      </c>
      <c r="K35" s="11">
        <f>-Calculations!I38</f>
        <v>0</v>
      </c>
      <c r="L35" s="11">
        <f>-Calculations!J38</f>
        <v>0</v>
      </c>
      <c r="M35" s="11">
        <f>-Calculations!K38</f>
        <v>0</v>
      </c>
      <c r="N35" s="11">
        <f>-Calculations!L38</f>
        <v>0</v>
      </c>
      <c r="O35" s="11">
        <f>-Calculations!M38</f>
        <v>0</v>
      </c>
      <c r="P35" s="11">
        <f>-Calculations!N38</f>
        <v>0</v>
      </c>
      <c r="Q35" s="11">
        <f>-Calculations!O38</f>
        <v>0</v>
      </c>
      <c r="R35" s="11">
        <f>-Calculations!P38</f>
        <v>0</v>
      </c>
      <c r="S35" s="11">
        <f>-Calculations!Q38</f>
        <v>0</v>
      </c>
      <c r="T35" s="11">
        <f>-Calculations!R38</f>
        <v>0</v>
      </c>
      <c r="U35" s="11">
        <f>-Calculations!S38</f>
        <v>0</v>
      </c>
      <c r="V35" s="11">
        <f>-Calculations!T38</f>
        <v>0</v>
      </c>
      <c r="W35" s="11">
        <f>-Calculations!U38</f>
        <v>0</v>
      </c>
      <c r="X35" s="11">
        <f>-Calculations!V38</f>
        <v>0</v>
      </c>
      <c r="Y35" s="11">
        <f>-Calculations!W38</f>
        <v>1641912.77</v>
      </c>
      <c r="Z35" s="11">
        <f>-Calculations!X38</f>
        <v>0</v>
      </c>
      <c r="AA35" s="11">
        <f>-Calculations!Y38</f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s="5" customFormat="1">
      <c r="A36" s="36">
        <f t="shared" si="30"/>
        <v>32</v>
      </c>
      <c r="B36" t="str">
        <f>Calculations!A40</f>
        <v>01041905</v>
      </c>
      <c r="C36" t="s">
        <v>301</v>
      </c>
      <c r="D36" s="11">
        <f>-Calculations!B40</f>
        <v>0</v>
      </c>
      <c r="E36" s="11">
        <f>-Calculations!C40</f>
        <v>0</v>
      </c>
      <c r="F36" s="11">
        <f>-Calculations!D40</f>
        <v>0</v>
      </c>
      <c r="G36" s="11">
        <f>-Calculations!E40</f>
        <v>0</v>
      </c>
      <c r="H36" s="11">
        <f>-Calculations!F40</f>
        <v>0</v>
      </c>
      <c r="I36" s="11">
        <f>-Calculations!G40</f>
        <v>0</v>
      </c>
      <c r="J36" s="11">
        <f>-Calculations!H40</f>
        <v>0</v>
      </c>
      <c r="K36" s="11">
        <f>-Calculations!I40</f>
        <v>0</v>
      </c>
      <c r="L36" s="11">
        <f>-Calculations!J40</f>
        <v>0</v>
      </c>
      <c r="M36" s="11">
        <f>-Calculations!K40</f>
        <v>0</v>
      </c>
      <c r="N36" s="11">
        <f>-Calculations!L40</f>
        <v>0</v>
      </c>
      <c r="O36" s="11">
        <f>-Calculations!M40</f>
        <v>0</v>
      </c>
      <c r="P36" s="11">
        <f>-Calculations!N40</f>
        <v>0</v>
      </c>
      <c r="Q36" s="11">
        <f>-Calculations!O40</f>
        <v>258524.02</v>
      </c>
      <c r="R36" s="11">
        <f>-Calculations!P40</f>
        <v>786.01</v>
      </c>
      <c r="S36" s="11">
        <f>-Calculations!Q40</f>
        <v>796.44</v>
      </c>
      <c r="T36" s="11">
        <f>-Calculations!R40</f>
        <v>-4725.28</v>
      </c>
      <c r="U36" s="11">
        <f>-Calculations!S40</f>
        <v>0</v>
      </c>
      <c r="V36" s="11">
        <f>-Calculations!T40</f>
        <v>0</v>
      </c>
      <c r="W36" s="11">
        <f>-Calculations!U40</f>
        <v>0</v>
      </c>
      <c r="X36" s="11">
        <f>-Calculations!V40</f>
        <v>0</v>
      </c>
      <c r="Y36" s="11">
        <f>-Calculations!W40</f>
        <v>0</v>
      </c>
      <c r="Z36" s="11">
        <f>-Calculations!X40</f>
        <v>0</v>
      </c>
      <c r="AA36" s="11">
        <f>-Calculations!Y40</f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s="5" customFormat="1">
      <c r="A37" s="36">
        <f t="shared" si="30"/>
        <v>33</v>
      </c>
      <c r="B37" t="str">
        <f>Calculations!A41</f>
        <v>01041933</v>
      </c>
      <c r="C37" t="s">
        <v>302</v>
      </c>
      <c r="D37" s="11">
        <f>-Calculations!B41</f>
        <v>0</v>
      </c>
      <c r="E37" s="11">
        <f>-Calculations!C41</f>
        <v>0</v>
      </c>
      <c r="F37" s="11">
        <f>-Calculations!D41</f>
        <v>0</v>
      </c>
      <c r="G37" s="11">
        <f>-Calculations!E41</f>
        <v>0</v>
      </c>
      <c r="H37" s="11">
        <f>-Calculations!F41</f>
        <v>0</v>
      </c>
      <c r="I37" s="11">
        <f>-Calculations!G41</f>
        <v>0</v>
      </c>
      <c r="J37" s="11">
        <f>-Calculations!H41</f>
        <v>0</v>
      </c>
      <c r="K37" s="11">
        <f>-Calculations!I41</f>
        <v>0</v>
      </c>
      <c r="L37" s="11">
        <f>-Calculations!J41</f>
        <v>0</v>
      </c>
      <c r="M37" s="11">
        <f>-Calculations!K41</f>
        <v>0</v>
      </c>
      <c r="N37" s="11">
        <f>-Calculations!L41</f>
        <v>0</v>
      </c>
      <c r="O37" s="11">
        <f>-Calculations!M41</f>
        <v>0</v>
      </c>
      <c r="P37" s="11">
        <f>-Calculations!N41</f>
        <v>0</v>
      </c>
      <c r="Q37" s="11">
        <f>-Calculations!O41</f>
        <v>897355.16999999993</v>
      </c>
      <c r="R37" s="11">
        <f>-Calculations!P41</f>
        <v>1973.66</v>
      </c>
      <c r="S37" s="11">
        <f>-Calculations!Q41</f>
        <v>-1340</v>
      </c>
      <c r="T37" s="11">
        <f>-Calculations!R41</f>
        <v>-12552.4</v>
      </c>
      <c r="U37" s="11">
        <f>-Calculations!S41</f>
        <v>1258.8900000000001</v>
      </c>
      <c r="V37" s="11">
        <f>-Calculations!T41</f>
        <v>1205.75</v>
      </c>
      <c r="W37" s="11">
        <f>-Calculations!U41</f>
        <v>5266.5</v>
      </c>
      <c r="X37" s="11">
        <f>-Calculations!V41</f>
        <v>139.5</v>
      </c>
      <c r="Y37" s="11">
        <f>-Calculations!W41</f>
        <v>0</v>
      </c>
      <c r="Z37" s="11">
        <f>-Calculations!X41</f>
        <v>0</v>
      </c>
      <c r="AA37" s="11">
        <f>-Calculations!Y41</f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s="5" customFormat="1">
      <c r="A38" s="36">
        <f t="shared" si="30"/>
        <v>34</v>
      </c>
      <c r="B38" t="str">
        <f>Calculations!A42</f>
        <v>01042033</v>
      </c>
      <c r="C38" s="220" t="s">
        <v>311</v>
      </c>
      <c r="D38" s="11">
        <f>-Calculations!B42</f>
        <v>0</v>
      </c>
      <c r="E38" s="11">
        <f>-Calculations!C42</f>
        <v>0</v>
      </c>
      <c r="F38" s="11">
        <f>-Calculations!D42</f>
        <v>0</v>
      </c>
      <c r="G38" s="11">
        <f>-Calculations!E42</f>
        <v>0</v>
      </c>
      <c r="H38" s="11">
        <f>-Calculations!F42</f>
        <v>0</v>
      </c>
      <c r="I38" s="11">
        <f>-Calculations!G42</f>
        <v>0</v>
      </c>
      <c r="J38" s="11">
        <f>-Calculations!H42</f>
        <v>0</v>
      </c>
      <c r="K38" s="11">
        <f>-Calculations!I42</f>
        <v>0</v>
      </c>
      <c r="L38" s="11">
        <f>-Calculations!J42</f>
        <v>0</v>
      </c>
      <c r="M38" s="11">
        <f>-Calculations!K42</f>
        <v>0</v>
      </c>
      <c r="N38" s="11">
        <f>-Calculations!L42</f>
        <v>0</v>
      </c>
      <c r="O38" s="11">
        <f>-Calculations!M42</f>
        <v>0</v>
      </c>
      <c r="P38" s="11">
        <f>-Calculations!N42</f>
        <v>0</v>
      </c>
      <c r="Q38" s="11">
        <f>-Calculations!O42</f>
        <v>0</v>
      </c>
      <c r="R38" s="11">
        <f>-Calculations!P42</f>
        <v>0</v>
      </c>
      <c r="S38" s="11">
        <f>-Calculations!Q42</f>
        <v>0</v>
      </c>
      <c r="T38" s="11">
        <f>-Calculations!R42</f>
        <v>0</v>
      </c>
      <c r="U38" s="11">
        <f>-Calculations!S42</f>
        <v>0</v>
      </c>
      <c r="V38" s="11">
        <f>-Calculations!T42</f>
        <v>0</v>
      </c>
      <c r="W38" s="11">
        <f>-Calculations!U42</f>
        <v>0</v>
      </c>
      <c r="X38" s="11">
        <f>-Calculations!V42</f>
        <v>0</v>
      </c>
      <c r="Y38" s="11">
        <f>-Calculations!W42</f>
        <v>34150695.5</v>
      </c>
      <c r="Z38" s="11">
        <f>-Calculations!X42</f>
        <v>0</v>
      </c>
      <c r="AA38" s="11">
        <f>-Calculations!Y42</f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s="5" customFormat="1">
      <c r="A39" s="36">
        <f t="shared" si="30"/>
        <v>35</v>
      </c>
      <c r="B39" t="str">
        <f>Calculations!A43</f>
        <v>01042134</v>
      </c>
      <c r="C39" t="s">
        <v>303</v>
      </c>
      <c r="D39" s="11">
        <f>-Calculations!B43</f>
        <v>0</v>
      </c>
      <c r="E39" s="11">
        <f>-Calculations!C43</f>
        <v>0</v>
      </c>
      <c r="F39" s="11">
        <f>-Calculations!D43</f>
        <v>0</v>
      </c>
      <c r="G39" s="11">
        <f>-Calculations!E43</f>
        <v>0</v>
      </c>
      <c r="H39" s="11">
        <f>-Calculations!F43</f>
        <v>0</v>
      </c>
      <c r="I39" s="11">
        <f>-Calculations!G43</f>
        <v>0</v>
      </c>
      <c r="J39" s="11">
        <f>-Calculations!H43</f>
        <v>0</v>
      </c>
      <c r="K39" s="11">
        <f>-Calculations!I43</f>
        <v>0</v>
      </c>
      <c r="L39" s="11">
        <f>-Calculations!J43</f>
        <v>0</v>
      </c>
      <c r="M39" s="11">
        <f>-Calculations!K43</f>
        <v>0</v>
      </c>
      <c r="N39" s="11">
        <f>-Calculations!L43</f>
        <v>0</v>
      </c>
      <c r="O39" s="11">
        <f>-Calculations!M43</f>
        <v>0</v>
      </c>
      <c r="P39" s="11">
        <f>-Calculations!N43</f>
        <v>0</v>
      </c>
      <c r="Q39" s="11">
        <f>-Calculations!O43</f>
        <v>178223.31999999998</v>
      </c>
      <c r="R39" s="11">
        <f>-Calculations!P43</f>
        <v>0</v>
      </c>
      <c r="S39" s="11">
        <f>-Calculations!Q43</f>
        <v>406.84999999999997</v>
      </c>
      <c r="T39" s="11">
        <f>-Calculations!R43</f>
        <v>0</v>
      </c>
      <c r="U39" s="11">
        <f>-Calculations!S43</f>
        <v>0</v>
      </c>
      <c r="V39" s="11">
        <f>-Calculations!T43</f>
        <v>0</v>
      </c>
      <c r="W39" s="11">
        <f>-Calculations!U43</f>
        <v>0</v>
      </c>
      <c r="X39" s="11">
        <f>-Calculations!V43</f>
        <v>0</v>
      </c>
      <c r="Y39" s="11">
        <f>-Calculations!W43</f>
        <v>0</v>
      </c>
      <c r="Z39" s="11">
        <f>-Calculations!X43</f>
        <v>0</v>
      </c>
      <c r="AA39" s="11">
        <f>-Calculations!Y43</f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s="5" customFormat="1">
      <c r="A40" s="36">
        <f t="shared" si="30"/>
        <v>36</v>
      </c>
      <c r="B40" t="str">
        <f>Calculations!A44</f>
        <v>01042231</v>
      </c>
      <c r="C40" t="s">
        <v>304</v>
      </c>
      <c r="D40" s="11">
        <f>-Calculations!B44</f>
        <v>0</v>
      </c>
      <c r="E40" s="11">
        <f>-Calculations!C44</f>
        <v>0</v>
      </c>
      <c r="F40" s="11">
        <f>-Calculations!D44</f>
        <v>0</v>
      </c>
      <c r="G40" s="11">
        <f>-Calculations!E44</f>
        <v>0</v>
      </c>
      <c r="H40" s="11">
        <f>-Calculations!F44</f>
        <v>0</v>
      </c>
      <c r="I40" s="11">
        <f>-Calculations!G44</f>
        <v>0</v>
      </c>
      <c r="J40" s="11">
        <f>-Calculations!H44</f>
        <v>0</v>
      </c>
      <c r="K40" s="11">
        <f>-Calculations!I44</f>
        <v>0</v>
      </c>
      <c r="L40" s="11">
        <f>-Calculations!J44</f>
        <v>0</v>
      </c>
      <c r="M40" s="11">
        <f>-Calculations!K44</f>
        <v>0</v>
      </c>
      <c r="N40" s="11">
        <f>-Calculations!L44</f>
        <v>0</v>
      </c>
      <c r="O40" s="11">
        <f>-Calculations!M44</f>
        <v>0</v>
      </c>
      <c r="P40" s="11">
        <f>-Calculations!N44</f>
        <v>0</v>
      </c>
      <c r="Q40" s="11">
        <f>-Calculations!O44</f>
        <v>662170.12</v>
      </c>
      <c r="R40" s="11">
        <f>-Calculations!P44</f>
        <v>0</v>
      </c>
      <c r="S40" s="11">
        <f>-Calculations!Q44</f>
        <v>-140.79</v>
      </c>
      <c r="T40" s="11">
        <f>-Calculations!R44</f>
        <v>-246021.33</v>
      </c>
      <c r="U40" s="11">
        <f>-Calculations!S44</f>
        <v>0</v>
      </c>
      <c r="V40" s="11">
        <f>-Calculations!T44</f>
        <v>0</v>
      </c>
      <c r="W40" s="11">
        <f>-Calculations!U44</f>
        <v>0</v>
      </c>
      <c r="X40" s="11">
        <f>-Calculations!V44</f>
        <v>0</v>
      </c>
      <c r="Y40" s="11">
        <f>-Calculations!W44</f>
        <v>0</v>
      </c>
      <c r="Z40" s="11">
        <f>-Calculations!X44</f>
        <v>0</v>
      </c>
      <c r="AA40" s="11">
        <f>-Calculations!Y44</f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s="5" customFormat="1">
      <c r="A41" s="36">
        <f t="shared" si="30"/>
        <v>37</v>
      </c>
      <c r="B41" t="str">
        <f>Calculations!A45</f>
        <v>01042249</v>
      </c>
      <c r="C41" t="s">
        <v>244</v>
      </c>
      <c r="D41" s="11">
        <f>-Calculations!B45</f>
        <v>0</v>
      </c>
      <c r="E41" s="11">
        <f>-Calculations!C45</f>
        <v>0</v>
      </c>
      <c r="F41" s="11">
        <f>-Calculations!D45</f>
        <v>0</v>
      </c>
      <c r="G41" s="11">
        <f>-Calculations!E45</f>
        <v>0</v>
      </c>
      <c r="H41" s="11">
        <f>-Calculations!F45</f>
        <v>0</v>
      </c>
      <c r="I41" s="11">
        <f>-Calculations!G45</f>
        <v>0</v>
      </c>
      <c r="J41" s="11">
        <f>-Calculations!H45</f>
        <v>0</v>
      </c>
      <c r="K41" s="11">
        <f>-Calculations!I45</f>
        <v>0</v>
      </c>
      <c r="L41" s="11">
        <f>-Calculations!J45</f>
        <v>15552.32</v>
      </c>
      <c r="M41" s="11">
        <f>-Calculations!K45</f>
        <v>252.31</v>
      </c>
      <c r="N41" s="11">
        <f>-Calculations!L45</f>
        <v>-4.72</v>
      </c>
      <c r="O41" s="11">
        <f>-Calculations!M45</f>
        <v>0</v>
      </c>
      <c r="P41" s="11">
        <f>-Calculations!N45</f>
        <v>0</v>
      </c>
      <c r="Q41" s="11">
        <f>-Calculations!O45</f>
        <v>0</v>
      </c>
      <c r="R41" s="11">
        <f>-Calculations!P45</f>
        <v>0</v>
      </c>
      <c r="S41" s="11">
        <f>-Calculations!Q45</f>
        <v>0</v>
      </c>
      <c r="T41" s="11">
        <f>-Calculations!R45</f>
        <v>0</v>
      </c>
      <c r="U41" s="11">
        <f>-Calculations!S45</f>
        <v>0</v>
      </c>
      <c r="V41" s="11">
        <f>-Calculations!T45</f>
        <v>0</v>
      </c>
      <c r="W41" s="11">
        <f>-Calculations!U45</f>
        <v>0</v>
      </c>
      <c r="X41" s="11">
        <f>-Calculations!V45</f>
        <v>0</v>
      </c>
      <c r="Y41" s="11">
        <f>-Calculations!W45</f>
        <v>0</v>
      </c>
      <c r="Z41" s="11">
        <f>-Calculations!X45</f>
        <v>0</v>
      </c>
      <c r="AA41" s="11">
        <f>-Calculations!Y45</f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s="5" customFormat="1">
      <c r="A42" s="36">
        <f t="shared" si="30"/>
        <v>38</v>
      </c>
      <c r="B42" t="str">
        <f>Calculations!A46</f>
        <v>01042308</v>
      </c>
      <c r="C42" t="s">
        <v>305</v>
      </c>
      <c r="D42" s="11">
        <f>-Calculations!B46</f>
        <v>0</v>
      </c>
      <c r="E42" s="11">
        <f>-Calculations!C46</f>
        <v>0</v>
      </c>
      <c r="F42" s="11">
        <f>-Calculations!D46</f>
        <v>0</v>
      </c>
      <c r="G42" s="11">
        <f>-Calculations!E46</f>
        <v>0</v>
      </c>
      <c r="H42" s="11">
        <f>-Calculations!F46</f>
        <v>0</v>
      </c>
      <c r="I42" s="11">
        <f>-Calculations!G46</f>
        <v>0</v>
      </c>
      <c r="J42" s="11">
        <f>-Calculations!H46</f>
        <v>0</v>
      </c>
      <c r="K42" s="11">
        <f>-Calculations!I46</f>
        <v>0</v>
      </c>
      <c r="L42" s="11">
        <f>-Calculations!J46</f>
        <v>0</v>
      </c>
      <c r="M42" s="11">
        <f>-Calculations!K46</f>
        <v>0</v>
      </c>
      <c r="N42" s="11">
        <f>-Calculations!L46</f>
        <v>0</v>
      </c>
      <c r="O42" s="11">
        <f>-Calculations!M46</f>
        <v>0</v>
      </c>
      <c r="P42" s="11">
        <f>-Calculations!N46</f>
        <v>0</v>
      </c>
      <c r="Q42" s="11">
        <f>-Calculations!O46</f>
        <v>0</v>
      </c>
      <c r="R42" s="11">
        <f>-Calculations!P46</f>
        <v>0</v>
      </c>
      <c r="S42" s="11">
        <f>-Calculations!Q46</f>
        <v>0</v>
      </c>
      <c r="T42" s="11">
        <f>-Calculations!R46</f>
        <v>782732.79</v>
      </c>
      <c r="U42" s="11">
        <f>-Calculations!S46</f>
        <v>122.08</v>
      </c>
      <c r="V42" s="11">
        <f>-Calculations!T46</f>
        <v>23781.4</v>
      </c>
      <c r="W42" s="11">
        <f>-Calculations!U46</f>
        <v>51.56</v>
      </c>
      <c r="X42" s="11">
        <f>-Calculations!V46</f>
        <v>92.31</v>
      </c>
      <c r="Y42" s="11">
        <f>-Calculations!W46</f>
        <v>0</v>
      </c>
      <c r="Z42" s="11">
        <f>-Calculations!X46</f>
        <v>0</v>
      </c>
      <c r="AA42" s="11">
        <f>-Calculations!Y46</f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s="5" customFormat="1">
      <c r="A43" s="36">
        <f t="shared" si="30"/>
        <v>39</v>
      </c>
      <c r="B43" t="str">
        <f>Calculations!A39</f>
        <v>01041798</v>
      </c>
      <c r="C43" t="s">
        <v>300</v>
      </c>
      <c r="D43" s="11">
        <f>-Calculations!B39</f>
        <v>0</v>
      </c>
      <c r="E43" s="11">
        <f>-Calculations!C39</f>
        <v>0</v>
      </c>
      <c r="F43" s="11">
        <f>-Calculations!D39</f>
        <v>0</v>
      </c>
      <c r="G43" s="11">
        <f>-Calculations!E39</f>
        <v>0</v>
      </c>
      <c r="H43" s="11">
        <f>-Calculations!F39</f>
        <v>0</v>
      </c>
      <c r="I43" s="11">
        <f>-Calculations!G39</f>
        <v>0</v>
      </c>
      <c r="J43" s="11">
        <f>-Calculations!H39</f>
        <v>0</v>
      </c>
      <c r="K43" s="11">
        <f>-Calculations!I39</f>
        <v>0</v>
      </c>
      <c r="L43" s="11">
        <f>-Calculations!J39</f>
        <v>0</v>
      </c>
      <c r="M43" s="11">
        <f>-Calculations!K39</f>
        <v>0</v>
      </c>
      <c r="N43" s="11">
        <f>-Calculations!L39</f>
        <v>0</v>
      </c>
      <c r="O43" s="11">
        <f>-Calculations!M39</f>
        <v>0</v>
      </c>
      <c r="P43" s="11">
        <f>-Calculations!N39</f>
        <v>0</v>
      </c>
      <c r="Q43" s="11">
        <f>-Calculations!O39</f>
        <v>0</v>
      </c>
      <c r="R43" s="11">
        <f>-Calculations!P39</f>
        <v>0</v>
      </c>
      <c r="S43" s="11">
        <f>-Calculations!Q39</f>
        <v>2021669.75</v>
      </c>
      <c r="T43" s="11">
        <f>-Calculations!R39</f>
        <v>0</v>
      </c>
      <c r="U43" s="11">
        <f>-Calculations!S39</f>
        <v>-13455.56</v>
      </c>
      <c r="V43" s="11">
        <f>-Calculations!T39</f>
        <v>0</v>
      </c>
      <c r="W43" s="11">
        <f>-Calculations!U39</f>
        <v>0</v>
      </c>
      <c r="X43" s="11">
        <f>-Calculations!V39</f>
        <v>0</v>
      </c>
      <c r="Y43" s="11">
        <f>-Calculations!W39</f>
        <v>0</v>
      </c>
      <c r="Z43" s="11">
        <f>-Calculations!X39</f>
        <v>0</v>
      </c>
      <c r="AA43" s="11">
        <f>-Calculations!Y39</f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s="5" customFormat="1">
      <c r="A44" s="36">
        <f t="shared" si="30"/>
        <v>40</v>
      </c>
      <c r="B44" t="str">
        <f>Calculations!A47</f>
        <v>01042424</v>
      </c>
      <c r="C44" t="s">
        <v>306</v>
      </c>
      <c r="D44" s="11">
        <f>-Calculations!B47</f>
        <v>0</v>
      </c>
      <c r="E44" s="11">
        <f>-Calculations!C47</f>
        <v>0</v>
      </c>
      <c r="F44" s="11">
        <f>-Calculations!D47</f>
        <v>0</v>
      </c>
      <c r="G44" s="11">
        <f>-Calculations!E47</f>
        <v>0</v>
      </c>
      <c r="H44" s="11">
        <f>-Calculations!F47</f>
        <v>0</v>
      </c>
      <c r="I44" s="11">
        <f>-Calculations!G47</f>
        <v>0</v>
      </c>
      <c r="J44" s="11">
        <f>-Calculations!H47</f>
        <v>0</v>
      </c>
      <c r="K44" s="11">
        <f>-Calculations!I47</f>
        <v>0</v>
      </c>
      <c r="L44" s="11">
        <f>-Calculations!J47</f>
        <v>0</v>
      </c>
      <c r="M44" s="11">
        <f>-Calculations!K47</f>
        <v>0</v>
      </c>
      <c r="N44" s="11">
        <f>-Calculations!L47</f>
        <v>0</v>
      </c>
      <c r="O44" s="11">
        <f>-Calculations!M47</f>
        <v>0</v>
      </c>
      <c r="P44" s="11">
        <f>-Calculations!N47</f>
        <v>0</v>
      </c>
      <c r="Q44" s="11">
        <f>-Calculations!O47</f>
        <v>0</v>
      </c>
      <c r="R44" s="11">
        <f>-Calculations!P47</f>
        <v>0</v>
      </c>
      <c r="S44" s="11">
        <f>-Calculations!Q47</f>
        <v>0</v>
      </c>
      <c r="T44" s="11">
        <f>-Calculations!R47</f>
        <v>0</v>
      </c>
      <c r="U44" s="11">
        <f>-Calculations!S47</f>
        <v>0</v>
      </c>
      <c r="V44" s="11">
        <f>-Calculations!T47</f>
        <v>0</v>
      </c>
      <c r="W44" s="11">
        <f>-Calculations!U47</f>
        <v>0</v>
      </c>
      <c r="X44" s="11">
        <f>-Calculations!V47</f>
        <v>3117728.43</v>
      </c>
      <c r="Y44" s="11">
        <f>-Calculations!W47</f>
        <v>0</v>
      </c>
      <c r="Z44" s="11">
        <f>-Calculations!X47</f>
        <v>0</v>
      </c>
      <c r="AA44" s="11">
        <f>-Calculations!Y47</f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s="5" customFormat="1">
      <c r="A45" s="36">
        <f t="shared" si="30"/>
        <v>41</v>
      </c>
      <c r="B45" t="str">
        <f>Calculations!A48</f>
        <v>01042813</v>
      </c>
      <c r="C45" t="s">
        <v>307</v>
      </c>
      <c r="D45" s="11">
        <f>-Calculations!B48</f>
        <v>0</v>
      </c>
      <c r="E45" s="11">
        <f>-Calculations!C48</f>
        <v>0</v>
      </c>
      <c r="F45" s="11">
        <f>-Calculations!D48</f>
        <v>0</v>
      </c>
      <c r="G45" s="11">
        <f>-Calculations!E48</f>
        <v>0</v>
      </c>
      <c r="H45" s="11">
        <f>-Calculations!F48</f>
        <v>0</v>
      </c>
      <c r="I45" s="11">
        <f>-Calculations!G48</f>
        <v>0</v>
      </c>
      <c r="J45" s="11">
        <f>-Calculations!H48</f>
        <v>0</v>
      </c>
      <c r="K45" s="11">
        <f>-Calculations!I48</f>
        <v>0</v>
      </c>
      <c r="L45" s="11">
        <f>-Calculations!J48</f>
        <v>0</v>
      </c>
      <c r="M45" s="11">
        <f>-Calculations!K48</f>
        <v>0</v>
      </c>
      <c r="N45" s="11">
        <f>-Calculations!L48</f>
        <v>0</v>
      </c>
      <c r="O45" s="11">
        <f>-Calculations!M48</f>
        <v>0</v>
      </c>
      <c r="P45" s="11">
        <f>-Calculations!N48</f>
        <v>0</v>
      </c>
      <c r="Q45" s="11">
        <f>-Calculations!O48</f>
        <v>0</v>
      </c>
      <c r="R45" s="11">
        <f>-Calculations!P48</f>
        <v>0</v>
      </c>
      <c r="S45" s="11">
        <f>-Calculations!Q48</f>
        <v>0</v>
      </c>
      <c r="T45" s="11">
        <f>-Calculations!R48</f>
        <v>0</v>
      </c>
      <c r="U45" s="11">
        <f>-Calculations!S48</f>
        <v>0</v>
      </c>
      <c r="V45" s="11">
        <f>-Calculations!T48</f>
        <v>0</v>
      </c>
      <c r="W45" s="11">
        <f>-Calculations!U48</f>
        <v>0</v>
      </c>
      <c r="X45" s="11">
        <f>-Calculations!V48</f>
        <v>100391.95</v>
      </c>
      <c r="Y45" s="11">
        <f>-Calculations!W48</f>
        <v>0</v>
      </c>
      <c r="Z45" s="11">
        <f>-Calculations!X48</f>
        <v>0</v>
      </c>
      <c r="AA45" s="11">
        <f>-Calculations!Y48</f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s="5" customFormat="1">
      <c r="A46" s="36">
        <f t="shared" si="30"/>
        <v>42</v>
      </c>
      <c r="B46" t="str">
        <f>Calculations!A49</f>
        <v>01042818</v>
      </c>
      <c r="C46" t="s">
        <v>308</v>
      </c>
      <c r="D46" s="11">
        <f>-Calculations!B49</f>
        <v>0</v>
      </c>
      <c r="E46" s="11">
        <f>-Calculations!C49</f>
        <v>0</v>
      </c>
      <c r="F46" s="11">
        <f>-Calculations!D49</f>
        <v>0</v>
      </c>
      <c r="G46" s="11">
        <f>-Calculations!E49</f>
        <v>0</v>
      </c>
      <c r="H46" s="11">
        <f>-Calculations!F49</f>
        <v>0</v>
      </c>
      <c r="I46" s="11">
        <f>-Calculations!G49</f>
        <v>0</v>
      </c>
      <c r="J46" s="11">
        <f>-Calculations!H49</f>
        <v>0</v>
      </c>
      <c r="K46" s="11">
        <f>-Calculations!I49</f>
        <v>0</v>
      </c>
      <c r="L46" s="11">
        <f>-Calculations!J49</f>
        <v>0</v>
      </c>
      <c r="M46" s="11">
        <f>-Calculations!K49</f>
        <v>0</v>
      </c>
      <c r="N46" s="11">
        <f>-Calculations!L49</f>
        <v>0</v>
      </c>
      <c r="O46" s="11">
        <f>-Calculations!M49</f>
        <v>0</v>
      </c>
      <c r="P46" s="11">
        <f>-Calculations!N49</f>
        <v>0</v>
      </c>
      <c r="Q46" s="11">
        <f>-Calculations!O49</f>
        <v>0</v>
      </c>
      <c r="R46" s="11">
        <f>-Calculations!P49</f>
        <v>0</v>
      </c>
      <c r="S46" s="11">
        <f>-Calculations!Q49</f>
        <v>0</v>
      </c>
      <c r="T46" s="11">
        <f>-Calculations!R49</f>
        <v>0</v>
      </c>
      <c r="U46" s="11">
        <f>-Calculations!S49</f>
        <v>0</v>
      </c>
      <c r="V46" s="11">
        <f>-Calculations!T49</f>
        <v>0</v>
      </c>
      <c r="W46" s="11">
        <f>-Calculations!U49</f>
        <v>0</v>
      </c>
      <c r="X46" s="11">
        <f>-Calculations!V49</f>
        <v>631679.62</v>
      </c>
      <c r="Y46" s="11">
        <f>-Calculations!W49</f>
        <v>0</v>
      </c>
      <c r="Z46" s="11">
        <f>-Calculations!X49</f>
        <v>0</v>
      </c>
      <c r="AA46" s="11">
        <f>-Calculations!Y49</f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5" customFormat="1">
      <c r="A47" s="36">
        <f t="shared" si="30"/>
        <v>43</v>
      </c>
      <c r="B47" t="str">
        <f>Calculations!A50</f>
        <v>01042820</v>
      </c>
      <c r="C47" t="s">
        <v>309</v>
      </c>
      <c r="D47" s="11">
        <f>-Calculations!B50</f>
        <v>0</v>
      </c>
      <c r="E47" s="11">
        <f>-Calculations!C50</f>
        <v>0</v>
      </c>
      <c r="F47" s="11">
        <f>-Calculations!D50</f>
        <v>0</v>
      </c>
      <c r="G47" s="11">
        <f>-Calculations!E50</f>
        <v>0</v>
      </c>
      <c r="H47" s="11">
        <f>-Calculations!F50</f>
        <v>0</v>
      </c>
      <c r="I47" s="11">
        <f>-Calculations!G50</f>
        <v>0</v>
      </c>
      <c r="J47" s="11">
        <f>-Calculations!H50</f>
        <v>0</v>
      </c>
      <c r="K47" s="11">
        <f>-Calculations!I50</f>
        <v>0</v>
      </c>
      <c r="L47" s="11">
        <f>-Calculations!J50</f>
        <v>0</v>
      </c>
      <c r="M47" s="11">
        <f>-Calculations!K50</f>
        <v>0</v>
      </c>
      <c r="N47" s="11">
        <f>-Calculations!L50</f>
        <v>0</v>
      </c>
      <c r="O47" s="11">
        <f>-Calculations!M50</f>
        <v>0</v>
      </c>
      <c r="P47" s="11">
        <f>-Calculations!N50</f>
        <v>0</v>
      </c>
      <c r="Q47" s="11">
        <f>-Calculations!O50</f>
        <v>0</v>
      </c>
      <c r="R47" s="11">
        <f>-Calculations!P50</f>
        <v>0</v>
      </c>
      <c r="S47" s="11">
        <f>-Calculations!Q50</f>
        <v>0</v>
      </c>
      <c r="T47" s="11">
        <f>-Calculations!R50</f>
        <v>0</v>
      </c>
      <c r="U47" s="11">
        <f>-Calculations!S50</f>
        <v>0</v>
      </c>
      <c r="V47" s="11">
        <f>-Calculations!T50</f>
        <v>0</v>
      </c>
      <c r="W47" s="11">
        <f>-Calculations!U50</f>
        <v>0</v>
      </c>
      <c r="X47" s="11">
        <f>-Calculations!V50</f>
        <v>864319.41999999993</v>
      </c>
      <c r="Y47" s="11">
        <f>-Calculations!W50</f>
        <v>0</v>
      </c>
      <c r="Z47" s="11">
        <f>-Calculations!X50</f>
        <v>0</v>
      </c>
      <c r="AA47" s="11">
        <f>-Calculations!Y50</f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5" customFormat="1">
      <c r="A48" s="196">
        <f t="shared" ref="A48:A49" si="31">A47+1</f>
        <v>44</v>
      </c>
      <c r="B48" s="37"/>
      <c r="C48" s="5" t="s">
        <v>202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v>-325061.90000000002</v>
      </c>
      <c r="Z48" s="11"/>
      <c r="AA48" s="11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54" s="5" customFormat="1">
      <c r="A49" s="196">
        <f t="shared" si="31"/>
        <v>45</v>
      </c>
      <c r="B49" s="37"/>
      <c r="C49" s="217" t="s">
        <v>245</v>
      </c>
      <c r="D49" s="11"/>
      <c r="E49" s="11"/>
      <c r="F49" s="11"/>
      <c r="G49" s="11"/>
      <c r="H49" s="11"/>
      <c r="I49" s="11"/>
      <c r="J49" s="11"/>
      <c r="K49" s="11"/>
      <c r="L49" s="11"/>
      <c r="M49" s="183">
        <v>-36510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54">
      <c r="A50" s="196">
        <f>A49+1</f>
        <v>46</v>
      </c>
      <c r="C50" s="182" t="s">
        <v>246</v>
      </c>
      <c r="M50" s="6">
        <v>-56364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>
      <c r="A51" s="196">
        <f t="shared" ref="A51:A60" si="32">A50+1</f>
        <v>47</v>
      </c>
      <c r="C51" s="182" t="s">
        <v>189</v>
      </c>
      <c r="K51" s="11">
        <v>-57665.56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>
      <c r="A52" s="196">
        <f t="shared" si="32"/>
        <v>48</v>
      </c>
      <c r="C52" s="182" t="s">
        <v>203</v>
      </c>
      <c r="K52" s="11">
        <v>-2172371.5699999998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>
      <c r="A53" s="196">
        <f t="shared" si="32"/>
        <v>49</v>
      </c>
      <c r="C53" s="182" t="s">
        <v>207</v>
      </c>
      <c r="K53" s="11">
        <v>-146048.74</v>
      </c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>
      <c r="A54" s="196">
        <f t="shared" si="32"/>
        <v>50</v>
      </c>
      <c r="C54" s="182" t="s">
        <v>208</v>
      </c>
      <c r="K54" s="11">
        <v>-226875.44</v>
      </c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>
      <c r="A55" s="196">
        <f t="shared" si="32"/>
        <v>51</v>
      </c>
      <c r="C55" s="182" t="s">
        <v>227</v>
      </c>
      <c r="K55" s="11">
        <v>-56218.86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>
      <c r="A56" s="196">
        <f t="shared" si="32"/>
        <v>52</v>
      </c>
      <c r="C56" s="182" t="s">
        <v>317</v>
      </c>
      <c r="K56" s="11"/>
      <c r="P56" s="11">
        <v>-36376.519999999997</v>
      </c>
      <c r="S56" s="11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ht="13.5" thickBot="1">
      <c r="A57" s="196">
        <f t="shared" si="32"/>
        <v>53</v>
      </c>
      <c r="C57" s="3" t="s">
        <v>35</v>
      </c>
      <c r="D57" s="19">
        <f t="shared" ref="D57" si="33">SUM(D5:D56)</f>
        <v>-2471.4499999999998</v>
      </c>
      <c r="E57" s="19">
        <f t="shared" ref="E57" si="34">SUM(E5:E56)</f>
        <v>482126.02999999997</v>
      </c>
      <c r="F57" s="19">
        <f t="shared" ref="F57" si="35">SUM(F5:F56)</f>
        <v>233275.28000000003</v>
      </c>
      <c r="G57" s="19">
        <f t="shared" ref="G57" si="36">SUM(G5:G56)</f>
        <v>4682.3</v>
      </c>
      <c r="H57" s="19">
        <f t="shared" ref="H57" si="37">SUM(H5:H56)</f>
        <v>559969.11</v>
      </c>
      <c r="I57" s="19">
        <f t="shared" ref="I57" si="38">SUM(I5:I56)</f>
        <v>11043631.569999998</v>
      </c>
      <c r="J57" s="19">
        <f t="shared" ref="J57" si="39">SUM(J5:J56)</f>
        <v>6543.58</v>
      </c>
      <c r="K57" s="19">
        <f t="shared" ref="K57" si="40">SUM(K5:K56)</f>
        <v>16376040.010000002</v>
      </c>
      <c r="L57" s="19">
        <f t="shared" ref="L57" si="41">SUM(L5:L56)</f>
        <v>53117.05</v>
      </c>
      <c r="M57" s="19">
        <f t="shared" ref="M57" si="42">SUM(M5:M56)</f>
        <v>21547736.260000002</v>
      </c>
      <c r="N57" s="19">
        <f t="shared" ref="N57" si="43">SUM(N5:N56)</f>
        <v>1336086.6199999999</v>
      </c>
      <c r="O57" s="19">
        <f t="shared" ref="O57" si="44">SUM(O5:O56)</f>
        <v>877603.56999999983</v>
      </c>
      <c r="P57" s="19">
        <f t="shared" ref="P57" si="45">SUM(P5:P56)</f>
        <v>-27868.579999999994</v>
      </c>
      <c r="Q57" s="19">
        <f t="shared" ref="Q57" si="46">SUM(Q5:Q56)</f>
        <v>2978077.3299999996</v>
      </c>
      <c r="R57" s="19">
        <f t="shared" ref="R57" si="47">SUM(R5:R56)</f>
        <v>45574.479999999996</v>
      </c>
      <c r="S57" s="19">
        <f t="shared" ref="S57" si="48">SUM(S5:S56)</f>
        <v>2064956.2</v>
      </c>
      <c r="T57" s="19">
        <f t="shared" ref="T57" si="49">SUM(T5:T56)</f>
        <v>240739.42000000004</v>
      </c>
      <c r="U57" s="19">
        <f t="shared" ref="U57" si="50">SUM(U5:U56)</f>
        <v>2915356.13</v>
      </c>
      <c r="V57" s="19">
        <f t="shared" ref="V57" si="51">SUM(V5:V56)</f>
        <v>74224.22</v>
      </c>
      <c r="W57" s="19">
        <f t="shared" ref="W57" si="52">SUM(W5:W56)</f>
        <v>62576.46</v>
      </c>
      <c r="X57" s="19">
        <f t="shared" ref="X57" si="53">SUM(X5:X56)</f>
        <v>18609247.130000003</v>
      </c>
      <c r="Y57" s="19">
        <f>SUM(Y5:Y56)</f>
        <v>35467546.370000005</v>
      </c>
      <c r="Z57" s="19">
        <f t="shared" ref="Z57:AM57" si="54">SUM(Z5:Z54)</f>
        <v>0</v>
      </c>
      <c r="AA57" s="19">
        <f t="shared" si="54"/>
        <v>0</v>
      </c>
      <c r="AB57" s="19">
        <f t="shared" si="54"/>
        <v>0</v>
      </c>
      <c r="AC57" s="19">
        <f t="shared" si="54"/>
        <v>0</v>
      </c>
      <c r="AD57" s="19">
        <f t="shared" si="54"/>
        <v>0</v>
      </c>
      <c r="AE57" s="19">
        <f t="shared" si="54"/>
        <v>0</v>
      </c>
      <c r="AF57" s="19">
        <f t="shared" si="54"/>
        <v>0</v>
      </c>
      <c r="AG57" s="19">
        <f t="shared" si="54"/>
        <v>0</v>
      </c>
      <c r="AH57" s="19">
        <f t="shared" si="54"/>
        <v>0</v>
      </c>
      <c r="AI57" s="19">
        <f t="shared" si="54"/>
        <v>0</v>
      </c>
      <c r="AJ57" s="19">
        <f t="shared" si="54"/>
        <v>0</v>
      </c>
      <c r="AK57" s="19">
        <f t="shared" si="54"/>
        <v>0</v>
      </c>
      <c r="AL57" s="19">
        <f t="shared" si="54"/>
        <v>0</v>
      </c>
      <c r="AM57" s="19">
        <f t="shared" si="54"/>
        <v>0</v>
      </c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0" customFormat="1" ht="13.5" thickTop="1">
      <c r="A58" s="196">
        <f t="shared" si="32"/>
        <v>54</v>
      </c>
      <c r="C58" s="199" t="s">
        <v>183</v>
      </c>
      <c r="D58" s="11">
        <f>Calculations!B52</f>
        <v>-42166.85</v>
      </c>
      <c r="E58" s="11">
        <f>Calculations!C52</f>
        <v>0</v>
      </c>
      <c r="F58" s="11">
        <f>Calculations!D52</f>
        <v>-394.74</v>
      </c>
      <c r="G58" s="11">
        <f>Calculations!E52</f>
        <v>-690.94999999999993</v>
      </c>
      <c r="H58" s="11">
        <f>Calculations!F52</f>
        <v>-90300.19</v>
      </c>
      <c r="I58" s="11">
        <f>Calculations!G52</f>
        <v>-5969.46</v>
      </c>
      <c r="J58" s="11">
        <f>Calculations!H52</f>
        <v>1588.01</v>
      </c>
      <c r="K58" s="11">
        <f>Calculations!I52</f>
        <v>-29701.870000000003</v>
      </c>
      <c r="L58" s="11">
        <f>Calculations!J52</f>
        <v>-48348.79</v>
      </c>
      <c r="M58" s="11">
        <f>Calculations!K52</f>
        <v>-33794.93</v>
      </c>
      <c r="N58" s="11">
        <f>Calculations!L52</f>
        <v>0</v>
      </c>
      <c r="O58" s="11">
        <f>Calculations!M52</f>
        <v>0</v>
      </c>
      <c r="P58" s="11">
        <f>Calculations!N52</f>
        <v>-5548.88</v>
      </c>
      <c r="Q58" s="11">
        <f>Calculations!O52</f>
        <v>0</v>
      </c>
      <c r="R58" s="11">
        <f>Calculations!P52</f>
        <v>0</v>
      </c>
      <c r="S58" s="11">
        <f>Calculations!Q52</f>
        <v>-2073.5500000000002</v>
      </c>
      <c r="T58" s="11">
        <f>Calculations!R52</f>
        <v>-6698.04</v>
      </c>
      <c r="U58" s="11">
        <f>Calculations!S52</f>
        <v>-891.39</v>
      </c>
      <c r="V58" s="11">
        <f>Calculations!T52</f>
        <v>0</v>
      </c>
      <c r="W58" s="11">
        <f>Calculations!U52</f>
        <v>-1096.49</v>
      </c>
      <c r="X58" s="11">
        <f>Calculations!V52</f>
        <v>-1979215.15</v>
      </c>
      <c r="Y58" s="11">
        <f>Calculations!W52</f>
        <v>-243856.04</v>
      </c>
      <c r="Z58" s="11">
        <f>Calculations!X52</f>
        <v>0</v>
      </c>
      <c r="AA58" s="11">
        <f>Calculations!Y52</f>
        <v>0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54">
      <c r="A59" s="196">
        <f t="shared" si="32"/>
        <v>55</v>
      </c>
      <c r="C59" s="2" t="s">
        <v>36</v>
      </c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>
      <c r="A60" s="196">
        <f t="shared" si="32"/>
        <v>56</v>
      </c>
      <c r="C60" s="2" t="s">
        <v>37</v>
      </c>
      <c r="Y60" s="11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>
      <c r="A61" s="196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>
      <c r="A62" s="36">
        <f>A60+1</f>
        <v>57</v>
      </c>
      <c r="C62" s="2" t="s">
        <v>38</v>
      </c>
      <c r="D62" s="1">
        <f>D57</f>
        <v>-2471.4499999999998</v>
      </c>
      <c r="E62" s="1">
        <f t="shared" ref="E62" si="55">D62+E57</f>
        <v>479654.57999999996</v>
      </c>
      <c r="F62" s="1">
        <f t="shared" ref="F62" si="56">E62+F57</f>
        <v>712929.86</v>
      </c>
      <c r="G62" s="1">
        <f t="shared" ref="G62" si="57">F62+G57</f>
        <v>717612.16</v>
      </c>
      <c r="H62" s="1">
        <f t="shared" ref="H62" si="58">G62+H57</f>
        <v>1277581.27</v>
      </c>
      <c r="I62" s="1">
        <f t="shared" ref="I62" si="59">H62+I57</f>
        <v>12321212.839999998</v>
      </c>
      <c r="J62" s="1">
        <f t="shared" ref="J62" si="60">I62+J57</f>
        <v>12327756.419999998</v>
      </c>
      <c r="K62" s="1">
        <f t="shared" ref="K62" si="61">J62+K57</f>
        <v>28703796.43</v>
      </c>
      <c r="L62" s="1">
        <f t="shared" ref="L62" si="62">K62+L57</f>
        <v>28756913.48</v>
      </c>
      <c r="M62" s="1">
        <f t="shared" ref="M62" si="63">L62+M57</f>
        <v>50304649.740000002</v>
      </c>
      <c r="N62" s="1">
        <f t="shared" ref="N62" si="64">M62+N57</f>
        <v>51640736.359999999</v>
      </c>
      <c r="O62" s="1">
        <f>N62+O57</f>
        <v>52518339.93</v>
      </c>
      <c r="P62" s="1">
        <f t="shared" ref="P62:AA62" si="65">O62+P57</f>
        <v>52490471.350000001</v>
      </c>
      <c r="Q62" s="1">
        <f t="shared" si="65"/>
        <v>55468548.68</v>
      </c>
      <c r="R62" s="1">
        <f t="shared" si="65"/>
        <v>55514123.159999996</v>
      </c>
      <c r="S62" s="1">
        <f t="shared" si="65"/>
        <v>57579079.359999999</v>
      </c>
      <c r="T62" s="1">
        <f t="shared" si="65"/>
        <v>57819818.780000001</v>
      </c>
      <c r="U62" s="1">
        <f t="shared" si="65"/>
        <v>60735174.910000004</v>
      </c>
      <c r="V62" s="1">
        <f t="shared" si="65"/>
        <v>60809399.130000003</v>
      </c>
      <c r="W62" s="1">
        <f t="shared" si="65"/>
        <v>60871975.590000004</v>
      </c>
      <c r="X62" s="1">
        <f t="shared" si="65"/>
        <v>79481222.719999999</v>
      </c>
      <c r="Y62" s="1">
        <f>X62+Y57</f>
        <v>114948769.09</v>
      </c>
      <c r="Z62" s="1">
        <f t="shared" si="65"/>
        <v>114948769.09</v>
      </c>
      <c r="AA62" s="1">
        <f t="shared" si="65"/>
        <v>114948769.09</v>
      </c>
      <c r="AB62" s="1">
        <f t="shared" ref="AB62:AL62" si="66">AA62+AB57</f>
        <v>114948769.09</v>
      </c>
      <c r="AC62" s="1">
        <f t="shared" si="66"/>
        <v>114948769.09</v>
      </c>
      <c r="AD62" s="1">
        <f t="shared" si="66"/>
        <v>114948769.09</v>
      </c>
      <c r="AE62" s="1">
        <f t="shared" si="66"/>
        <v>114948769.09</v>
      </c>
      <c r="AF62" s="1">
        <f t="shared" si="66"/>
        <v>114948769.09</v>
      </c>
      <c r="AG62" s="1">
        <f t="shared" si="66"/>
        <v>114948769.09</v>
      </c>
      <c r="AH62" s="1">
        <f t="shared" si="66"/>
        <v>114948769.09</v>
      </c>
      <c r="AI62" s="1">
        <f t="shared" si="66"/>
        <v>114948769.09</v>
      </c>
      <c r="AJ62" s="1">
        <f t="shared" si="66"/>
        <v>114948769.09</v>
      </c>
      <c r="AK62" s="1">
        <f t="shared" si="66"/>
        <v>114948769.09</v>
      </c>
      <c r="AL62" s="1">
        <f t="shared" si="66"/>
        <v>114948769.09</v>
      </c>
      <c r="AM62" s="1">
        <f t="shared" ref="AM62" si="67">AL62+AM57</f>
        <v>114948769.09</v>
      </c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>
      <c r="A63" s="36">
        <f>A62+1</f>
        <v>58</v>
      </c>
      <c r="C63" s="182" t="s">
        <v>264</v>
      </c>
      <c r="D63" s="1">
        <f>D62-84000000</f>
        <v>-84002471.450000003</v>
      </c>
      <c r="E63" s="1">
        <f t="shared" ref="E63:O63" si="68">D63+E57</f>
        <v>-83520345.420000002</v>
      </c>
      <c r="F63" s="1">
        <f t="shared" si="68"/>
        <v>-83287070.140000001</v>
      </c>
      <c r="G63" s="1">
        <f t="shared" si="68"/>
        <v>-83282387.840000004</v>
      </c>
      <c r="H63" s="1">
        <f t="shared" si="68"/>
        <v>-82722418.730000004</v>
      </c>
      <c r="I63" s="1">
        <f t="shared" si="68"/>
        <v>-71678787.160000011</v>
      </c>
      <c r="J63" s="1">
        <f t="shared" si="68"/>
        <v>-71672243.580000013</v>
      </c>
      <c r="K63" s="1">
        <f t="shared" si="68"/>
        <v>-55296203.570000008</v>
      </c>
      <c r="L63" s="1">
        <f t="shared" si="68"/>
        <v>-55243086.520000011</v>
      </c>
      <c r="M63" s="1">
        <f t="shared" si="68"/>
        <v>-33695350.260000005</v>
      </c>
      <c r="N63" s="1">
        <f t="shared" si="68"/>
        <v>-32359263.640000004</v>
      </c>
      <c r="O63" s="1">
        <f t="shared" si="68"/>
        <v>-31481660.070000004</v>
      </c>
      <c r="P63" s="1">
        <f t="shared" ref="P63" si="69">O63+P57</f>
        <v>-31509528.650000002</v>
      </c>
      <c r="Q63" s="1">
        <f t="shared" ref="Q63" si="70">P63+Q57</f>
        <v>-28531451.320000004</v>
      </c>
      <c r="R63" s="1">
        <f t="shared" ref="R63" si="71">Q63+R57</f>
        <v>-28485876.840000004</v>
      </c>
      <c r="S63" s="1">
        <f t="shared" ref="S63" si="72">R63+S57</f>
        <v>-26420920.640000004</v>
      </c>
      <c r="T63" s="1">
        <f t="shared" ref="T63" si="73">S63+T57</f>
        <v>-26180181.220000003</v>
      </c>
      <c r="U63" s="1">
        <f t="shared" ref="U63" si="74">T63+U57</f>
        <v>-23264825.090000004</v>
      </c>
      <c r="V63" s="1">
        <f t="shared" ref="V63" si="75">U63+V57</f>
        <v>-23190600.870000005</v>
      </c>
      <c r="W63" s="1">
        <f t="shared" ref="W63" si="76">V63+W57</f>
        <v>-23128024.410000004</v>
      </c>
      <c r="X63" s="1">
        <f t="shared" ref="X63" si="77">W63+X57</f>
        <v>-4518777.2800000012</v>
      </c>
      <c r="Y63" s="1">
        <f>X63+Y57</f>
        <v>30948769.090000004</v>
      </c>
      <c r="Z63" s="1">
        <f t="shared" ref="Z63" si="78">Y63+Z57</f>
        <v>30948769.090000004</v>
      </c>
      <c r="AA63" s="1">
        <f t="shared" ref="AA63" si="79">Z63+AA57</f>
        <v>30948769.090000004</v>
      </c>
      <c r="AB63" s="1">
        <f t="shared" ref="AB63" si="80">AA63+AB57</f>
        <v>30948769.090000004</v>
      </c>
      <c r="AC63" s="1">
        <f t="shared" ref="AC63" si="81">AB63+AC57</f>
        <v>30948769.090000004</v>
      </c>
      <c r="AD63" s="1">
        <f t="shared" ref="AD63" si="82">AC63+AD57</f>
        <v>30948769.090000004</v>
      </c>
      <c r="AE63" s="1">
        <f t="shared" ref="AE63" si="83">AD63+AE57</f>
        <v>30948769.090000004</v>
      </c>
      <c r="AF63" s="1">
        <f t="shared" ref="AF63" si="84">AE63+AF57</f>
        <v>30948769.090000004</v>
      </c>
      <c r="AG63" s="1">
        <f t="shared" ref="AG63" si="85">AF63+AG57</f>
        <v>30948769.090000004</v>
      </c>
      <c r="AH63" s="1">
        <f t="shared" ref="AH63" si="86">AG63+AH57</f>
        <v>30948769.090000004</v>
      </c>
      <c r="AI63" s="1">
        <f t="shared" ref="AI63" si="87">AH63+AI57</f>
        <v>30948769.090000004</v>
      </c>
      <c r="AJ63" s="1">
        <f t="shared" ref="AJ63" si="88">AI63+AJ57</f>
        <v>30948769.090000004</v>
      </c>
      <c r="AK63" s="1">
        <f t="shared" ref="AK63" si="89">AJ63+AK57</f>
        <v>30948769.090000004</v>
      </c>
      <c r="AL63" s="1">
        <f t="shared" ref="AL63" si="90">AK63+AL57</f>
        <v>30948769.090000004</v>
      </c>
      <c r="AM63" s="1">
        <f t="shared" ref="AM63" si="91">AL63+AM57</f>
        <v>30948769.090000004</v>
      </c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>
      <c r="A64" s="36">
        <f t="shared" ref="A64:A75" si="92">A63+1</f>
        <v>59</v>
      </c>
      <c r="C64" s="2" t="s">
        <v>39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f>0.0214/12</f>
        <v>1.7833333333333332E-3</v>
      </c>
      <c r="Z64" s="13">
        <f t="shared" ref="Z64:AM64" si="93">0.0214/12</f>
        <v>1.7833333333333332E-3</v>
      </c>
      <c r="AA64" s="13">
        <f t="shared" si="93"/>
        <v>1.7833333333333332E-3</v>
      </c>
      <c r="AB64" s="13">
        <f t="shared" si="93"/>
        <v>1.7833333333333332E-3</v>
      </c>
      <c r="AC64" s="13">
        <f t="shared" si="93"/>
        <v>1.7833333333333332E-3</v>
      </c>
      <c r="AD64" s="13">
        <f t="shared" si="93"/>
        <v>1.7833333333333332E-3</v>
      </c>
      <c r="AE64" s="13">
        <f t="shared" si="93"/>
        <v>1.7833333333333332E-3</v>
      </c>
      <c r="AF64" s="13">
        <f t="shared" si="93"/>
        <v>1.7833333333333332E-3</v>
      </c>
      <c r="AG64" s="13">
        <f t="shared" si="93"/>
        <v>1.7833333333333332E-3</v>
      </c>
      <c r="AH64" s="13">
        <f t="shared" si="93"/>
        <v>1.7833333333333332E-3</v>
      </c>
      <c r="AI64" s="13">
        <f t="shared" si="93"/>
        <v>1.7833333333333332E-3</v>
      </c>
      <c r="AJ64" s="13">
        <f t="shared" si="93"/>
        <v>1.7833333333333332E-3</v>
      </c>
      <c r="AK64" s="13">
        <f t="shared" si="93"/>
        <v>1.7833333333333332E-3</v>
      </c>
      <c r="AL64" s="13">
        <f t="shared" si="93"/>
        <v>1.7833333333333332E-3</v>
      </c>
      <c r="AM64" s="13">
        <f t="shared" si="93"/>
        <v>1.7833333333333332E-3</v>
      </c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>
      <c r="A65" s="36">
        <f t="shared" si="92"/>
        <v>60</v>
      </c>
      <c r="C65" s="2" t="s">
        <v>40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f>Y63*Y64</f>
        <v>55191.971543833337</v>
      </c>
      <c r="Z65" s="18">
        <f t="shared" ref="Z65:AA65" si="94">Z63*Z64</f>
        <v>55191.971543833337</v>
      </c>
      <c r="AA65" s="18">
        <f t="shared" si="94"/>
        <v>55191.971543833337</v>
      </c>
      <c r="AB65" s="18">
        <f t="shared" ref="AB65" si="95">AB63*AB64</f>
        <v>55191.971543833337</v>
      </c>
      <c r="AC65" s="18">
        <f t="shared" ref="AC65" si="96">AC63*AC64</f>
        <v>55191.971543833337</v>
      </c>
      <c r="AD65" s="18">
        <f t="shared" ref="AD65" si="97">AD63*AD64</f>
        <v>55191.971543833337</v>
      </c>
      <c r="AE65" s="18">
        <f t="shared" ref="AE65" si="98">AE63*AE64</f>
        <v>55191.971543833337</v>
      </c>
      <c r="AF65" s="18">
        <f t="shared" ref="AF65" si="99">AF63*AF64</f>
        <v>55191.971543833337</v>
      </c>
      <c r="AG65" s="18">
        <f t="shared" ref="AG65" si="100">AG63*AG64</f>
        <v>55191.971543833337</v>
      </c>
      <c r="AH65" s="18">
        <f t="shared" ref="AH65" si="101">AH63*AH64</f>
        <v>55191.971543833337</v>
      </c>
      <c r="AI65" s="18">
        <f t="shared" ref="AI65" si="102">AI63*AI64</f>
        <v>55191.971543833337</v>
      </c>
      <c r="AJ65" s="18">
        <f t="shared" ref="AJ65" si="103">AJ63*AJ64</f>
        <v>55191.971543833337</v>
      </c>
      <c r="AK65" s="18">
        <f t="shared" ref="AK65" si="104">AK63*AK64</f>
        <v>55191.971543833337</v>
      </c>
      <c r="AL65" s="18">
        <f t="shared" ref="AL65" si="105">AL63*AL64</f>
        <v>55191.971543833337</v>
      </c>
      <c r="AM65" s="18">
        <f t="shared" ref="AM65" si="106">AM63*AM64</f>
        <v>55191.971543833337</v>
      </c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>
      <c r="A66" s="36">
        <f t="shared" si="92"/>
        <v>61</v>
      </c>
      <c r="C66" s="2" t="s">
        <v>162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f>Calculations!W70</f>
        <v>350584.45993066666</v>
      </c>
      <c r="Z66" s="1">
        <f>Calculations!X70</f>
        <v>106728.41993066667</v>
      </c>
      <c r="AA66" s="1">
        <f>Calculations!Y70</f>
        <v>106728.41993066667</v>
      </c>
      <c r="AB66" s="1">
        <f>Calculations!Z70</f>
        <v>204941.27444133334</v>
      </c>
      <c r="AC66" s="1">
        <f>Calculations!AA70</f>
        <v>204941.27444133334</v>
      </c>
      <c r="AD66" s="1">
        <f>Calculations!AB70</f>
        <v>204941.27444133334</v>
      </c>
      <c r="AE66" s="1">
        <f>Calculations!AC70</f>
        <v>204941.27444133334</v>
      </c>
      <c r="AF66" s="1">
        <f>Calculations!AD70</f>
        <v>204941.27444133334</v>
      </c>
      <c r="AG66" s="1">
        <f>Calculations!AE70</f>
        <v>204941.27444133334</v>
      </c>
      <c r="AH66" s="1">
        <f>Calculations!AF70</f>
        <v>204941.27444133334</v>
      </c>
      <c r="AI66" s="1">
        <f>Calculations!AG70</f>
        <v>204941.27444133334</v>
      </c>
      <c r="AJ66" s="1">
        <f>Calculations!AH70</f>
        <v>204941.27444133334</v>
      </c>
      <c r="AK66" s="1">
        <f>Calculations!AI70</f>
        <v>204941.27444133334</v>
      </c>
      <c r="AL66" s="1">
        <f>Calculations!AJ70</f>
        <v>204941.27444133334</v>
      </c>
      <c r="AM66" s="1">
        <f>Calculations!AK70</f>
        <v>204941.27444133334</v>
      </c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>
      <c r="A67" s="36">
        <f t="shared" si="92"/>
        <v>62</v>
      </c>
      <c r="C67" s="2" t="s">
        <v>45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>
        <f>Y65-Y66</f>
        <v>-295392.48838683334</v>
      </c>
      <c r="Z67" s="1">
        <f t="shared" ref="Z67:AA67" si="107">Z65-Z66</f>
        <v>-51536.448386833334</v>
      </c>
      <c r="AA67" s="1">
        <f t="shared" si="107"/>
        <v>-51536.448386833334</v>
      </c>
      <c r="AB67" s="1">
        <f t="shared" ref="AB67:AL67" si="108">AB65-AB66</f>
        <v>-149749.30289749999</v>
      </c>
      <c r="AC67" s="1">
        <f t="shared" si="108"/>
        <v>-149749.30289749999</v>
      </c>
      <c r="AD67" s="1">
        <f t="shared" si="108"/>
        <v>-149749.30289749999</v>
      </c>
      <c r="AE67" s="1">
        <f t="shared" si="108"/>
        <v>-149749.30289749999</v>
      </c>
      <c r="AF67" s="1">
        <f t="shared" si="108"/>
        <v>-149749.30289749999</v>
      </c>
      <c r="AG67" s="1">
        <f t="shared" si="108"/>
        <v>-149749.30289749999</v>
      </c>
      <c r="AH67" s="1">
        <f t="shared" si="108"/>
        <v>-149749.30289749999</v>
      </c>
      <c r="AI67" s="1">
        <f t="shared" si="108"/>
        <v>-149749.30289749999</v>
      </c>
      <c r="AJ67" s="1">
        <f t="shared" si="108"/>
        <v>-149749.30289749999</v>
      </c>
      <c r="AK67" s="1">
        <f t="shared" si="108"/>
        <v>-149749.30289749999</v>
      </c>
      <c r="AL67" s="1">
        <f t="shared" si="108"/>
        <v>-149749.30289749999</v>
      </c>
      <c r="AM67" s="1">
        <f t="shared" ref="AM67" si="109">AM65-AM66</f>
        <v>-149749.30289749999</v>
      </c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>
      <c r="A68" s="36">
        <f t="shared" si="92"/>
        <v>63</v>
      </c>
      <c r="C68" s="2" t="s">
        <v>163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>
        <f t="shared" ref="Y68:AA68" si="110">Y67*0.38</f>
        <v>-112249.14558699667</v>
      </c>
      <c r="Z68" s="1">
        <f t="shared" si="110"/>
        <v>-19583.850386996666</v>
      </c>
      <c r="AA68" s="1">
        <f t="shared" si="110"/>
        <v>-19583.850386996666</v>
      </c>
      <c r="AB68" s="1">
        <f t="shared" ref="AB68:AL68" si="111">AB67*0.38</f>
        <v>-56904.735101049999</v>
      </c>
      <c r="AC68" s="1">
        <f t="shared" si="111"/>
        <v>-56904.735101049999</v>
      </c>
      <c r="AD68" s="1">
        <f t="shared" si="111"/>
        <v>-56904.735101049999</v>
      </c>
      <c r="AE68" s="1">
        <f t="shared" si="111"/>
        <v>-56904.735101049999</v>
      </c>
      <c r="AF68" s="1">
        <f t="shared" si="111"/>
        <v>-56904.735101049999</v>
      </c>
      <c r="AG68" s="1">
        <f t="shared" si="111"/>
        <v>-56904.735101049999</v>
      </c>
      <c r="AH68" s="1">
        <f t="shared" si="111"/>
        <v>-56904.735101049999</v>
      </c>
      <c r="AI68" s="1">
        <f t="shared" si="111"/>
        <v>-56904.735101049999</v>
      </c>
      <c r="AJ68" s="1">
        <f t="shared" si="111"/>
        <v>-56904.735101049999</v>
      </c>
      <c r="AK68" s="1">
        <f t="shared" si="111"/>
        <v>-56904.735101049999</v>
      </c>
      <c r="AL68" s="1">
        <f t="shared" si="111"/>
        <v>-56904.735101049999</v>
      </c>
      <c r="AM68" s="1">
        <f t="shared" ref="AM68" si="112">AM67*0.38</f>
        <v>-56904.735101049999</v>
      </c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>
      <c r="A69" s="36">
        <f t="shared" si="92"/>
        <v>64</v>
      </c>
      <c r="C69" s="2" t="s">
        <v>46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>
        <f>X69+Y68</f>
        <v>-112249.14558699667</v>
      </c>
      <c r="Z69" s="1">
        <f t="shared" ref="Z69" si="113">Y69+Z68</f>
        <v>-131832.99597399333</v>
      </c>
      <c r="AA69" s="1">
        <f t="shared" ref="AA69" si="114">Z69+AA68</f>
        <v>-151416.84636098999</v>
      </c>
      <c r="AB69" s="1">
        <f t="shared" ref="AB69" si="115">AA69+AB68</f>
        <v>-208321.58146203999</v>
      </c>
      <c r="AC69" s="1">
        <f t="shared" ref="AC69" si="116">AB69+AC68</f>
        <v>-265226.31656308996</v>
      </c>
      <c r="AD69" s="1">
        <f t="shared" ref="AD69" si="117">AC69+AD68</f>
        <v>-322131.05166413996</v>
      </c>
      <c r="AE69" s="1">
        <f t="shared" ref="AE69" si="118">AD69+AE68</f>
        <v>-379035.78676518996</v>
      </c>
      <c r="AF69" s="1">
        <f t="shared" ref="AF69" si="119">AE69+AF68</f>
        <v>-435940.52186623996</v>
      </c>
      <c r="AG69" s="1">
        <f t="shared" ref="AG69" si="120">AF69+AG68</f>
        <v>-492845.25696728996</v>
      </c>
      <c r="AH69" s="1">
        <f t="shared" ref="AH69" si="121">AG69+AH68</f>
        <v>-549749.99206833995</v>
      </c>
      <c r="AI69" s="1">
        <f t="shared" ref="AI69" si="122">AH69+AI68</f>
        <v>-606654.72716938995</v>
      </c>
      <c r="AJ69" s="1">
        <f t="shared" ref="AJ69" si="123">AI69+AJ68</f>
        <v>-663559.46227043995</v>
      </c>
      <c r="AK69" s="1">
        <f t="shared" ref="AK69" si="124">AJ69+AK68</f>
        <v>-720464.19737148995</v>
      </c>
      <c r="AL69" s="1">
        <f t="shared" ref="AL69" si="125">AK69+AL68</f>
        <v>-777368.93247253995</v>
      </c>
      <c r="AM69" s="1">
        <f t="shared" ref="AM69" si="126">AL69+AM68</f>
        <v>-834273.66757358995</v>
      </c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>
      <c r="A70" s="36">
        <f t="shared" si="92"/>
        <v>65</v>
      </c>
      <c r="C70" s="2" t="s">
        <v>41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>
        <f>(X70-Y65-SUM(Y48:Y56)-Y58)</f>
        <v>513725.96845616668</v>
      </c>
      <c r="Z70" s="1">
        <f t="shared" ref="Z70:AM70" si="127">(Y70-Z65-SUM(Z48:Z56)-Z58)</f>
        <v>458533.99691233336</v>
      </c>
      <c r="AA70" s="1">
        <f t="shared" si="127"/>
        <v>403342.02536850004</v>
      </c>
      <c r="AB70" s="1">
        <f t="shared" si="127"/>
        <v>348150.05382466671</v>
      </c>
      <c r="AC70" s="1">
        <f t="shared" si="127"/>
        <v>292958.08228083339</v>
      </c>
      <c r="AD70" s="1">
        <f t="shared" si="127"/>
        <v>237766.11073700007</v>
      </c>
      <c r="AE70" s="1">
        <f t="shared" si="127"/>
        <v>182574.13919316675</v>
      </c>
      <c r="AF70" s="1">
        <f t="shared" si="127"/>
        <v>127382.16764933341</v>
      </c>
      <c r="AG70" s="1">
        <f t="shared" si="127"/>
        <v>72190.196105500072</v>
      </c>
      <c r="AH70" s="1">
        <f t="shared" si="127"/>
        <v>16998.224561666735</v>
      </c>
      <c r="AI70" s="1">
        <f t="shared" si="127"/>
        <v>-38193.746982166602</v>
      </c>
      <c r="AJ70" s="1">
        <f t="shared" si="127"/>
        <v>-93385.718525999939</v>
      </c>
      <c r="AK70" s="1">
        <f t="shared" si="127"/>
        <v>-148577.69006983328</v>
      </c>
      <c r="AL70" s="1">
        <f t="shared" si="127"/>
        <v>-203769.66161366663</v>
      </c>
      <c r="AM70" s="1">
        <f t="shared" si="127"/>
        <v>-258961.63315749995</v>
      </c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>
      <c r="A71" s="36">
        <f t="shared" si="92"/>
        <v>66</v>
      </c>
      <c r="C71" s="182" t="s">
        <v>199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"/>
      <c r="Z71" s="1">
        <f t="shared" ref="Z71:Z72" si="128">((Y69/2)+SUM(Z69:AJ69)+(AK69/2))/12</f>
        <v>-385255.93421753222</v>
      </c>
      <c r="AA71" s="1">
        <f t="shared" ref="AA71" si="129">((Z69/2)+SUM(AA69:AK69)+(AL69/2))/12</f>
        <v>-437495.55872932548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5" customFormat="1">
      <c r="A72" s="196">
        <f>A71+1</f>
        <v>67</v>
      </c>
      <c r="C72" s="193" t="s">
        <v>42</v>
      </c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"/>
      <c r="Z72" s="1">
        <f t="shared" si="128"/>
        <v>182574.13919316672</v>
      </c>
      <c r="AA72" s="1">
        <f>((Z70/2)+SUM(AA70:AK70)+(AL70/2))/12</f>
        <v>127382.16764933338</v>
      </c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</row>
    <row r="73" spans="1:54">
      <c r="A73" s="36">
        <f t="shared" si="92"/>
        <v>68</v>
      </c>
      <c r="C73" s="2" t="s">
        <v>43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"/>
      <c r="Z73" s="1">
        <f t="shared" ref="Z73:AA73" si="130">((Y62/2)+SUM(Z62:AJ62)+(AK62/2))/12</f>
        <v>114948769.09000002</v>
      </c>
      <c r="AA73" s="1">
        <f t="shared" si="130"/>
        <v>114948769.09000002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>
      <c r="A74" s="36">
        <f t="shared" si="92"/>
        <v>69</v>
      </c>
      <c r="C74" s="182" t="s">
        <v>318</v>
      </c>
      <c r="D74" s="11"/>
      <c r="Y74" s="11"/>
      <c r="Z74" s="11">
        <f>Z73-84000000</f>
        <v>30948769.090000018</v>
      </c>
      <c r="AA74" s="11">
        <f>AA73-84000000</f>
        <v>30948769.090000018</v>
      </c>
    </row>
    <row r="75" spans="1:54">
      <c r="A75" s="36">
        <f t="shared" si="92"/>
        <v>70</v>
      </c>
      <c r="C75" s="2" t="s">
        <v>44</v>
      </c>
      <c r="D75" s="11"/>
    </row>
    <row r="77" spans="1:54">
      <c r="B77" s="182" t="s">
        <v>181</v>
      </c>
    </row>
  </sheetData>
  <sortState ref="B5:AS38">
    <sortCondition ref="B5:B38"/>
  </sortState>
  <mergeCells count="1">
    <mergeCell ref="A1:Q1"/>
  </mergeCells>
  <pageMargins left="0.25" right="0.25" top="0.35" bottom="0.21" header="0.17" footer="0.17"/>
  <pageSetup scale="54" fitToWidth="0" orientation="landscape" r:id="rId1"/>
  <colBreaks count="2" manualBreakCount="2">
    <brk id="15" max="81" man="1"/>
    <brk id="27" max="8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2"/>
  <sheetViews>
    <sheetView workbookViewId="0">
      <selection activeCell="E22" sqref="E22"/>
    </sheetView>
  </sheetViews>
  <sheetFormatPr defaultRowHeight="12.75"/>
  <cols>
    <col min="1" max="1" width="9.85546875" style="36" customWidth="1"/>
    <col min="2" max="2" width="54" bestFit="1" customWidth="1"/>
    <col min="3" max="3" width="19.42578125" customWidth="1"/>
    <col min="4" max="4" width="2.42578125" customWidth="1"/>
    <col min="5" max="5" width="24" customWidth="1"/>
    <col min="6" max="6" width="1.7109375" customWidth="1"/>
    <col min="7" max="7" width="15.28515625" customWidth="1"/>
    <col min="8" max="8" width="13.5703125" bestFit="1" customWidth="1"/>
    <col min="9" max="9" width="12.42578125" bestFit="1" customWidth="1"/>
  </cols>
  <sheetData>
    <row r="1" spans="1:9">
      <c r="A1" s="229" t="s">
        <v>47</v>
      </c>
      <c r="B1" s="229"/>
      <c r="C1" s="229"/>
      <c r="D1" s="229"/>
      <c r="E1" s="229"/>
      <c r="F1" s="181"/>
      <c r="G1" s="181"/>
    </row>
    <row r="2" spans="1:9">
      <c r="A2" s="229"/>
      <c r="B2" s="229"/>
      <c r="C2" s="229"/>
      <c r="D2" s="229"/>
      <c r="E2" s="229"/>
      <c r="F2" s="181"/>
      <c r="G2" s="181"/>
    </row>
    <row r="3" spans="1:9">
      <c r="A3" s="12"/>
      <c r="B3" s="20"/>
      <c r="C3" s="20"/>
      <c r="D3" s="20"/>
      <c r="E3" s="20"/>
      <c r="F3" s="20"/>
      <c r="G3" s="20"/>
    </row>
    <row r="4" spans="1:9">
      <c r="A4" s="35"/>
      <c r="B4" s="22"/>
      <c r="C4" s="22" t="s">
        <v>48</v>
      </c>
    </row>
    <row r="5" spans="1:9">
      <c r="A5" s="35"/>
      <c r="B5" s="23"/>
      <c r="C5" s="24" t="s">
        <v>49</v>
      </c>
    </row>
    <row r="6" spans="1:9">
      <c r="A6" s="35">
        <v>1</v>
      </c>
      <c r="B6" s="25" t="s">
        <v>50</v>
      </c>
      <c r="C6" s="26">
        <f ca="1">LOOKUP(C41,'Exhibit 1.1'!D3:BW3,'Exhibit 1.1'!D62:DOY62)</f>
        <v>114948769.09</v>
      </c>
      <c r="D6" s="21"/>
    </row>
    <row r="7" spans="1:9">
      <c r="A7" s="35">
        <f t="shared" ref="A7:A18" si="0">A6+1</f>
        <v>2</v>
      </c>
      <c r="B7" s="25" t="s">
        <v>52</v>
      </c>
      <c r="C7" s="27">
        <v>-84000000</v>
      </c>
      <c r="D7" s="21" t="s">
        <v>51</v>
      </c>
    </row>
    <row r="8" spans="1:9">
      <c r="A8" s="35">
        <f t="shared" si="0"/>
        <v>3</v>
      </c>
      <c r="B8" s="25" t="s">
        <v>54</v>
      </c>
      <c r="C8" s="28">
        <f ca="1">SUM(C6:C7)</f>
        <v>30948769.090000004</v>
      </c>
      <c r="D8" s="21" t="s">
        <v>53</v>
      </c>
      <c r="E8" s="7"/>
      <c r="G8" s="7"/>
      <c r="H8" s="7"/>
      <c r="I8" s="7"/>
    </row>
    <row r="9" spans="1:9">
      <c r="A9" s="35">
        <f t="shared" si="0"/>
        <v>4</v>
      </c>
      <c r="B9" s="25" t="s">
        <v>55</v>
      </c>
      <c r="C9" s="194">
        <f>LOOKUP(C42,'Exhibit 1.1'!D3:BW3,'Exhibit 1.1'!D72:BW72)</f>
        <v>127382.16764933338</v>
      </c>
      <c r="D9" s="21" t="s">
        <v>56</v>
      </c>
    </row>
    <row r="10" spans="1:9">
      <c r="A10" s="35">
        <f t="shared" si="0"/>
        <v>5</v>
      </c>
      <c r="B10" s="25" t="s">
        <v>57</v>
      </c>
      <c r="C10" s="195">
        <f>LOOKUP(C42,'Exhibit 1.1'!D3:BW3,'Exhibit 1.1'!D71:BW71)</f>
        <v>-437495.55872932548</v>
      </c>
      <c r="D10" s="21" t="s">
        <v>58</v>
      </c>
    </row>
    <row r="11" spans="1:9">
      <c r="A11" s="35">
        <f t="shared" si="0"/>
        <v>6</v>
      </c>
      <c r="B11" s="25" t="s">
        <v>59</v>
      </c>
      <c r="C11" s="28">
        <f ca="1">SUM(C8:C10)</f>
        <v>30638655.698920012</v>
      </c>
      <c r="D11" s="21"/>
      <c r="H11" s="7"/>
    </row>
    <row r="12" spans="1:9">
      <c r="A12" s="35">
        <f t="shared" si="0"/>
        <v>7</v>
      </c>
      <c r="B12" s="25" t="s">
        <v>60</v>
      </c>
      <c r="C12" s="29">
        <v>0.1079</v>
      </c>
      <c r="D12" s="21" t="s">
        <v>182</v>
      </c>
    </row>
    <row r="13" spans="1:9">
      <c r="A13" s="35">
        <f t="shared" si="0"/>
        <v>8</v>
      </c>
      <c r="B13" s="25" t="s">
        <v>61</v>
      </c>
      <c r="C13" s="26">
        <f ca="1">C11*C12</f>
        <v>3305910.9499134691</v>
      </c>
      <c r="D13" s="21"/>
    </row>
    <row r="14" spans="1:9">
      <c r="A14" s="35">
        <f t="shared" si="0"/>
        <v>9</v>
      </c>
      <c r="B14" s="25" t="s">
        <v>62</v>
      </c>
      <c r="C14" s="26">
        <f ca="1">C8*0.021</f>
        <v>649924.15089000016</v>
      </c>
      <c r="D14" s="21" t="s">
        <v>212</v>
      </c>
    </row>
    <row r="15" spans="1:9">
      <c r="A15" s="35">
        <f t="shared" si="0"/>
        <v>10</v>
      </c>
      <c r="B15" s="25" t="s">
        <v>63</v>
      </c>
      <c r="C15" s="28">
        <f ca="1">C11*0.012</f>
        <v>367663.86838704016</v>
      </c>
      <c r="D15" s="21"/>
    </row>
    <row r="16" spans="1:9" ht="13.5" thickBot="1">
      <c r="A16" s="35">
        <f t="shared" si="0"/>
        <v>11</v>
      </c>
      <c r="B16" s="185" t="s">
        <v>188</v>
      </c>
      <c r="C16" s="30">
        <f ca="1">SUM(C13:C15)</f>
        <v>4323498.9691905091</v>
      </c>
    </row>
    <row r="17" spans="1:8" ht="13.5" thickTop="1">
      <c r="A17" s="35">
        <f t="shared" si="0"/>
        <v>12</v>
      </c>
      <c r="B17" s="185" t="s">
        <v>211</v>
      </c>
      <c r="C17" s="26">
        <v>0</v>
      </c>
      <c r="D17" s="21" t="s">
        <v>322</v>
      </c>
    </row>
    <row r="18" spans="1:8">
      <c r="A18" s="35">
        <f t="shared" si="0"/>
        <v>13</v>
      </c>
      <c r="B18" s="185" t="s">
        <v>233</v>
      </c>
      <c r="C18" s="26">
        <f ca="1">C16-C17</f>
        <v>4323498.9691905091</v>
      </c>
      <c r="E18" s="7"/>
      <c r="G18" s="7"/>
      <c r="H18" s="7"/>
    </row>
    <row r="19" spans="1:8">
      <c r="G19" s="218"/>
      <c r="H19" s="218"/>
    </row>
    <row r="28" spans="1:8">
      <c r="A28" s="31" t="s">
        <v>265</v>
      </c>
    </row>
    <row r="29" spans="1:8">
      <c r="A29" s="31" t="s">
        <v>324</v>
      </c>
    </row>
    <row r="30" spans="1:8" ht="12.75" customHeight="1">
      <c r="A30" s="31" t="s">
        <v>326</v>
      </c>
      <c r="B30" s="227"/>
      <c r="C30" s="227"/>
      <c r="D30" s="227"/>
      <c r="E30" s="227"/>
    </row>
    <row r="31" spans="1:8">
      <c r="A31" s="31" t="s">
        <v>323</v>
      </c>
      <c r="B31" s="227"/>
      <c r="C31" s="227"/>
      <c r="D31" s="227"/>
      <c r="E31" s="227"/>
    </row>
    <row r="32" spans="1:8">
      <c r="A32" s="23" t="s">
        <v>319</v>
      </c>
    </row>
    <row r="33" spans="1:7">
      <c r="A33" s="23" t="s">
        <v>320</v>
      </c>
      <c r="C33" s="33"/>
      <c r="D33" s="4"/>
      <c r="E33" s="33"/>
      <c r="F33" s="4"/>
      <c r="G33" s="33"/>
    </row>
    <row r="34" spans="1:7">
      <c r="A34" s="23" t="s">
        <v>321</v>
      </c>
      <c r="C34" s="32"/>
      <c r="D34" s="4"/>
      <c r="E34" s="32"/>
      <c r="F34" s="4"/>
      <c r="G34" s="34"/>
    </row>
    <row r="35" spans="1:7">
      <c r="A35" s="23" t="s">
        <v>312</v>
      </c>
      <c r="C35" s="32"/>
      <c r="D35" s="4"/>
      <c r="E35" s="32"/>
      <c r="F35" s="4"/>
      <c r="G35" s="34"/>
    </row>
    <row r="36" spans="1:7">
      <c r="A36" s="23" t="s">
        <v>325</v>
      </c>
    </row>
    <row r="37" spans="1:7">
      <c r="C37" s="7"/>
    </row>
    <row r="41" spans="1:7">
      <c r="B41" t="s">
        <v>200</v>
      </c>
      <c r="C41" s="191">
        <v>41943</v>
      </c>
    </row>
    <row r="42" spans="1:7">
      <c r="B42" s="182" t="s">
        <v>201</v>
      </c>
      <c r="C42" s="205">
        <v>42004</v>
      </c>
    </row>
  </sheetData>
  <mergeCells count="2">
    <mergeCell ref="A1:E1"/>
    <mergeCell ref="A2:E2"/>
  </mergeCells>
  <pageMargins left="0.7" right="0.7" top="0.89124999999999999" bottom="0.75" header="0.3" footer="0.3"/>
  <pageSetup scale="84" orientation="portrait" r:id="rId1"/>
  <headerFooter scaleWithDoc="0">
    <oddHeader>&amp;R&amp;"Arial,Regular"Questar Gas Company
Docket 14-057-27
Exhibit 1.1 Page 4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1"/>
  <sheetViews>
    <sheetView workbookViewId="0">
      <selection activeCell="C28" sqref="C28"/>
    </sheetView>
  </sheetViews>
  <sheetFormatPr defaultRowHeight="12.75"/>
  <cols>
    <col min="1" max="1" width="3.28515625" customWidth="1"/>
    <col min="2" max="2" width="5.7109375" customWidth="1"/>
    <col min="3" max="3" width="18.28515625" customWidth="1"/>
    <col min="4" max="4" width="3.85546875" customWidth="1"/>
    <col min="5" max="5" width="14" bestFit="1" customWidth="1"/>
    <col min="6" max="6" width="3.85546875" customWidth="1"/>
    <col min="7" max="7" width="16" bestFit="1" customWidth="1"/>
    <col min="8" max="8" width="3.85546875" customWidth="1"/>
  </cols>
  <sheetData>
    <row r="1" spans="1:8">
      <c r="A1" s="38"/>
      <c r="B1" s="230" t="s">
        <v>64</v>
      </c>
      <c r="C1" s="230"/>
      <c r="D1" s="230"/>
      <c r="E1" s="230"/>
      <c r="F1" s="230"/>
      <c r="G1" s="230"/>
      <c r="H1" s="39"/>
    </row>
    <row r="2" spans="1:8">
      <c r="A2" s="38"/>
      <c r="B2" s="40"/>
      <c r="C2" s="39"/>
      <c r="D2" s="39"/>
      <c r="E2" s="40"/>
      <c r="F2" s="39"/>
      <c r="G2" s="40"/>
      <c r="H2" s="39"/>
    </row>
    <row r="3" spans="1:8">
      <c r="A3" s="38"/>
      <c r="B3" s="40"/>
      <c r="C3" s="39"/>
      <c r="D3" s="39"/>
      <c r="E3" s="40"/>
      <c r="F3" s="39"/>
      <c r="G3" s="40"/>
      <c r="H3" s="39"/>
    </row>
    <row r="4" spans="1:8">
      <c r="A4" s="38"/>
      <c r="B4" s="40"/>
      <c r="C4" s="41" t="s">
        <v>65</v>
      </c>
      <c r="D4" s="41"/>
      <c r="E4" s="41" t="s">
        <v>66</v>
      </c>
      <c r="F4" s="41"/>
      <c r="G4" s="41" t="s">
        <v>67</v>
      </c>
      <c r="H4" s="41"/>
    </row>
    <row r="5" spans="1:8">
      <c r="A5" s="38"/>
      <c r="B5" s="40"/>
      <c r="C5" s="42" t="s">
        <v>68</v>
      </c>
      <c r="D5" s="40"/>
      <c r="E5" s="40"/>
      <c r="F5" s="40"/>
      <c r="G5" s="41" t="s">
        <v>7</v>
      </c>
      <c r="H5" s="40"/>
    </row>
    <row r="6" spans="1:8">
      <c r="A6" s="38"/>
      <c r="B6" s="40"/>
      <c r="C6" s="43" t="s">
        <v>266</v>
      </c>
      <c r="D6" s="41"/>
      <c r="E6" s="41" t="s">
        <v>69</v>
      </c>
      <c r="F6" s="41"/>
      <c r="G6" s="41" t="s">
        <v>70</v>
      </c>
      <c r="H6" s="41"/>
    </row>
    <row r="7" spans="1:8">
      <c r="A7" s="38"/>
      <c r="B7" s="40"/>
      <c r="C7" s="44" t="s">
        <v>71</v>
      </c>
      <c r="D7" s="45"/>
      <c r="E7" s="45" t="s">
        <v>72</v>
      </c>
      <c r="F7" s="45"/>
      <c r="G7" s="45" t="s">
        <v>48</v>
      </c>
      <c r="H7" s="45"/>
    </row>
    <row r="8" spans="1:8">
      <c r="A8" s="38"/>
      <c r="B8" s="40"/>
      <c r="C8" s="46" t="s">
        <v>51</v>
      </c>
      <c r="D8" s="40"/>
      <c r="E8" s="47"/>
      <c r="F8" s="40"/>
      <c r="G8" s="48"/>
      <c r="H8" s="40"/>
    </row>
    <row r="9" spans="1:8">
      <c r="A9" s="49">
        <v>1</v>
      </c>
      <c r="B9" s="40" t="s">
        <v>73</v>
      </c>
      <c r="C9" s="50">
        <f>270948319+5043801</f>
        <v>275992120</v>
      </c>
      <c r="D9" s="51"/>
      <c r="E9" s="52">
        <f>C9/$C$17</f>
        <v>0.9138489985447168</v>
      </c>
      <c r="F9" s="51"/>
      <c r="G9" s="51">
        <f ca="1">E9*$G$17</f>
        <v>3951025.2032038621</v>
      </c>
      <c r="H9" s="51"/>
    </row>
    <row r="10" spans="1:8">
      <c r="A10" s="49">
        <v>2</v>
      </c>
      <c r="B10" s="40" t="s">
        <v>74</v>
      </c>
      <c r="C10" s="53">
        <f>3578143+64649</f>
        <v>3642792</v>
      </c>
      <c r="D10" s="54"/>
      <c r="E10" s="52">
        <f>C10/$C$17</f>
        <v>1.20618002467125E-2</v>
      </c>
      <c r="F10" s="54"/>
      <c r="G10" s="51">
        <f t="shared" ref="G10:G15" ca="1" si="0">E10*$G$17</f>
        <v>52149.180933243326</v>
      </c>
      <c r="H10" s="54"/>
    </row>
    <row r="11" spans="1:8">
      <c r="A11" s="49">
        <v>3</v>
      </c>
      <c r="B11" s="40" t="s">
        <v>75</v>
      </c>
      <c r="C11" s="53">
        <f>3632517+70341</f>
        <v>3702858</v>
      </c>
      <c r="D11" s="54"/>
      <c r="E11" s="52">
        <f t="shared" ref="E11:E15" si="1">C11/$C$17</f>
        <v>1.226068727996036E-2</v>
      </c>
      <c r="F11" s="54"/>
      <c r="G11" s="51">
        <f t="shared" ca="1" si="0"/>
        <v>53009.068816475803</v>
      </c>
      <c r="H11" s="54"/>
    </row>
    <row r="12" spans="1:8">
      <c r="A12" s="49">
        <v>4</v>
      </c>
      <c r="B12" s="40" t="s">
        <v>76</v>
      </c>
      <c r="C12" s="53">
        <f>820693+99885</f>
        <v>920578</v>
      </c>
      <c r="D12" s="54"/>
      <c r="E12" s="52">
        <f t="shared" si="1"/>
        <v>3.0481641409990197E-3</v>
      </c>
      <c r="F12" s="54"/>
      <c r="G12" s="51">
        <f t="shared" ca="1" si="0"/>
        <v>13178.734521532735</v>
      </c>
      <c r="H12" s="54"/>
    </row>
    <row r="13" spans="1:8">
      <c r="A13" s="49">
        <v>5</v>
      </c>
      <c r="B13" s="40" t="s">
        <v>77</v>
      </c>
      <c r="C13" s="53">
        <f>10790569+2055289-C14</f>
        <v>12823824</v>
      </c>
      <c r="D13" s="54"/>
      <c r="E13" s="52">
        <f t="shared" si="1"/>
        <v>4.2461497523602142E-2</v>
      </c>
      <c r="F13" s="54"/>
      <c r="G13" s="51">
        <f t="shared" ca="1" si="0"/>
        <v>183582.24077357922</v>
      </c>
      <c r="H13" s="54"/>
    </row>
    <row r="14" spans="1:8">
      <c r="A14" s="49">
        <v>6</v>
      </c>
      <c r="B14" s="40" t="s">
        <v>78</v>
      </c>
      <c r="C14" s="53">
        <v>22034</v>
      </c>
      <c r="D14" s="54"/>
      <c r="E14" s="52">
        <f t="shared" si="1"/>
        <v>7.2957694712205161E-5</v>
      </c>
      <c r="F14" s="54"/>
      <c r="G14" s="51">
        <f t="shared" ca="1" si="0"/>
        <v>315.43251788273489</v>
      </c>
      <c r="H14" s="54"/>
    </row>
    <row r="15" spans="1:8">
      <c r="A15" s="49">
        <v>7</v>
      </c>
      <c r="B15" s="40" t="s">
        <v>79</v>
      </c>
      <c r="C15" s="55">
        <f>1470474+3155877+280082</f>
        <v>4906433</v>
      </c>
      <c r="D15" s="54"/>
      <c r="E15" s="56">
        <f t="shared" si="1"/>
        <v>1.6245894569296943E-2</v>
      </c>
      <c r="F15" s="54"/>
      <c r="G15" s="57">
        <f t="shared" ca="1" si="0"/>
        <v>70239.108423933023</v>
      </c>
      <c r="H15" s="54"/>
    </row>
    <row r="16" spans="1:8">
      <c r="A16" s="49"/>
      <c r="B16" s="40"/>
      <c r="C16" s="58"/>
      <c r="D16" s="58"/>
      <c r="E16" s="58"/>
      <c r="F16" s="58"/>
      <c r="G16" s="58"/>
      <c r="H16" s="58"/>
    </row>
    <row r="17" spans="1:8">
      <c r="A17" s="49">
        <v>8</v>
      </c>
      <c r="B17" s="40" t="s">
        <v>80</v>
      </c>
      <c r="C17" s="58">
        <f>SUM(C9:C15)</f>
        <v>302010639</v>
      </c>
      <c r="D17" s="58"/>
      <c r="E17" s="59">
        <f>SUM(E9:E15)</f>
        <v>1</v>
      </c>
      <c r="F17" s="58"/>
      <c r="G17" s="58">
        <f ca="1">'Exhibit 1.1 Page 4'!C16</f>
        <v>4323498.9691905091</v>
      </c>
      <c r="H17" s="58" t="s">
        <v>53</v>
      </c>
    </row>
    <row r="18" spans="1:8">
      <c r="A18" s="49"/>
      <c r="B18" s="40"/>
      <c r="C18" s="58"/>
      <c r="D18" s="58"/>
      <c r="E18" s="58"/>
      <c r="F18" s="58"/>
      <c r="G18" s="58"/>
      <c r="H18" s="58"/>
    </row>
    <row r="19" spans="1:8">
      <c r="A19" s="38"/>
      <c r="B19" s="40"/>
      <c r="C19" s="40"/>
      <c r="D19" s="40"/>
      <c r="E19" s="40"/>
      <c r="F19" s="40"/>
      <c r="G19" s="40"/>
      <c r="H19" s="40"/>
    </row>
    <row r="20" spans="1:8">
      <c r="A20" s="38"/>
      <c r="B20" s="38" t="s">
        <v>267</v>
      </c>
      <c r="C20" s="40"/>
      <c r="D20" s="40"/>
      <c r="E20" s="40"/>
      <c r="F20" s="40"/>
      <c r="G20" s="40"/>
      <c r="H20" s="40"/>
    </row>
    <row r="21" spans="1:8">
      <c r="A21" s="38"/>
      <c r="B21" s="40" t="s">
        <v>268</v>
      </c>
      <c r="C21" s="38"/>
      <c r="D21" s="38"/>
      <c r="E21" s="38"/>
      <c r="F21" s="38"/>
      <c r="G21" s="38"/>
      <c r="H21" s="38"/>
    </row>
  </sheetData>
  <mergeCells count="1">
    <mergeCell ref="B1:G1"/>
  </mergeCells>
  <pageMargins left="0.7" right="0.7" top="0.86458333333333304" bottom="0.75" header="0.3" footer="0.3"/>
  <pageSetup orientation="portrait" r:id="rId1"/>
  <headerFooter scaleWithDoc="0">
    <oddHeader>&amp;RQuestar Gas Company
Docket 14-057-27
Exhibit 1.2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73"/>
  <sheetViews>
    <sheetView topLeftCell="A40" workbookViewId="0">
      <pane xSplit="15030" topLeftCell="Q1" activePane="topRight"/>
      <selection activeCell="M23" sqref="M23"/>
      <selection pane="topRight" activeCell="U19" sqref="U19"/>
    </sheetView>
  </sheetViews>
  <sheetFormatPr defaultRowHeight="12.75"/>
  <cols>
    <col min="1" max="1" width="4.42578125" style="5" customWidth="1"/>
    <col min="2" max="3" width="9.140625" style="5"/>
    <col min="4" max="4" width="7.42578125" style="5" bestFit="1" customWidth="1"/>
    <col min="5" max="5" width="9.140625" style="5" bestFit="1" customWidth="1"/>
    <col min="6" max="6" width="4.140625" style="5" customWidth="1"/>
    <col min="7" max="7" width="13.28515625" style="5" customWidth="1"/>
    <col min="8" max="8" width="9.5703125" style="5" bestFit="1" customWidth="1"/>
    <col min="9" max="9" width="13.28515625" style="5" customWidth="1"/>
    <col min="10" max="10" width="3" style="5" customWidth="1"/>
    <col min="11" max="11" width="15.28515625" style="5" customWidth="1"/>
    <col min="12" max="12" width="12.140625" style="5" bestFit="1" customWidth="1"/>
    <col min="13" max="15" width="13.7109375" style="5" customWidth="1"/>
    <col min="16" max="16" width="10.42578125" bestFit="1" customWidth="1"/>
    <col min="17" max="17" width="15.42578125" style="207" bestFit="1" customWidth="1"/>
    <col min="18" max="18" width="10.42578125" bestFit="1" customWidth="1"/>
    <col min="21" max="21" width="10.42578125" style="207" bestFit="1" customWidth="1"/>
    <col min="22" max="22" width="10.42578125" bestFit="1" customWidth="1"/>
    <col min="23" max="23" width="10.42578125" style="207" bestFit="1" customWidth="1"/>
    <col min="24" max="24" width="10.42578125" bestFit="1" customWidth="1"/>
  </cols>
  <sheetData>
    <row r="1" spans="1:24" ht="15.75">
      <c r="A1" s="60"/>
      <c r="B1" s="232" t="s">
        <v>81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1"/>
      <c r="O1" s="61"/>
    </row>
    <row r="2" spans="1:24">
      <c r="A2" s="60"/>
      <c r="B2" s="62"/>
      <c r="C2" s="62"/>
      <c r="D2" s="62"/>
      <c r="E2" s="63"/>
      <c r="F2" s="63"/>
      <c r="G2" s="62"/>
      <c r="H2" s="62"/>
      <c r="I2" s="62"/>
      <c r="J2" s="64"/>
      <c r="K2" s="62"/>
      <c r="L2" s="62"/>
      <c r="M2" s="62"/>
      <c r="N2" s="62"/>
      <c r="O2" s="62"/>
    </row>
    <row r="3" spans="1:24">
      <c r="A3" s="60"/>
      <c r="B3" s="60"/>
      <c r="C3" s="60" t="s">
        <v>65</v>
      </c>
      <c r="D3" s="60" t="s">
        <v>66</v>
      </c>
      <c r="E3" s="186" t="s">
        <v>67</v>
      </c>
      <c r="F3" s="186"/>
      <c r="G3" s="60" t="s">
        <v>82</v>
      </c>
      <c r="H3" s="60" t="s">
        <v>83</v>
      </c>
      <c r="I3" s="60" t="s">
        <v>84</v>
      </c>
      <c r="J3" s="65"/>
      <c r="K3" s="65" t="s">
        <v>85</v>
      </c>
      <c r="L3" s="65" t="s">
        <v>86</v>
      </c>
      <c r="M3" s="65" t="s">
        <v>87</v>
      </c>
      <c r="N3" s="65" t="s">
        <v>88</v>
      </c>
      <c r="O3" s="65" t="s">
        <v>89</v>
      </c>
    </row>
    <row r="4" spans="1:24">
      <c r="A4" s="60"/>
      <c r="B4" s="66" t="s">
        <v>90</v>
      </c>
      <c r="C4" s="67"/>
      <c r="D4" s="67"/>
      <c r="E4" s="68"/>
      <c r="F4" s="68"/>
      <c r="G4" s="231" t="s">
        <v>91</v>
      </c>
      <c r="H4" s="231"/>
      <c r="I4" s="231"/>
      <c r="J4" s="67"/>
      <c r="K4" s="69" t="s">
        <v>92</v>
      </c>
      <c r="L4" s="70"/>
      <c r="M4" s="69" t="s">
        <v>92</v>
      </c>
      <c r="N4" s="69" t="s">
        <v>93</v>
      </c>
      <c r="O4" s="69" t="s">
        <v>94</v>
      </c>
    </row>
    <row r="5" spans="1:24">
      <c r="A5" s="60"/>
      <c r="B5" s="66"/>
      <c r="C5" s="67"/>
      <c r="D5" s="67"/>
      <c r="E5" s="68"/>
      <c r="F5" s="68"/>
      <c r="G5" s="219"/>
      <c r="H5" s="192"/>
      <c r="I5" s="192"/>
      <c r="J5" s="67"/>
      <c r="K5" s="69" t="s">
        <v>95</v>
      </c>
      <c r="L5" s="70" t="s">
        <v>96</v>
      </c>
      <c r="M5" s="69" t="s">
        <v>95</v>
      </c>
      <c r="N5" s="69"/>
      <c r="O5" s="69" t="s">
        <v>97</v>
      </c>
      <c r="R5" t="s">
        <v>228</v>
      </c>
    </row>
    <row r="6" spans="1:24" ht="13.5" thickBot="1">
      <c r="A6" s="60"/>
      <c r="B6" s="71" t="s">
        <v>98</v>
      </c>
      <c r="C6" s="72"/>
      <c r="D6" s="72"/>
      <c r="E6" s="73" t="s">
        <v>99</v>
      </c>
      <c r="F6" s="74"/>
      <c r="G6" s="75" t="s">
        <v>99</v>
      </c>
      <c r="H6" s="75" t="s">
        <v>100</v>
      </c>
      <c r="I6" s="76" t="s">
        <v>101</v>
      </c>
      <c r="J6" s="67"/>
      <c r="K6" s="75" t="s">
        <v>48</v>
      </c>
      <c r="L6" s="75" t="s">
        <v>102</v>
      </c>
      <c r="M6" s="75" t="s">
        <v>103</v>
      </c>
      <c r="N6" s="75"/>
      <c r="O6" s="75"/>
      <c r="R6" t="s">
        <v>229</v>
      </c>
      <c r="T6" t="s">
        <v>230</v>
      </c>
      <c r="V6" t="s">
        <v>231</v>
      </c>
      <c r="X6" t="s">
        <v>232</v>
      </c>
    </row>
    <row r="7" spans="1:24">
      <c r="A7" s="60">
        <v>1</v>
      </c>
      <c r="B7" s="77" t="s">
        <v>104</v>
      </c>
      <c r="C7" s="77" t="s">
        <v>105</v>
      </c>
      <c r="D7" s="77" t="s">
        <v>106</v>
      </c>
      <c r="E7" s="78">
        <v>45</v>
      </c>
      <c r="F7" s="78"/>
      <c r="G7" s="79">
        <v>56415759</v>
      </c>
      <c r="H7" s="80">
        <v>2.3542200000000002</v>
      </c>
      <c r="I7" s="81">
        <f>ROUND(G7*H7,0)</f>
        <v>132815108</v>
      </c>
      <c r="J7" s="82"/>
      <c r="K7" s="79">
        <f ca="1">M7*G7</f>
        <v>2640998.920711224</v>
      </c>
      <c r="L7" s="83">
        <f ca="1">L12</f>
        <v>1.9884777849740184E-2</v>
      </c>
      <c r="M7" s="84">
        <f ca="1">L7*H7</f>
        <v>4.6813141709415342E-2</v>
      </c>
      <c r="N7" s="84">
        <v>0</v>
      </c>
      <c r="O7" s="84">
        <f ca="1">M7-N7</f>
        <v>4.6813141709415342E-2</v>
      </c>
      <c r="Q7" s="206"/>
      <c r="R7" s="210">
        <v>2.61802</v>
      </c>
      <c r="S7" s="84"/>
      <c r="T7" s="84">
        <f ca="1">R7+O7</f>
        <v>2.6648331417094155</v>
      </c>
      <c r="U7" s="206"/>
      <c r="V7" s="84">
        <v>8.6560299999999994</v>
      </c>
      <c r="W7" s="206"/>
      <c r="X7" s="201">
        <f ca="1">V7+O7</f>
        <v>8.7028431417094154</v>
      </c>
    </row>
    <row r="8" spans="1:24">
      <c r="A8" s="60">
        <f>A7+1</f>
        <v>2</v>
      </c>
      <c r="B8" s="77"/>
      <c r="C8" s="77" t="s">
        <v>107</v>
      </c>
      <c r="D8" s="77" t="s">
        <v>269</v>
      </c>
      <c r="E8" s="78">
        <v>45</v>
      </c>
      <c r="F8" s="78"/>
      <c r="G8" s="79">
        <v>15934492</v>
      </c>
      <c r="H8" s="80">
        <v>1.35422</v>
      </c>
      <c r="I8" s="81">
        <f>ROUND(G8*H8,0)</f>
        <v>21578808</v>
      </c>
      <c r="J8" s="85"/>
      <c r="K8" s="79">
        <f ca="1">M8*G8</f>
        <v>429089.79849508282</v>
      </c>
      <c r="L8" s="83">
        <f ca="1">L12</f>
        <v>1.9884777849740184E-2</v>
      </c>
      <c r="M8" s="84">
        <f ca="1">L8*H8</f>
        <v>2.6928363859675151E-2</v>
      </c>
      <c r="N8" s="84">
        <v>0</v>
      </c>
      <c r="O8" s="84">
        <f ca="1">M8-N8</f>
        <v>2.6928363859675151E-2</v>
      </c>
      <c r="Q8" s="206"/>
      <c r="R8" s="210">
        <v>1.6762900000000001</v>
      </c>
      <c r="S8" s="84"/>
      <c r="T8" s="84">
        <f ca="1">R8+O8</f>
        <v>1.7032183638596752</v>
      </c>
      <c r="U8" s="206"/>
      <c r="V8" s="84">
        <v>7.7142999999999997</v>
      </c>
      <c r="W8" s="206"/>
      <c r="X8" s="201">
        <f ca="1">V8+O8</f>
        <v>7.7412283638596753</v>
      </c>
    </row>
    <row r="9" spans="1:24">
      <c r="A9" s="60"/>
      <c r="B9" s="86"/>
      <c r="C9" s="77"/>
      <c r="D9" s="77"/>
      <c r="E9" s="87"/>
      <c r="F9" s="87"/>
      <c r="G9" s="79"/>
      <c r="H9" s="80"/>
      <c r="I9" s="81"/>
      <c r="J9" s="85"/>
      <c r="K9" s="79"/>
      <c r="L9" s="80"/>
      <c r="M9" s="81"/>
      <c r="N9" s="81"/>
      <c r="O9" s="81"/>
      <c r="Q9" s="206"/>
      <c r="R9" s="84"/>
      <c r="S9" s="84"/>
      <c r="T9" s="84"/>
      <c r="U9" s="206"/>
      <c r="V9" s="84"/>
      <c r="W9" s="206"/>
    </row>
    <row r="10" spans="1:24">
      <c r="A10" s="60">
        <f>A8+1</f>
        <v>3</v>
      </c>
      <c r="B10" s="88" t="s">
        <v>109</v>
      </c>
      <c r="C10" s="77" t="s">
        <v>105</v>
      </c>
      <c r="D10" s="77" t="str">
        <f>D7</f>
        <v>First</v>
      </c>
      <c r="E10" s="87">
        <f>E7</f>
        <v>45</v>
      </c>
      <c r="F10" s="87"/>
      <c r="G10" s="79">
        <v>23669746</v>
      </c>
      <c r="H10" s="80">
        <v>1.73142</v>
      </c>
      <c r="I10" s="79">
        <f>ROUND(G10*H10,0)</f>
        <v>40982272</v>
      </c>
      <c r="J10" s="85"/>
      <c r="K10" s="79">
        <f ca="1">M10*G10</f>
        <v>814923.36692789011</v>
      </c>
      <c r="L10" s="83">
        <f ca="1">L12</f>
        <v>1.9884777849740184E-2</v>
      </c>
      <c r="M10" s="84">
        <f t="shared" ref="M10:M11" ca="1" si="0">L10*H10</f>
        <v>3.4428902064597151E-2</v>
      </c>
      <c r="N10" s="84">
        <v>0</v>
      </c>
      <c r="O10" s="84">
        <f ca="1">M10-N10</f>
        <v>3.4428902064597151E-2</v>
      </c>
      <c r="Q10" s="206"/>
      <c r="R10" s="210">
        <v>2.0315099999999999</v>
      </c>
      <c r="S10" s="84"/>
      <c r="T10" s="84">
        <f ca="1">R10+O10</f>
        <v>2.0659389020645973</v>
      </c>
      <c r="U10" s="206"/>
      <c r="V10" s="84">
        <v>7.5436300000000003</v>
      </c>
      <c r="W10" s="206"/>
      <c r="X10" s="201">
        <f ca="1">V10+O10</f>
        <v>7.5780589020645976</v>
      </c>
    </row>
    <row r="11" spans="1:24">
      <c r="A11" s="60">
        <f>A10+1</f>
        <v>4</v>
      </c>
      <c r="B11" s="88"/>
      <c r="C11" s="77" t="s">
        <v>107</v>
      </c>
      <c r="D11" s="77" t="str">
        <f>D8</f>
        <v>Over</v>
      </c>
      <c r="E11" s="87">
        <f>E8</f>
        <v>45</v>
      </c>
      <c r="F11" s="87"/>
      <c r="G11" s="79">
        <v>4538816</v>
      </c>
      <c r="H11" s="80">
        <v>0.73141999999999996</v>
      </c>
      <c r="I11" s="79">
        <f>ROUND(G11*H11,0)</f>
        <v>3319781</v>
      </c>
      <c r="J11" s="85"/>
      <c r="K11" s="79">
        <f ca="1">M11*G11</f>
        <v>66013.103692380231</v>
      </c>
      <c r="L11" s="83">
        <f ca="1">L12</f>
        <v>1.9884777849740184E-2</v>
      </c>
      <c r="M11" s="84">
        <f t="shared" ca="1" si="0"/>
        <v>1.4544124214856964E-2</v>
      </c>
      <c r="N11" s="84">
        <v>0</v>
      </c>
      <c r="O11" s="84">
        <f ca="1">M11-N11</f>
        <v>1.4544124214856964E-2</v>
      </c>
      <c r="Q11" s="206"/>
      <c r="R11" s="210">
        <v>1.08978</v>
      </c>
      <c r="S11" s="84"/>
      <c r="T11" s="84">
        <f ca="1">R11+O11</f>
        <v>1.1043241242148569</v>
      </c>
      <c r="U11" s="206"/>
      <c r="V11" s="84">
        <v>6.6018999999999997</v>
      </c>
      <c r="W11" s="206"/>
      <c r="X11" s="201">
        <f ca="1">V11+O11</f>
        <v>6.6164441242148566</v>
      </c>
    </row>
    <row r="12" spans="1:24" ht="13.5" thickBot="1">
      <c r="A12" s="60">
        <f>A11+1</f>
        <v>5</v>
      </c>
      <c r="B12" s="89" t="s">
        <v>110</v>
      </c>
      <c r="C12" s="62"/>
      <c r="D12" s="77"/>
      <c r="E12" s="87"/>
      <c r="F12" s="87"/>
      <c r="G12" s="90">
        <f>SUM(G10:G11,G7:G8)</f>
        <v>100558813</v>
      </c>
      <c r="H12" s="91"/>
      <c r="I12" s="90">
        <f>SUM(I7:I11)</f>
        <v>198695969</v>
      </c>
      <c r="J12" s="92"/>
      <c r="K12" s="90">
        <f ca="1">'Exhibit 1.2'!G9</f>
        <v>3951025.2032038621</v>
      </c>
      <c r="L12" s="93">
        <f ca="1">K12/I12</f>
        <v>1.9884777849740184E-2</v>
      </c>
      <c r="M12" s="90"/>
      <c r="N12" s="90"/>
      <c r="O12" s="90"/>
      <c r="Q12" s="206"/>
      <c r="R12" s="84"/>
      <c r="S12" s="84"/>
      <c r="T12" s="84"/>
      <c r="U12" s="206"/>
      <c r="V12" s="84"/>
      <c r="W12" s="206"/>
    </row>
    <row r="13" spans="1:24" ht="14.25" thickTop="1" thickBot="1">
      <c r="A13" s="60"/>
      <c r="B13" s="99"/>
      <c r="C13" s="99"/>
      <c r="D13" s="99"/>
      <c r="E13" s="100"/>
      <c r="F13" s="68"/>
      <c r="G13" s="101"/>
      <c r="H13" s="99"/>
      <c r="I13" s="101"/>
      <c r="J13" s="101"/>
      <c r="K13" s="101"/>
      <c r="L13" s="101"/>
      <c r="M13" s="101"/>
      <c r="N13" s="101"/>
      <c r="O13" s="101"/>
      <c r="Q13" s="206"/>
      <c r="R13" s="84"/>
      <c r="S13" s="84"/>
      <c r="T13" s="84"/>
      <c r="U13" s="206"/>
      <c r="V13" s="84"/>
      <c r="W13" s="206"/>
    </row>
    <row r="14" spans="1:24">
      <c r="A14" s="60"/>
      <c r="B14" s="67"/>
      <c r="C14" s="67"/>
      <c r="D14" s="67"/>
      <c r="E14" s="68"/>
      <c r="F14" s="68"/>
      <c r="G14" s="102"/>
      <c r="H14" s="67"/>
      <c r="I14" s="102"/>
      <c r="J14" s="102"/>
      <c r="K14" s="69" t="s">
        <v>92</v>
      </c>
      <c r="L14" s="102"/>
      <c r="M14" s="69" t="s">
        <v>92</v>
      </c>
      <c r="N14" s="69"/>
      <c r="O14" s="69"/>
      <c r="Q14" s="206"/>
      <c r="R14" s="84"/>
      <c r="S14" s="84"/>
      <c r="T14" s="84"/>
      <c r="U14" s="206"/>
      <c r="V14" s="84"/>
      <c r="W14" s="206"/>
    </row>
    <row r="15" spans="1:24">
      <c r="A15" s="60"/>
      <c r="B15" s="66" t="s">
        <v>111</v>
      </c>
      <c r="C15" s="67"/>
      <c r="D15" s="67"/>
      <c r="E15" s="68"/>
      <c r="F15" s="68"/>
      <c r="G15" s="231" t="s">
        <v>91</v>
      </c>
      <c r="H15" s="231"/>
      <c r="I15" s="231"/>
      <c r="J15" s="67"/>
      <c r="K15" s="69" t="s">
        <v>95</v>
      </c>
      <c r="L15" s="70" t="s">
        <v>112</v>
      </c>
      <c r="M15" s="69" t="s">
        <v>95</v>
      </c>
      <c r="N15" s="69"/>
      <c r="O15" s="69"/>
      <c r="Q15" s="206"/>
      <c r="R15" s="84"/>
      <c r="S15" s="84"/>
      <c r="T15" s="84"/>
      <c r="U15" s="206"/>
      <c r="V15" s="84"/>
      <c r="W15" s="206"/>
    </row>
    <row r="16" spans="1:24" ht="13.5" thickBot="1">
      <c r="A16" s="60"/>
      <c r="B16" s="71" t="s">
        <v>98</v>
      </c>
      <c r="C16" s="72"/>
      <c r="D16" s="72"/>
      <c r="E16" s="73" t="s">
        <v>99</v>
      </c>
      <c r="F16" s="74"/>
      <c r="G16" s="75" t="s">
        <v>99</v>
      </c>
      <c r="H16" s="75" t="s">
        <v>100</v>
      </c>
      <c r="I16" s="76" t="s">
        <v>101</v>
      </c>
      <c r="J16" s="67"/>
      <c r="K16" s="75" t="s">
        <v>48</v>
      </c>
      <c r="L16" s="75" t="s">
        <v>102</v>
      </c>
      <c r="M16" s="75" t="s">
        <v>103</v>
      </c>
      <c r="N16" s="75"/>
      <c r="O16" s="75"/>
      <c r="Q16" s="206"/>
      <c r="R16" s="84"/>
      <c r="S16" s="84"/>
      <c r="T16" s="84"/>
      <c r="U16" s="206"/>
      <c r="V16" s="84"/>
      <c r="W16" s="206"/>
    </row>
    <row r="17" spans="1:24">
      <c r="A17" s="60">
        <f>A12+1</f>
        <v>6</v>
      </c>
      <c r="B17" s="103" t="s">
        <v>113</v>
      </c>
      <c r="C17" s="77"/>
      <c r="D17" s="77" t="s">
        <v>114</v>
      </c>
      <c r="E17" s="87">
        <v>0</v>
      </c>
      <c r="F17" s="87"/>
      <c r="G17" s="79">
        <f>418704+269776</f>
        <v>688480</v>
      </c>
      <c r="H17" s="80">
        <v>5.4316399999999998</v>
      </c>
      <c r="I17" s="79">
        <f>ROUND(G17*H17,0)</f>
        <v>3739576</v>
      </c>
      <c r="J17" s="85"/>
      <c r="K17" s="79">
        <f ca="1">'Exhibit 1.2'!G11</f>
        <v>53009.068816475803</v>
      </c>
      <c r="L17" s="104">
        <f ca="1">K17/I17</f>
        <v>1.4175154834792982E-2</v>
      </c>
      <c r="M17" s="84">
        <f t="shared" ref="M17" ca="1" si="1">L17*H17</f>
        <v>7.6994338006854943E-2</v>
      </c>
      <c r="N17" s="84">
        <v>0</v>
      </c>
      <c r="O17" s="84">
        <f ca="1">M17-N17</f>
        <v>7.6994338006854943E-2</v>
      </c>
      <c r="Q17" s="206"/>
      <c r="R17" s="210">
        <v>5.4527900000000002</v>
      </c>
      <c r="S17" s="84"/>
      <c r="T17" s="84">
        <f ca="1">R17+O17</f>
        <v>5.5297843380068548</v>
      </c>
      <c r="U17" s="206"/>
      <c r="V17" s="84">
        <v>11.214840000000001</v>
      </c>
      <c r="W17" s="206"/>
      <c r="X17" s="201">
        <f ca="1">V17+O17</f>
        <v>11.291834338006856</v>
      </c>
    </row>
    <row r="18" spans="1:24">
      <c r="A18" s="60"/>
      <c r="B18" s="103"/>
      <c r="C18" s="77"/>
      <c r="D18" s="77"/>
      <c r="E18" s="87"/>
      <c r="F18" s="87"/>
      <c r="G18" s="79"/>
      <c r="H18" s="80"/>
      <c r="I18" s="79"/>
      <c r="J18" s="85"/>
      <c r="K18" s="79"/>
      <c r="L18" s="105"/>
      <c r="M18" s="84"/>
      <c r="N18" s="84"/>
      <c r="O18" s="84"/>
      <c r="Q18" s="206"/>
      <c r="R18" s="84"/>
      <c r="S18" s="84"/>
      <c r="T18" s="84"/>
      <c r="U18" s="206"/>
      <c r="V18" s="84"/>
      <c r="W18" s="206"/>
    </row>
    <row r="19" spans="1:24" ht="13.5" thickBot="1">
      <c r="A19" s="60"/>
      <c r="B19" s="100"/>
      <c r="C19" s="100"/>
      <c r="D19" s="100"/>
      <c r="E19" s="100"/>
      <c r="F19" s="68"/>
      <c r="G19" s="106"/>
      <c r="H19" s="107"/>
      <c r="I19" s="107"/>
      <c r="J19" s="67"/>
      <c r="K19" s="106"/>
      <c r="L19" s="107"/>
      <c r="M19" s="107"/>
      <c r="N19" s="107"/>
      <c r="O19" s="107"/>
      <c r="Q19" s="206"/>
      <c r="R19" s="84"/>
      <c r="S19" s="84"/>
      <c r="T19" s="84"/>
      <c r="U19" s="206"/>
      <c r="V19" s="84"/>
      <c r="W19" s="206"/>
    </row>
    <row r="20" spans="1:24">
      <c r="A20" s="60"/>
      <c r="B20" s="68"/>
      <c r="C20" s="68"/>
      <c r="D20" s="68"/>
      <c r="E20" s="68"/>
      <c r="F20" s="68"/>
      <c r="G20" s="108"/>
      <c r="H20" s="109"/>
      <c r="I20" s="109"/>
      <c r="J20" s="67"/>
      <c r="K20" s="69" t="s">
        <v>92</v>
      </c>
      <c r="L20" s="109"/>
      <c r="M20" s="69" t="s">
        <v>92</v>
      </c>
      <c r="N20" s="69"/>
      <c r="O20" s="69"/>
      <c r="Q20" s="206"/>
      <c r="R20" s="84"/>
      <c r="S20" s="84"/>
      <c r="T20" s="84"/>
      <c r="U20" s="206"/>
      <c r="V20" s="84"/>
      <c r="W20" s="206"/>
    </row>
    <row r="21" spans="1:24">
      <c r="A21" s="60"/>
      <c r="B21" s="66" t="s">
        <v>115</v>
      </c>
      <c r="C21" s="68"/>
      <c r="D21" s="68"/>
      <c r="E21" s="68"/>
      <c r="F21" s="69"/>
      <c r="G21" s="231" t="s">
        <v>91</v>
      </c>
      <c r="H21" s="231"/>
      <c r="I21" s="231"/>
      <c r="J21" s="67"/>
      <c r="K21" s="69" t="s">
        <v>95</v>
      </c>
      <c r="L21" s="70" t="s">
        <v>112</v>
      </c>
      <c r="M21" s="69" t="s">
        <v>95</v>
      </c>
      <c r="N21" s="69"/>
      <c r="O21" s="69"/>
      <c r="Q21" s="206"/>
      <c r="R21" s="84"/>
      <c r="S21" s="84"/>
      <c r="T21" s="84"/>
      <c r="U21" s="206"/>
      <c r="V21" s="84"/>
      <c r="W21" s="206"/>
    </row>
    <row r="22" spans="1:24" ht="13.5" thickBot="1">
      <c r="A22" s="60"/>
      <c r="B22" s="71" t="s">
        <v>98</v>
      </c>
      <c r="C22" s="72"/>
      <c r="D22" s="72"/>
      <c r="E22" s="73" t="s">
        <v>99</v>
      </c>
      <c r="F22" s="74"/>
      <c r="G22" s="75" t="s">
        <v>99</v>
      </c>
      <c r="H22" s="75" t="s">
        <v>100</v>
      </c>
      <c r="I22" s="76" t="s">
        <v>101</v>
      </c>
      <c r="J22" s="67"/>
      <c r="K22" s="75" t="s">
        <v>48</v>
      </c>
      <c r="L22" s="75" t="s">
        <v>102</v>
      </c>
      <c r="M22" s="75" t="s">
        <v>103</v>
      </c>
      <c r="N22" s="75"/>
      <c r="O22" s="75"/>
      <c r="Q22" s="206"/>
      <c r="R22" s="84"/>
      <c r="S22" s="84"/>
      <c r="T22" s="84"/>
      <c r="U22" s="206"/>
      <c r="V22" s="84"/>
      <c r="W22" s="206"/>
    </row>
    <row r="23" spans="1:24">
      <c r="A23" s="60">
        <f>A17+1</f>
        <v>7</v>
      </c>
      <c r="B23" s="77" t="s">
        <v>104</v>
      </c>
      <c r="C23" s="77" t="s">
        <v>105</v>
      </c>
      <c r="D23" s="77" t="s">
        <v>106</v>
      </c>
      <c r="E23" s="87">
        <v>200</v>
      </c>
      <c r="F23" s="87"/>
      <c r="G23" s="79">
        <v>555104</v>
      </c>
      <c r="H23" s="80">
        <v>1.24695</v>
      </c>
      <c r="I23" s="79">
        <f>ROUND(G23*H23,0)</f>
        <v>692187</v>
      </c>
      <c r="J23" s="85"/>
      <c r="K23" s="79">
        <f ca="1">M23*G23</f>
        <v>11052.372294074619</v>
      </c>
      <c r="L23" s="110">
        <f ca="1">L30</f>
        <v>1.5967322944635945E-2</v>
      </c>
      <c r="M23" s="80">
        <f t="shared" ref="M23:M25" ca="1" si="2">L23*H23</f>
        <v>1.9910453345813792E-2</v>
      </c>
      <c r="N23" s="80">
        <v>0</v>
      </c>
      <c r="O23" s="80">
        <f ca="1">M23-N23</f>
        <v>1.9910453345813792E-2</v>
      </c>
      <c r="Q23" s="206"/>
      <c r="R23" s="210">
        <v>1.2575700000000001</v>
      </c>
      <c r="S23" s="84"/>
      <c r="T23" s="84">
        <f ca="1">R23+O23</f>
        <v>1.2774804533458139</v>
      </c>
      <c r="U23" s="206"/>
      <c r="V23" s="84">
        <v>7.2697599999999998</v>
      </c>
      <c r="W23" s="206"/>
      <c r="X23" s="201">
        <f ca="1">V23+O23</f>
        <v>7.2896704533458134</v>
      </c>
    </row>
    <row r="24" spans="1:24">
      <c r="A24" s="60">
        <f>A23+1</f>
        <v>8</v>
      </c>
      <c r="B24" s="86"/>
      <c r="C24" s="77" t="s">
        <v>107</v>
      </c>
      <c r="D24" s="77" t="s">
        <v>108</v>
      </c>
      <c r="E24" s="87">
        <v>1800</v>
      </c>
      <c r="F24" s="87"/>
      <c r="G24" s="79">
        <v>1257172</v>
      </c>
      <c r="H24" s="80">
        <v>0.86695</v>
      </c>
      <c r="I24" s="79">
        <f>ROUND(G24*H24,0)</f>
        <v>1089905</v>
      </c>
      <c r="J24" s="85"/>
      <c r="K24" s="79">
        <f ca="1">M24*G24</f>
        <v>17402.869351700949</v>
      </c>
      <c r="L24" s="110">
        <f ca="1">L30</f>
        <v>1.5967322944635945E-2</v>
      </c>
      <c r="M24" s="80">
        <f t="shared" ca="1" si="2"/>
        <v>1.3842870626852133E-2</v>
      </c>
      <c r="N24" s="80">
        <v>0</v>
      </c>
      <c r="O24" s="80">
        <f ca="1">M24-N24</f>
        <v>1.3842870626852133E-2</v>
      </c>
      <c r="Q24" s="206"/>
      <c r="R24" s="210">
        <v>0.87756999999999996</v>
      </c>
      <c r="S24" s="84"/>
      <c r="T24" s="84">
        <f t="shared" ref="T24:T25" ca="1" si="3">R24+O24</f>
        <v>0.89141287062685204</v>
      </c>
      <c r="U24" s="206"/>
      <c r="V24" s="84">
        <v>6.8897599999999999</v>
      </c>
      <c r="W24" s="206"/>
      <c r="X24" s="201">
        <f t="shared" ref="X24:X25" ca="1" si="4">V24+O24</f>
        <v>6.9036028706268517</v>
      </c>
    </row>
    <row r="25" spans="1:24">
      <c r="A25" s="60">
        <f>A24+1</f>
        <v>9</v>
      </c>
      <c r="B25" s="86"/>
      <c r="C25" s="77" t="s">
        <v>116</v>
      </c>
      <c r="D25" s="77" t="s">
        <v>114</v>
      </c>
      <c r="E25" s="87">
        <v>2000</v>
      </c>
      <c r="F25" s="87"/>
      <c r="G25" s="79">
        <v>678414</v>
      </c>
      <c r="H25" s="80">
        <v>0.46694999999999998</v>
      </c>
      <c r="I25" s="79">
        <f>ROUND(G25*H25,0)</f>
        <v>316785</v>
      </c>
      <c r="J25" s="85"/>
      <c r="K25" s="79">
        <f ca="1">M25*G25</f>
        <v>5058.2150621803621</v>
      </c>
      <c r="L25" s="110">
        <f ca="1">L30</f>
        <v>1.5967322944635945E-2</v>
      </c>
      <c r="M25" s="80">
        <f t="shared" ca="1" si="2"/>
        <v>7.4559414489977537E-3</v>
      </c>
      <c r="N25" s="80">
        <v>0</v>
      </c>
      <c r="O25" s="80">
        <f ca="1">M25-N25</f>
        <v>7.4559414489977537E-3</v>
      </c>
      <c r="Q25" s="206"/>
      <c r="R25" s="210">
        <v>0.47756999999999999</v>
      </c>
      <c r="S25" s="84"/>
      <c r="T25" s="84">
        <f t="shared" ca="1" si="3"/>
        <v>0.48502594144899774</v>
      </c>
      <c r="U25" s="206"/>
      <c r="V25" s="84">
        <v>6.4897600000000004</v>
      </c>
      <c r="W25" s="206"/>
      <c r="X25" s="201">
        <f t="shared" ca="1" si="4"/>
        <v>6.4972159414489985</v>
      </c>
    </row>
    <row r="26" spans="1:24">
      <c r="A26" s="60"/>
      <c r="B26" s="86" t="s">
        <v>117</v>
      </c>
      <c r="C26" s="77"/>
      <c r="D26" s="77"/>
      <c r="E26" s="87"/>
      <c r="F26" s="87"/>
      <c r="G26" s="79"/>
      <c r="H26" s="111"/>
      <c r="I26" s="81"/>
      <c r="J26" s="85"/>
      <c r="K26" s="79"/>
      <c r="L26" s="110"/>
      <c r="M26" s="80"/>
      <c r="N26" s="80"/>
      <c r="O26" s="80"/>
      <c r="Q26" s="206"/>
      <c r="R26" s="84"/>
      <c r="S26" s="84"/>
      <c r="T26" s="84"/>
      <c r="U26" s="206"/>
      <c r="V26" s="84"/>
      <c r="W26" s="206"/>
    </row>
    <row r="27" spans="1:24">
      <c r="A27" s="60">
        <f>A25+1</f>
        <v>10</v>
      </c>
      <c r="B27" s="88" t="s">
        <v>109</v>
      </c>
      <c r="C27" s="77" t="s">
        <v>105</v>
      </c>
      <c r="D27" s="77" t="str">
        <f t="shared" ref="D27:E27" si="5">D23</f>
        <v>First</v>
      </c>
      <c r="E27" s="87">
        <f t="shared" si="5"/>
        <v>200</v>
      </c>
      <c r="F27" s="87"/>
      <c r="G27" s="79">
        <v>728719</v>
      </c>
      <c r="H27" s="80">
        <v>0.8206</v>
      </c>
      <c r="I27" s="79">
        <f>ROUND(G27*H27,0)</f>
        <v>597987</v>
      </c>
      <c r="J27" s="85"/>
      <c r="K27" s="79">
        <f ca="1">M27*G27</f>
        <v>9548.2485342569071</v>
      </c>
      <c r="L27" s="110">
        <f ca="1">L30</f>
        <v>1.5967322944635945E-2</v>
      </c>
      <c r="M27" s="80">
        <f t="shared" ref="M27:M29" ca="1" si="6">L27*H27</f>
        <v>1.3102785208368257E-2</v>
      </c>
      <c r="N27" s="80">
        <v>0</v>
      </c>
      <c r="O27" s="80">
        <f ca="1">M27-N27</f>
        <v>1.3102785208368257E-2</v>
      </c>
      <c r="Q27" s="206"/>
      <c r="R27" s="210">
        <v>0.83121999999999996</v>
      </c>
      <c r="S27" s="84"/>
      <c r="T27" s="84">
        <f ca="1">R27+O27</f>
        <v>0.84432278520836823</v>
      </c>
      <c r="U27" s="206"/>
      <c r="V27" s="84">
        <v>6.3433400000000004</v>
      </c>
      <c r="W27" s="206"/>
      <c r="X27" s="201">
        <f ca="1">V27+O27</f>
        <v>6.3564427852083689</v>
      </c>
    </row>
    <row r="28" spans="1:24">
      <c r="A28" s="60">
        <f>A27+1</f>
        <v>11</v>
      </c>
      <c r="B28" s="88"/>
      <c r="C28" s="77" t="s">
        <v>107</v>
      </c>
      <c r="D28" s="77" t="str">
        <f>D24</f>
        <v>Next</v>
      </c>
      <c r="E28" s="87">
        <f>E24</f>
        <v>1800</v>
      </c>
      <c r="F28" s="87"/>
      <c r="G28" s="79">
        <v>1254561</v>
      </c>
      <c r="H28" s="80">
        <v>0.44059999999999999</v>
      </c>
      <c r="I28" s="79">
        <f>ROUND(G28*H28,0)</f>
        <v>552760</v>
      </c>
      <c r="J28" s="85"/>
      <c r="K28" s="79">
        <f ca="1">M28*G28</f>
        <v>8826.0906703124292</v>
      </c>
      <c r="L28" s="110">
        <f ca="1">L30</f>
        <v>1.5967322944635945E-2</v>
      </c>
      <c r="M28" s="80">
        <f t="shared" ca="1" si="6"/>
        <v>7.0352024894065968E-3</v>
      </c>
      <c r="N28" s="80">
        <v>0</v>
      </c>
      <c r="O28" s="80">
        <f ca="1">M28-N28</f>
        <v>7.0352024894065968E-3</v>
      </c>
      <c r="Q28" s="206"/>
      <c r="R28" s="210">
        <v>0.45122000000000001</v>
      </c>
      <c r="S28" s="84"/>
      <c r="T28" s="84">
        <f t="shared" ref="T28:T29" ca="1" si="7">R28+O28</f>
        <v>0.4582552024894066</v>
      </c>
      <c r="U28" s="206"/>
      <c r="V28" s="84">
        <v>5.9633399999999996</v>
      </c>
      <c r="W28" s="206"/>
      <c r="X28" s="201">
        <f t="shared" ref="X28" ca="1" si="8">V28+O28</f>
        <v>5.9703752024894063</v>
      </c>
    </row>
    <row r="29" spans="1:24">
      <c r="A29" s="60">
        <f>A28+1</f>
        <v>12</v>
      </c>
      <c r="B29" s="88"/>
      <c r="C29" s="77" t="s">
        <v>116</v>
      </c>
      <c r="D29" s="77" t="str">
        <f>D25</f>
        <v>All Over</v>
      </c>
      <c r="E29" s="87">
        <f>E25</f>
        <v>2000</v>
      </c>
      <c r="F29" s="87"/>
      <c r="G29" s="79">
        <v>403211</v>
      </c>
      <c r="H29" s="80">
        <v>4.0599999999999997E-2</v>
      </c>
      <c r="I29" s="79">
        <f>ROUND(G29*H29,0)</f>
        <v>16370</v>
      </c>
      <c r="J29" s="85"/>
      <c r="K29" s="79">
        <f ca="1">M29*G29</f>
        <v>261.39093022428193</v>
      </c>
      <c r="L29" s="110">
        <f ca="1">L30</f>
        <v>1.5967322944635945E-2</v>
      </c>
      <c r="M29" s="80">
        <f t="shared" ca="1" si="6"/>
        <v>6.4827331155221934E-4</v>
      </c>
      <c r="N29" s="80">
        <v>0</v>
      </c>
      <c r="O29" s="80">
        <f ca="1">M29-N29</f>
        <v>6.4827331155221934E-4</v>
      </c>
      <c r="Q29" s="206"/>
      <c r="R29" s="210">
        <v>5.1220000000000002E-2</v>
      </c>
      <c r="S29" s="84"/>
      <c r="T29" s="84">
        <f t="shared" ca="1" si="7"/>
        <v>5.1868273311552221E-2</v>
      </c>
      <c r="U29" s="206"/>
      <c r="V29" s="84">
        <v>5.5633400000000002</v>
      </c>
      <c r="W29" s="206"/>
      <c r="X29" s="201">
        <f ca="1">V29+O29</f>
        <v>5.5639882733115522</v>
      </c>
    </row>
    <row r="30" spans="1:24">
      <c r="A30" s="60">
        <f>A29+1</f>
        <v>13</v>
      </c>
      <c r="B30" s="89" t="s">
        <v>110</v>
      </c>
      <c r="C30" s="62"/>
      <c r="D30" s="77"/>
      <c r="E30" s="87"/>
      <c r="F30" s="87"/>
      <c r="G30" s="112">
        <f>SUM(G23:G29)</f>
        <v>4877181</v>
      </c>
      <c r="H30" s="113"/>
      <c r="I30" s="112">
        <f>SUM(I23:I29)</f>
        <v>3265994</v>
      </c>
      <c r="J30" s="85"/>
      <c r="K30" s="112">
        <f ca="1">'Exhibit 1.2'!G10</f>
        <v>52149.180933243326</v>
      </c>
      <c r="L30" s="104">
        <f ca="1">K30/I30</f>
        <v>1.5967322944635945E-2</v>
      </c>
      <c r="M30" s="112"/>
      <c r="N30" s="112"/>
      <c r="O30" s="112"/>
      <c r="Q30" s="206"/>
      <c r="R30" s="84"/>
      <c r="S30" s="84"/>
      <c r="T30" s="84"/>
      <c r="U30" s="206"/>
      <c r="V30" s="84"/>
      <c r="W30" s="206"/>
    </row>
    <row r="31" spans="1:24">
      <c r="A31" s="60"/>
      <c r="B31" s="89"/>
      <c r="C31" s="62"/>
      <c r="D31" s="77"/>
      <c r="E31" s="87"/>
      <c r="F31" s="87"/>
      <c r="G31" s="114"/>
      <c r="H31" s="115"/>
      <c r="I31" s="114"/>
      <c r="J31" s="85"/>
      <c r="K31" s="114"/>
      <c r="L31" s="105"/>
      <c r="M31" s="114"/>
      <c r="N31" s="114"/>
      <c r="O31" s="114"/>
      <c r="Q31" s="206"/>
      <c r="R31" s="84"/>
      <c r="S31" s="84"/>
      <c r="T31" s="84"/>
      <c r="U31" s="206"/>
      <c r="V31" s="84"/>
      <c r="W31" s="206"/>
    </row>
    <row r="32" spans="1:24" ht="13.5" thickBot="1">
      <c r="A32" s="60"/>
      <c r="B32" s="99"/>
      <c r="C32" s="99"/>
      <c r="D32" s="99"/>
      <c r="E32" s="100"/>
      <c r="F32" s="68"/>
      <c r="G32" s="101"/>
      <c r="H32" s="99"/>
      <c r="I32" s="101"/>
      <c r="J32" s="102"/>
      <c r="K32" s="101"/>
      <c r="L32" s="99"/>
      <c r="M32" s="101"/>
      <c r="N32" s="101"/>
      <c r="O32" s="101"/>
      <c r="Q32" s="206"/>
      <c r="R32" s="84"/>
      <c r="S32" s="84"/>
      <c r="T32" s="84"/>
      <c r="U32" s="206"/>
      <c r="V32" s="84"/>
      <c r="W32" s="206"/>
    </row>
    <row r="33" spans="1:24">
      <c r="A33" s="60"/>
      <c r="B33" s="67"/>
      <c r="C33" s="67"/>
      <c r="D33" s="67"/>
      <c r="E33" s="68"/>
      <c r="F33" s="68"/>
      <c r="G33" s="102"/>
      <c r="H33" s="67"/>
      <c r="I33" s="102"/>
      <c r="J33" s="102"/>
      <c r="K33" s="69" t="s">
        <v>92</v>
      </c>
      <c r="L33" s="67"/>
      <c r="M33" s="69" t="s">
        <v>92</v>
      </c>
      <c r="N33" s="69"/>
      <c r="O33" s="69"/>
      <c r="Q33" s="206"/>
      <c r="R33" s="84"/>
      <c r="S33" s="84"/>
      <c r="T33" s="84"/>
      <c r="U33" s="206"/>
      <c r="V33" s="84"/>
      <c r="W33" s="206"/>
    </row>
    <row r="34" spans="1:24">
      <c r="A34" s="60"/>
      <c r="B34" s="66" t="s">
        <v>118</v>
      </c>
      <c r="C34" s="67"/>
      <c r="D34" s="67"/>
      <c r="E34" s="70"/>
      <c r="F34" s="70"/>
      <c r="G34" s="231" t="s">
        <v>91</v>
      </c>
      <c r="H34" s="231"/>
      <c r="I34" s="231"/>
      <c r="J34" s="67"/>
      <c r="K34" s="69" t="s">
        <v>95</v>
      </c>
      <c r="L34" s="70" t="s">
        <v>112</v>
      </c>
      <c r="M34" s="69" t="s">
        <v>95</v>
      </c>
      <c r="N34" s="69"/>
      <c r="O34" s="69"/>
      <c r="Q34" s="206"/>
      <c r="R34" s="84"/>
      <c r="S34" s="84"/>
      <c r="T34" s="84"/>
      <c r="U34" s="206"/>
      <c r="V34" s="84"/>
      <c r="W34" s="206"/>
    </row>
    <row r="35" spans="1:24" ht="13.5" thickBot="1">
      <c r="A35" s="60"/>
      <c r="B35" s="71" t="s">
        <v>98</v>
      </c>
      <c r="C35" s="72"/>
      <c r="D35" s="72"/>
      <c r="E35" s="73" t="s">
        <v>99</v>
      </c>
      <c r="F35" s="74"/>
      <c r="G35" s="75" t="s">
        <v>99</v>
      </c>
      <c r="H35" s="75" t="s">
        <v>100</v>
      </c>
      <c r="I35" s="76" t="s">
        <v>101</v>
      </c>
      <c r="J35" s="67"/>
      <c r="K35" s="75" t="s">
        <v>48</v>
      </c>
      <c r="L35" s="75" t="s">
        <v>102</v>
      </c>
      <c r="M35" s="75" t="s">
        <v>103</v>
      </c>
      <c r="N35" s="75"/>
      <c r="O35" s="75"/>
      <c r="Q35" s="206"/>
      <c r="R35" s="84"/>
      <c r="S35" s="84"/>
      <c r="T35" s="84"/>
      <c r="U35" s="206"/>
      <c r="V35" s="84"/>
      <c r="W35" s="206"/>
    </row>
    <row r="36" spans="1:24">
      <c r="A36" s="60">
        <f>A30+1</f>
        <v>14</v>
      </c>
      <c r="B36" s="77"/>
      <c r="C36" s="77" t="s">
        <v>105</v>
      </c>
      <c r="D36" s="77" t="s">
        <v>106</v>
      </c>
      <c r="E36" s="116">
        <v>2000</v>
      </c>
      <c r="F36" s="117"/>
      <c r="G36" s="79">
        <f>744222+590334</f>
        <v>1334556</v>
      </c>
      <c r="H36" s="80">
        <v>0.42249999999999999</v>
      </c>
      <c r="I36" s="79">
        <f>ROUND(G36*H36,0)</f>
        <v>563850</v>
      </c>
      <c r="J36" s="85"/>
      <c r="K36" s="79">
        <f ca="1">M36*G36</f>
        <v>11487.14645620086</v>
      </c>
      <c r="L36" s="83">
        <f ca="1">L39</f>
        <v>2.0372702473608378E-2</v>
      </c>
      <c r="M36" s="80">
        <f t="shared" ref="M36:M38" ca="1" si="9">L36*H36</f>
        <v>8.6074667950995394E-3</v>
      </c>
      <c r="N36" s="80">
        <v>0</v>
      </c>
      <c r="O36" s="80">
        <f ca="1">M36-N36</f>
        <v>8.6074667950995394E-3</v>
      </c>
      <c r="Q36" s="206"/>
      <c r="R36" s="210">
        <v>0.43048999999999998</v>
      </c>
      <c r="S36" s="84"/>
      <c r="T36" s="84">
        <f ca="1">R36+O36</f>
        <v>0.43909746679509953</v>
      </c>
      <c r="U36" s="206"/>
      <c r="V36" s="84">
        <v>5.6564199999999998</v>
      </c>
      <c r="W36" s="206"/>
      <c r="X36" s="201">
        <f ca="1">V36+O36</f>
        <v>5.6650274667950997</v>
      </c>
    </row>
    <row r="37" spans="1:24">
      <c r="A37" s="60">
        <f>A36+1</f>
        <v>15</v>
      </c>
      <c r="B37" s="86"/>
      <c r="C37" s="77" t="s">
        <v>107</v>
      </c>
      <c r="D37" s="77" t="s">
        <v>108</v>
      </c>
      <c r="E37" s="116">
        <v>18000</v>
      </c>
      <c r="F37" s="117"/>
      <c r="G37" s="79">
        <f>682387+609462</f>
        <v>1291849</v>
      </c>
      <c r="H37" s="80">
        <v>6.3799999999999996E-2</v>
      </c>
      <c r="I37" s="79">
        <f>ROUND(G37*H37,0)</f>
        <v>82420</v>
      </c>
      <c r="J37" s="85"/>
      <c r="K37" s="79">
        <f ca="1">M37*G37</f>
        <v>1679.1174492774589</v>
      </c>
      <c r="L37" s="83">
        <f ca="1">L39</f>
        <v>2.0372702473608378E-2</v>
      </c>
      <c r="M37" s="80">
        <f t="shared" ca="1" si="9"/>
        <v>1.2997784178162145E-3</v>
      </c>
      <c r="N37" s="80">
        <v>0</v>
      </c>
      <c r="O37" s="80">
        <f ca="1">M37-N37</f>
        <v>1.2997784178162145E-3</v>
      </c>
      <c r="Q37" s="206"/>
      <c r="R37" s="210">
        <v>7.1790000000000007E-2</v>
      </c>
      <c r="S37" s="84"/>
      <c r="T37" s="84">
        <f t="shared" ref="T37:T38" ca="1" si="10">R37+O37</f>
        <v>7.308977841781622E-2</v>
      </c>
      <c r="U37" s="206"/>
      <c r="V37" s="84">
        <v>5.29772</v>
      </c>
      <c r="W37" s="206"/>
      <c r="X37" s="201">
        <f t="shared" ref="X37:X38" ca="1" si="11">V37+O37</f>
        <v>5.2990197784178159</v>
      </c>
    </row>
    <row r="38" spans="1:24">
      <c r="A38" s="60">
        <f>A37+1</f>
        <v>16</v>
      </c>
      <c r="B38" s="86"/>
      <c r="C38" s="77" t="s">
        <v>116</v>
      </c>
      <c r="D38" s="77" t="s">
        <v>114</v>
      </c>
      <c r="E38" s="116">
        <v>20000</v>
      </c>
      <c r="F38" s="117"/>
      <c r="G38" s="79">
        <f>10436+5861</f>
        <v>16297</v>
      </c>
      <c r="H38" s="80">
        <v>3.7560000000000003E-2</v>
      </c>
      <c r="I38" s="79">
        <f>ROUND(G38*H38,0)</f>
        <v>612</v>
      </c>
      <c r="J38" s="85"/>
      <c r="K38" s="79">
        <f ca="1">M38*G38</f>
        <v>12.470443293897585</v>
      </c>
      <c r="L38" s="83">
        <f ca="1">L39</f>
        <v>2.0372702473608378E-2</v>
      </c>
      <c r="M38" s="80">
        <f t="shared" ca="1" si="9"/>
        <v>7.651987049087307E-4</v>
      </c>
      <c r="N38" s="80">
        <v>0</v>
      </c>
      <c r="O38" s="80">
        <f ca="1">M38-N38</f>
        <v>7.651987049087307E-4</v>
      </c>
      <c r="Q38" s="206"/>
      <c r="R38" s="210">
        <v>4.555E-2</v>
      </c>
      <c r="S38" s="84"/>
      <c r="T38" s="84">
        <f t="shared" ca="1" si="10"/>
        <v>4.631519870490873E-2</v>
      </c>
      <c r="U38" s="206"/>
      <c r="V38" s="84">
        <v>5.2714800000000004</v>
      </c>
      <c r="W38" s="206"/>
      <c r="X38" s="201">
        <f t="shared" ca="1" si="11"/>
        <v>5.2722451987049093</v>
      </c>
    </row>
    <row r="39" spans="1:24">
      <c r="A39" s="60">
        <f>A38+1</f>
        <v>17</v>
      </c>
      <c r="B39" s="89" t="s">
        <v>110</v>
      </c>
      <c r="C39" s="62"/>
      <c r="D39" s="77"/>
      <c r="E39" s="87"/>
      <c r="F39" s="87"/>
      <c r="G39" s="112">
        <f>SUM(G36:G38)</f>
        <v>2642702</v>
      </c>
      <c r="H39" s="113"/>
      <c r="I39" s="112">
        <f>SUM(I36:I38)</f>
        <v>646882</v>
      </c>
      <c r="J39" s="85"/>
      <c r="K39" s="112">
        <f ca="1">'Exhibit 1.2'!G12</f>
        <v>13178.734521532735</v>
      </c>
      <c r="L39" s="104">
        <f ca="1">K39/I39</f>
        <v>2.0372702473608378E-2</v>
      </c>
      <c r="M39" s="112"/>
      <c r="N39" s="112"/>
      <c r="O39" s="112"/>
      <c r="Q39" s="206"/>
      <c r="R39" s="84"/>
      <c r="S39" s="84"/>
      <c r="T39" s="84"/>
      <c r="U39" s="206"/>
      <c r="V39" s="84"/>
      <c r="W39" s="206"/>
    </row>
    <row r="40" spans="1:24">
      <c r="A40" s="60"/>
      <c r="B40" s="89"/>
      <c r="C40" s="62"/>
      <c r="D40" s="77"/>
      <c r="E40" s="87"/>
      <c r="F40" s="87"/>
      <c r="G40" s="114"/>
      <c r="H40" s="115"/>
      <c r="I40" s="114"/>
      <c r="J40" s="85"/>
      <c r="K40" s="114"/>
      <c r="L40" s="105"/>
      <c r="M40" s="114"/>
      <c r="N40" s="114"/>
      <c r="O40" s="114"/>
      <c r="Q40" s="206"/>
      <c r="R40" s="84"/>
      <c r="S40" s="84"/>
      <c r="T40" s="84"/>
      <c r="U40" s="206"/>
      <c r="V40" s="84"/>
      <c r="W40" s="206"/>
    </row>
    <row r="41" spans="1:24" ht="13.5" thickBot="1">
      <c r="A41" s="60"/>
      <c r="B41" s="118"/>
      <c r="C41" s="119"/>
      <c r="D41" s="119"/>
      <c r="E41" s="120"/>
      <c r="F41" s="95"/>
      <c r="G41" s="121"/>
      <c r="H41" s="122"/>
      <c r="I41" s="101"/>
      <c r="J41" s="85"/>
      <c r="K41" s="121"/>
      <c r="L41" s="122"/>
      <c r="M41" s="101"/>
      <c r="N41" s="101"/>
      <c r="O41" s="101"/>
      <c r="Q41" s="206"/>
      <c r="R41" s="84"/>
      <c r="S41" s="84"/>
      <c r="T41" s="84"/>
      <c r="U41" s="206"/>
      <c r="V41" s="84"/>
      <c r="W41" s="206"/>
    </row>
    <row r="42" spans="1:24">
      <c r="A42" s="60"/>
      <c r="B42" s="123"/>
      <c r="C42" s="94"/>
      <c r="D42" s="94"/>
      <c r="E42" s="95"/>
      <c r="F42" s="95"/>
      <c r="G42" s="124"/>
      <c r="H42" s="125"/>
      <c r="I42" s="102"/>
      <c r="J42" s="85"/>
      <c r="K42" s="69" t="s">
        <v>92</v>
      </c>
      <c r="L42" s="125"/>
      <c r="M42" s="69" t="s">
        <v>92</v>
      </c>
      <c r="N42" s="69"/>
      <c r="O42" s="69"/>
      <c r="Q42" s="206"/>
      <c r="R42" s="84"/>
      <c r="S42" s="84"/>
      <c r="T42" s="84"/>
      <c r="U42" s="206"/>
      <c r="V42" s="84"/>
      <c r="W42" s="206"/>
    </row>
    <row r="43" spans="1:24">
      <c r="A43" s="60"/>
      <c r="B43" s="66" t="s">
        <v>119</v>
      </c>
      <c r="C43" s="67"/>
      <c r="D43" s="67"/>
      <c r="E43" s="70"/>
      <c r="F43" s="70"/>
      <c r="G43" s="231" t="s">
        <v>91</v>
      </c>
      <c r="H43" s="231"/>
      <c r="I43" s="231"/>
      <c r="J43" s="67"/>
      <c r="K43" s="69" t="s">
        <v>95</v>
      </c>
      <c r="L43" s="70" t="s">
        <v>96</v>
      </c>
      <c r="M43" s="69" t="s">
        <v>95</v>
      </c>
      <c r="N43" s="69"/>
      <c r="O43" s="69"/>
      <c r="Q43" s="206"/>
      <c r="R43" s="84"/>
      <c r="S43" s="84"/>
      <c r="T43" s="84"/>
      <c r="U43" s="206"/>
      <c r="V43" s="84"/>
      <c r="W43" s="206"/>
    </row>
    <row r="44" spans="1:24" ht="13.5" thickBot="1">
      <c r="A44" s="60"/>
      <c r="B44" s="71" t="s">
        <v>98</v>
      </c>
      <c r="C44" s="72"/>
      <c r="D44" s="72"/>
      <c r="E44" s="73" t="s">
        <v>99</v>
      </c>
      <c r="F44" s="74"/>
      <c r="G44" s="75" t="s">
        <v>99</v>
      </c>
      <c r="H44" s="75" t="s">
        <v>100</v>
      </c>
      <c r="I44" s="76" t="s">
        <v>101</v>
      </c>
      <c r="J44" s="67"/>
      <c r="K44" s="75" t="s">
        <v>48</v>
      </c>
      <c r="L44" s="75" t="s">
        <v>102</v>
      </c>
      <c r="M44" s="75" t="s">
        <v>103</v>
      </c>
      <c r="N44" s="75"/>
      <c r="O44" s="75"/>
      <c r="Q44" s="206"/>
      <c r="R44" s="84"/>
      <c r="S44" s="84"/>
      <c r="T44" s="84"/>
      <c r="U44" s="206"/>
      <c r="V44" s="84"/>
      <c r="W44" s="206"/>
    </row>
    <row r="45" spans="1:24">
      <c r="A45" s="60">
        <f>A39+1</f>
        <v>18</v>
      </c>
      <c r="B45" s="77"/>
      <c r="C45" s="77" t="s">
        <v>105</v>
      </c>
      <c r="D45" s="77" t="s">
        <v>106</v>
      </c>
      <c r="E45" s="87">
        <v>10000</v>
      </c>
      <c r="F45" s="87"/>
      <c r="G45" s="79">
        <f>548101+389861</f>
        <v>937962</v>
      </c>
      <c r="H45" s="80">
        <v>0.22983999999999999</v>
      </c>
      <c r="I45" s="79">
        <f>ROUND(G45*H45,0)</f>
        <v>215581</v>
      </c>
      <c r="J45" s="85"/>
      <c r="K45" s="79">
        <f ca="1">M45*G45</f>
        <v>1424.8573991086262</v>
      </c>
      <c r="L45" s="83">
        <f ca="1">L50</f>
        <v>6.6093773070711095E-3</v>
      </c>
      <c r="M45" s="80">
        <f t="shared" ref="M45:M49" ca="1" si="12">L45*H45</f>
        <v>1.5190992802572238E-3</v>
      </c>
      <c r="N45" s="80">
        <v>0</v>
      </c>
      <c r="O45" s="80">
        <f ca="1">M45-N45</f>
        <v>1.5190992802572238E-3</v>
      </c>
      <c r="Q45" s="206"/>
      <c r="R45" s="210">
        <v>0.23002</v>
      </c>
      <c r="S45" s="84"/>
      <c r="T45" s="84">
        <f ca="1">R45+O45</f>
        <v>0.23153909928025723</v>
      </c>
      <c r="U45" s="206"/>
      <c r="V45" s="84"/>
      <c r="W45" s="206"/>
      <c r="X45" s="201"/>
    </row>
    <row r="46" spans="1:24">
      <c r="A46" s="60">
        <f>A45+1</f>
        <v>19</v>
      </c>
      <c r="B46" s="86"/>
      <c r="C46" s="77" t="s">
        <v>107</v>
      </c>
      <c r="D46" s="77" t="s">
        <v>108</v>
      </c>
      <c r="E46" s="87">
        <v>112500</v>
      </c>
      <c r="F46" s="87"/>
      <c r="G46" s="79">
        <f>2534443+1855149</f>
        <v>4389592</v>
      </c>
      <c r="H46" s="80">
        <v>0.21540000000000001</v>
      </c>
      <c r="I46" s="79">
        <f>ROUND(G46*H46,0)</f>
        <v>945518</v>
      </c>
      <c r="J46" s="85"/>
      <c r="K46" s="79">
        <f ca="1">M46*G46</f>
        <v>6249.2859846025303</v>
      </c>
      <c r="L46" s="83">
        <f ca="1">L50</f>
        <v>6.6093773070711095E-3</v>
      </c>
      <c r="M46" s="80">
        <f t="shared" ca="1" si="12"/>
        <v>1.423659871943117E-3</v>
      </c>
      <c r="N46" s="80">
        <v>0</v>
      </c>
      <c r="O46" s="80">
        <f ca="1">M46-N46</f>
        <v>1.423659871943117E-3</v>
      </c>
      <c r="Q46" s="206"/>
      <c r="R46" s="210">
        <v>0.21557999999999999</v>
      </c>
      <c r="S46" s="84"/>
      <c r="T46" s="84">
        <f t="shared" ref="T46:T48" ca="1" si="13">R46+O46</f>
        <v>0.21700365987194312</v>
      </c>
      <c r="U46" s="206"/>
      <c r="V46" s="84"/>
      <c r="W46" s="206"/>
      <c r="X46" s="201"/>
    </row>
    <row r="47" spans="1:24">
      <c r="A47" s="60">
        <f>A46+1</f>
        <v>20</v>
      </c>
      <c r="B47" s="86"/>
      <c r="C47" s="77" t="s">
        <v>116</v>
      </c>
      <c r="D47" s="77" t="s">
        <v>108</v>
      </c>
      <c r="E47" s="87">
        <v>477500</v>
      </c>
      <c r="F47" s="87"/>
      <c r="G47" s="79">
        <f>2588015+1398699</f>
        <v>3986714</v>
      </c>
      <c r="H47" s="80">
        <v>0.15121000000000001</v>
      </c>
      <c r="I47" s="79">
        <f>ROUND(G47*H47,0)</f>
        <v>602831</v>
      </c>
      <c r="J47" s="85"/>
      <c r="K47" s="79">
        <f ca="1">M47*G47</f>
        <v>3984.3376896274767</v>
      </c>
      <c r="L47" s="83">
        <f ca="1">L50</f>
        <v>6.6093773070711095E-3</v>
      </c>
      <c r="M47" s="80">
        <f t="shared" ca="1" si="12"/>
        <v>9.9940394260222246E-4</v>
      </c>
      <c r="N47" s="80">
        <v>0</v>
      </c>
      <c r="O47" s="80">
        <f ca="1">M47-N47</f>
        <v>9.9940394260222246E-4</v>
      </c>
      <c r="Q47" s="206"/>
      <c r="R47" s="210">
        <v>0.15139</v>
      </c>
      <c r="S47" s="84"/>
      <c r="T47" s="84">
        <f t="shared" ca="1" si="13"/>
        <v>0.15238940394260223</v>
      </c>
      <c r="U47" s="206"/>
      <c r="V47" s="84"/>
      <c r="W47" s="206"/>
      <c r="X47" s="201"/>
    </row>
    <row r="48" spans="1:24">
      <c r="A48" s="60">
        <f>A47+1</f>
        <v>21</v>
      </c>
      <c r="B48" s="86"/>
      <c r="C48" s="77" t="s">
        <v>120</v>
      </c>
      <c r="D48" s="77" t="s">
        <v>114</v>
      </c>
      <c r="E48" s="87">
        <v>600000</v>
      </c>
      <c r="F48" s="87"/>
      <c r="G48" s="79">
        <f>62627</f>
        <v>62627</v>
      </c>
      <c r="H48" s="80">
        <v>3.0849999999999999E-2</v>
      </c>
      <c r="I48" s="79">
        <f>ROUND(G48*H48,0)</f>
        <v>1932</v>
      </c>
      <c r="J48" s="85"/>
      <c r="K48" s="79">
        <f ca="1">M48*G48</f>
        <v>12.769600830016721</v>
      </c>
      <c r="L48" s="83">
        <f ca="1">L50</f>
        <v>6.6093773070711095E-3</v>
      </c>
      <c r="M48" s="80">
        <f t="shared" ca="1" si="12"/>
        <v>2.0389928992314371E-4</v>
      </c>
      <c r="N48" s="80">
        <v>0</v>
      </c>
      <c r="O48" s="80">
        <f ca="1">M48-N48</f>
        <v>2.0389928992314371E-4</v>
      </c>
      <c r="Q48" s="206"/>
      <c r="R48" s="84">
        <v>3.1029999999999999E-2</v>
      </c>
      <c r="S48" s="84"/>
      <c r="T48" s="84">
        <f t="shared" ca="1" si="13"/>
        <v>3.1233899289923144E-2</v>
      </c>
      <c r="U48" s="206"/>
      <c r="V48" s="84"/>
      <c r="W48" s="206"/>
    </row>
    <row r="49" spans="1:24">
      <c r="A49" s="60">
        <f>A48+1</f>
        <v>22</v>
      </c>
      <c r="B49" s="129" t="s">
        <v>122</v>
      </c>
      <c r="C49" s="77"/>
      <c r="D49" s="77"/>
      <c r="E49" s="87"/>
      <c r="F49" s="87"/>
      <c r="G49" s="79">
        <v>715200</v>
      </c>
      <c r="H49" s="224">
        <v>12.39</v>
      </c>
      <c r="I49" s="130">
        <f>G49*H49</f>
        <v>8861328</v>
      </c>
      <c r="J49" s="85"/>
      <c r="K49" s="79">
        <f ca="1">M49*G49</f>
        <v>58567.860193713823</v>
      </c>
      <c r="L49" s="83">
        <f ca="1">L50</f>
        <v>6.6093773070711095E-3</v>
      </c>
      <c r="M49" s="80">
        <f t="shared" ca="1" si="12"/>
        <v>8.1890184834611052E-2</v>
      </c>
      <c r="N49" s="80">
        <v>0</v>
      </c>
      <c r="O49" s="80">
        <f ca="1">M49-N49</f>
        <v>8.1890184834611052E-2</v>
      </c>
      <c r="Q49" s="206"/>
      <c r="R49" s="225">
        <v>12.39</v>
      </c>
      <c r="S49" s="84"/>
      <c r="T49" s="84">
        <f ca="1">R49+O49</f>
        <v>12.471890184834612</v>
      </c>
      <c r="U49" s="206"/>
      <c r="V49" s="84"/>
      <c r="W49" s="206"/>
    </row>
    <row r="50" spans="1:24">
      <c r="A50" s="60">
        <f>A49+1</f>
        <v>23</v>
      </c>
      <c r="B50" s="129" t="s">
        <v>123</v>
      </c>
      <c r="C50" s="62"/>
      <c r="D50" s="77"/>
      <c r="E50" s="87"/>
      <c r="F50" s="87"/>
      <c r="G50" s="112">
        <f>SUM(G45:G49)</f>
        <v>10092095</v>
      </c>
      <c r="H50" s="113"/>
      <c r="I50" s="112">
        <f>SUM(I45:I49)</f>
        <v>10627190</v>
      </c>
      <c r="J50" s="85"/>
      <c r="K50" s="112">
        <f ca="1">'Exhibit 1.2'!G15</f>
        <v>70239.108423933023</v>
      </c>
      <c r="L50" s="104">
        <f ca="1">K50/I50</f>
        <v>6.6093773070711095E-3</v>
      </c>
      <c r="M50" s="112"/>
      <c r="N50" s="112"/>
      <c r="O50" s="112"/>
      <c r="Q50" s="206"/>
      <c r="R50" s="84"/>
      <c r="S50" s="84"/>
      <c r="T50" s="84">
        <f ca="1">T49/12</f>
        <v>1.0393241820695509</v>
      </c>
      <c r="U50" s="206"/>
      <c r="V50" s="84"/>
      <c r="W50" s="206"/>
    </row>
    <row r="51" spans="1:24">
      <c r="A51" s="60"/>
      <c r="B51" s="89"/>
      <c r="C51" s="62"/>
      <c r="D51" s="77"/>
      <c r="E51" s="87"/>
      <c r="F51" s="87"/>
      <c r="G51" s="114"/>
      <c r="H51" s="115"/>
      <c r="I51" s="114"/>
      <c r="J51" s="85"/>
      <c r="K51" s="114"/>
      <c r="L51" s="105"/>
      <c r="M51" s="114"/>
      <c r="N51" s="114"/>
      <c r="O51" s="114"/>
      <c r="Q51" s="206"/>
      <c r="R51" s="84"/>
      <c r="S51" s="84"/>
      <c r="T51" s="84"/>
      <c r="U51" s="206"/>
      <c r="V51" s="84"/>
      <c r="W51" s="206"/>
    </row>
    <row r="52" spans="1:24" ht="13.5" thickBot="1">
      <c r="A52" s="60"/>
      <c r="B52" s="118"/>
      <c r="C52" s="119"/>
      <c r="D52" s="119"/>
      <c r="E52" s="120"/>
      <c r="F52" s="126"/>
      <c r="G52" s="121"/>
      <c r="H52" s="122"/>
      <c r="I52" s="101"/>
      <c r="J52" s="85"/>
      <c r="K52" s="121"/>
      <c r="L52" s="122"/>
      <c r="M52" s="101"/>
      <c r="N52" s="101"/>
      <c r="O52" s="101"/>
      <c r="Q52" s="206"/>
      <c r="R52" s="84"/>
      <c r="S52" s="84"/>
      <c r="T52" s="84"/>
      <c r="U52" s="206"/>
      <c r="V52" s="84"/>
      <c r="W52" s="206"/>
    </row>
    <row r="53" spans="1:24">
      <c r="A53" s="60"/>
      <c r="B53" s="123"/>
      <c r="C53" s="94"/>
      <c r="D53" s="94"/>
      <c r="E53" s="95"/>
      <c r="F53" s="126"/>
      <c r="G53" s="124"/>
      <c r="H53" s="125"/>
      <c r="I53" s="102"/>
      <c r="J53" s="85"/>
      <c r="K53" s="69" t="s">
        <v>92</v>
      </c>
      <c r="L53" s="125"/>
      <c r="M53" s="69" t="s">
        <v>92</v>
      </c>
      <c r="N53" s="69"/>
      <c r="O53" s="69"/>
      <c r="Q53" s="206"/>
      <c r="R53" s="84"/>
      <c r="S53" s="84"/>
      <c r="T53" s="84"/>
      <c r="U53" s="206"/>
      <c r="V53" s="84"/>
      <c r="W53" s="206"/>
    </row>
    <row r="54" spans="1:24">
      <c r="A54" s="60"/>
      <c r="B54" s="66" t="s">
        <v>121</v>
      </c>
      <c r="C54" s="67"/>
      <c r="D54" s="67"/>
      <c r="E54" s="70"/>
      <c r="F54" s="126"/>
      <c r="G54" s="231" t="s">
        <v>91</v>
      </c>
      <c r="H54" s="231"/>
      <c r="I54" s="231"/>
      <c r="J54" s="85"/>
      <c r="K54" s="69" t="s">
        <v>95</v>
      </c>
      <c r="L54" s="70" t="s">
        <v>96</v>
      </c>
      <c r="M54" s="69" t="s">
        <v>95</v>
      </c>
      <c r="N54" s="69"/>
      <c r="O54" s="69"/>
      <c r="Q54" s="206"/>
      <c r="R54" s="84"/>
      <c r="S54" s="84"/>
      <c r="T54" s="84"/>
      <c r="U54" s="206"/>
      <c r="V54" s="84"/>
      <c r="W54" s="206"/>
    </row>
    <row r="55" spans="1:24" ht="13.5" thickBot="1">
      <c r="A55" s="60"/>
      <c r="B55" s="71" t="s">
        <v>98</v>
      </c>
      <c r="C55" s="72"/>
      <c r="D55" s="72"/>
      <c r="E55" s="73" t="s">
        <v>99</v>
      </c>
      <c r="F55" s="126"/>
      <c r="G55" s="75" t="s">
        <v>99</v>
      </c>
      <c r="H55" s="75" t="s">
        <v>100</v>
      </c>
      <c r="I55" s="76" t="s">
        <v>101</v>
      </c>
      <c r="J55" s="85"/>
      <c r="K55" s="75" t="s">
        <v>48</v>
      </c>
      <c r="L55" s="75" t="s">
        <v>102</v>
      </c>
      <c r="M55" s="75" t="s">
        <v>103</v>
      </c>
      <c r="N55" s="75"/>
      <c r="O55" s="75"/>
      <c r="Q55" s="206"/>
      <c r="R55" s="84"/>
      <c r="S55" s="84"/>
      <c r="T55" s="84"/>
      <c r="U55" s="206"/>
      <c r="V55" s="84"/>
      <c r="W55" s="206"/>
    </row>
    <row r="56" spans="1:24">
      <c r="A56" s="60">
        <f>A50+1</f>
        <v>24</v>
      </c>
      <c r="B56" s="77"/>
      <c r="C56" s="77" t="s">
        <v>105</v>
      </c>
      <c r="D56" s="77" t="s">
        <v>106</v>
      </c>
      <c r="E56" s="87">
        <v>200</v>
      </c>
      <c r="F56" s="126"/>
      <c r="G56" s="79">
        <f>465518+333700</f>
        <v>799218</v>
      </c>
      <c r="H56" s="80">
        <v>0.70401000000000002</v>
      </c>
      <c r="I56" s="79">
        <f>ROUND(G56*H56,0)</f>
        <v>562657</v>
      </c>
      <c r="J56" s="85"/>
      <c r="K56" s="79">
        <f ca="1">M56*G56</f>
        <v>2736.6165112064182</v>
      </c>
      <c r="L56" s="127">
        <f ca="1">L61</f>
        <v>4.8637344839896164E-3</v>
      </c>
      <c r="M56" s="80">
        <f ca="1">L56*H56</f>
        <v>3.4241177140735299E-3</v>
      </c>
      <c r="N56" s="80">
        <v>0</v>
      </c>
      <c r="O56" s="80">
        <f ca="1">M56-N56</f>
        <v>3.4241177140735299E-3</v>
      </c>
      <c r="P56" s="201"/>
      <c r="Q56" s="206"/>
      <c r="R56" s="210">
        <v>0.70452999999999999</v>
      </c>
      <c r="S56" s="84"/>
      <c r="T56" s="84">
        <f ca="1">R56+O56</f>
        <v>0.70795411771407357</v>
      </c>
      <c r="U56" s="206"/>
      <c r="V56" s="84"/>
      <c r="W56" s="206"/>
      <c r="X56" s="201"/>
    </row>
    <row r="57" spans="1:24">
      <c r="A57" s="60">
        <f>A56+1</f>
        <v>25</v>
      </c>
      <c r="B57" s="86"/>
      <c r="C57" s="77" t="s">
        <v>107</v>
      </c>
      <c r="D57" s="77" t="s">
        <v>108</v>
      </c>
      <c r="E57" s="87">
        <v>1800</v>
      </c>
      <c r="F57" s="126"/>
      <c r="G57" s="79">
        <f>2735192+2115707</f>
        <v>4850899</v>
      </c>
      <c r="H57" s="80">
        <v>0.46021000000000001</v>
      </c>
      <c r="I57" s="79">
        <f>ROUND(G57*H57,0)</f>
        <v>2232432</v>
      </c>
      <c r="J57" s="85"/>
      <c r="K57" s="79">
        <f t="shared" ref="K57:K59" ca="1" si="14">M57*G57</f>
        <v>10857.957614335719</v>
      </c>
      <c r="L57" s="127">
        <f ca="1">L61</f>
        <v>4.8637344839896164E-3</v>
      </c>
      <c r="M57" s="80">
        <f t="shared" ref="M57:M60" ca="1" si="15">L57*H57</f>
        <v>2.2383392468768612E-3</v>
      </c>
      <c r="N57" s="80">
        <v>0</v>
      </c>
      <c r="O57" s="80">
        <f ca="1">M57-N57</f>
        <v>2.2383392468768612E-3</v>
      </c>
      <c r="P57" s="201"/>
      <c r="Q57" s="206"/>
      <c r="R57" s="210">
        <v>0.46072999999999997</v>
      </c>
      <c r="S57" s="84"/>
      <c r="T57" s="84">
        <f t="shared" ref="T57:T58" ca="1" si="16">R57+O57</f>
        <v>0.46296833924687686</v>
      </c>
      <c r="U57" s="206"/>
      <c r="V57" s="84"/>
      <c r="W57" s="206"/>
      <c r="X57" s="201"/>
    </row>
    <row r="58" spans="1:24">
      <c r="A58" s="60">
        <f>A57+1</f>
        <v>26</v>
      </c>
      <c r="B58" s="86"/>
      <c r="C58" s="77" t="s">
        <v>116</v>
      </c>
      <c r="D58" s="77" t="s">
        <v>108</v>
      </c>
      <c r="E58" s="87">
        <v>98000</v>
      </c>
      <c r="F58" s="126"/>
      <c r="G58" s="79">
        <f>13336551+12548562</f>
        <v>25885113</v>
      </c>
      <c r="H58" s="80">
        <v>0.18820999999999999</v>
      </c>
      <c r="I58" s="79">
        <f>ROUND(G58*H58,0)</f>
        <v>4871837</v>
      </c>
      <c r="J58" s="85"/>
      <c r="K58" s="79">
        <f t="shared" ca="1" si="14"/>
        <v>23695.32218988398</v>
      </c>
      <c r="L58" s="127">
        <f ca="1">L61</f>
        <v>4.8637344839896164E-3</v>
      </c>
      <c r="M58" s="80">
        <f t="shared" ca="1" si="15"/>
        <v>9.154034672316856E-4</v>
      </c>
      <c r="N58" s="80">
        <v>0</v>
      </c>
      <c r="O58" s="80">
        <f ca="1">M58-N58</f>
        <v>9.154034672316856E-4</v>
      </c>
      <c r="P58" s="201"/>
      <c r="Q58" s="206"/>
      <c r="R58" s="210">
        <v>0.18873000000000001</v>
      </c>
      <c r="S58" s="84"/>
      <c r="T58" s="84">
        <f t="shared" ca="1" si="16"/>
        <v>0.18964540346723169</v>
      </c>
      <c r="U58" s="206"/>
      <c r="V58" s="84"/>
      <c r="W58" s="206"/>
      <c r="X58" s="201"/>
    </row>
    <row r="59" spans="1:24">
      <c r="A59" s="60">
        <f>A58+1</f>
        <v>27</v>
      </c>
      <c r="B59" s="86"/>
      <c r="C59" s="77" t="s">
        <v>120</v>
      </c>
      <c r="D59" s="77" t="s">
        <v>114</v>
      </c>
      <c r="E59" s="87">
        <v>100000</v>
      </c>
      <c r="F59" s="126"/>
      <c r="G59" s="79">
        <f>2845862+2919126</f>
        <v>5764988</v>
      </c>
      <c r="H59" s="128">
        <v>6.966E-2</v>
      </c>
      <c r="I59" s="114">
        <f>ROUND(G59*H59,0)</f>
        <v>401589</v>
      </c>
      <c r="J59" s="85"/>
      <c r="K59" s="114">
        <f t="shared" ca="1" si="14"/>
        <v>1953.2225793590119</v>
      </c>
      <c r="L59" s="127">
        <f ca="1">L61</f>
        <v>4.8637344839896164E-3</v>
      </c>
      <c r="M59" s="128">
        <f t="shared" ca="1" si="15"/>
        <v>3.3880774415471669E-4</v>
      </c>
      <c r="N59" s="128">
        <v>0</v>
      </c>
      <c r="O59" s="128">
        <f ca="1">M59-N59</f>
        <v>3.3880774415471669E-4</v>
      </c>
      <c r="P59" s="201"/>
      <c r="Q59" s="206"/>
      <c r="R59" s="210">
        <v>7.0180000000000006E-2</v>
      </c>
      <c r="S59" s="84"/>
      <c r="T59" s="84">
        <f ca="1">R59+O59</f>
        <v>7.0518807744154727E-2</v>
      </c>
      <c r="U59" s="206"/>
      <c r="V59" s="84"/>
      <c r="W59" s="206"/>
      <c r="X59" s="201"/>
    </row>
    <row r="60" spans="1:24">
      <c r="A60" s="60">
        <f>A59+1</f>
        <v>28</v>
      </c>
      <c r="B60" s="129" t="s">
        <v>122</v>
      </c>
      <c r="C60" s="88"/>
      <c r="D60" s="123"/>
      <c r="E60" s="126"/>
      <c r="F60" s="126"/>
      <c r="G60" s="130">
        <v>1197120</v>
      </c>
      <c r="H60" s="197">
        <v>24.79</v>
      </c>
      <c r="I60" s="130">
        <f>G60*H60</f>
        <v>29676604.800000001</v>
      </c>
      <c r="J60" s="85"/>
      <c r="K60" s="130">
        <f ca="1">M60*G60</f>
        <v>144339.12613349178</v>
      </c>
      <c r="L60" s="131">
        <f ca="1">L61</f>
        <v>4.8637344839896164E-3</v>
      </c>
      <c r="M60" s="132">
        <f t="shared" ca="1" si="15"/>
        <v>0.12057197785810259</v>
      </c>
      <c r="N60" s="132">
        <v>0</v>
      </c>
      <c r="O60" s="132">
        <f ca="1">M60-N60</f>
        <v>0.12057197785810259</v>
      </c>
      <c r="Q60" s="206"/>
      <c r="R60" s="210">
        <v>24.79</v>
      </c>
      <c r="S60" s="84"/>
      <c r="T60" s="84">
        <f t="shared" ref="T60" ca="1" si="17">R60+O60</f>
        <v>24.910571977858101</v>
      </c>
      <c r="U60" s="206"/>
      <c r="V60" s="84"/>
      <c r="W60" s="206"/>
      <c r="X60" s="201"/>
    </row>
    <row r="61" spans="1:24">
      <c r="A61" s="60">
        <f>A60+1</f>
        <v>29</v>
      </c>
      <c r="B61" s="129" t="s">
        <v>123</v>
      </c>
      <c r="C61" s="88"/>
      <c r="D61" s="123"/>
      <c r="E61" s="126"/>
      <c r="F61" s="126"/>
      <c r="G61" s="114">
        <f>SUM(G56:G60)</f>
        <v>38497338</v>
      </c>
      <c r="H61" s="128"/>
      <c r="I61" s="114">
        <f>SUM(I56:I60)</f>
        <v>37745119.799999997</v>
      </c>
      <c r="J61" s="85"/>
      <c r="K61" s="114">
        <f ca="1">'Exhibit 1.2'!G13</f>
        <v>183582.24077357922</v>
      </c>
      <c r="L61" s="105">
        <f ca="1">K61/I61</f>
        <v>4.8637344839896164E-3</v>
      </c>
      <c r="M61" s="133"/>
      <c r="N61" s="133"/>
      <c r="O61" s="133"/>
      <c r="Q61" s="206"/>
      <c r="R61" s="84"/>
      <c r="S61" s="84"/>
      <c r="T61" s="84">
        <f ca="1">T60/12</f>
        <v>2.0758809981548416</v>
      </c>
      <c r="U61" s="206"/>
      <c r="V61" s="84"/>
      <c r="W61" s="206"/>
    </row>
    <row r="62" spans="1:24">
      <c r="A62" s="60"/>
      <c r="B62" s="129"/>
      <c r="C62" s="88"/>
      <c r="D62" s="123"/>
      <c r="E62" s="126"/>
      <c r="F62" s="126"/>
      <c r="G62" s="114"/>
      <c r="H62" s="128"/>
      <c r="I62" s="114"/>
      <c r="J62" s="85"/>
      <c r="K62" s="114"/>
      <c r="L62" s="105"/>
      <c r="M62" s="133"/>
      <c r="N62" s="133"/>
      <c r="O62" s="133"/>
      <c r="Q62" s="206"/>
      <c r="R62" s="84"/>
      <c r="S62" s="84"/>
      <c r="T62" s="84"/>
      <c r="U62" s="206"/>
      <c r="V62" s="84"/>
      <c r="W62" s="206"/>
    </row>
    <row r="63" spans="1:24" ht="13.5" thickBot="1">
      <c r="A63" s="60"/>
      <c r="B63" s="118"/>
      <c r="C63" s="134"/>
      <c r="D63" s="118"/>
      <c r="E63" s="135"/>
      <c r="F63" s="126"/>
      <c r="G63" s="136"/>
      <c r="H63" s="137"/>
      <c r="I63" s="101"/>
      <c r="J63" s="67"/>
      <c r="K63" s="101"/>
      <c r="L63" s="137"/>
      <c r="M63" s="101"/>
      <c r="N63" s="101"/>
      <c r="O63" s="101"/>
      <c r="Q63" s="206"/>
      <c r="R63" s="84"/>
      <c r="S63" s="84"/>
      <c r="T63" s="84"/>
      <c r="U63" s="206"/>
      <c r="V63" s="84"/>
      <c r="W63" s="206"/>
    </row>
    <row r="64" spans="1:24">
      <c r="A64" s="60"/>
      <c r="B64" s="123"/>
      <c r="C64" s="88"/>
      <c r="D64" s="123"/>
      <c r="E64" s="126"/>
      <c r="F64" s="126"/>
      <c r="G64" s="114"/>
      <c r="H64" s="133"/>
      <c r="I64" s="102"/>
      <c r="J64" s="67"/>
      <c r="K64" s="69" t="s">
        <v>92</v>
      </c>
      <c r="L64" s="133"/>
      <c r="M64" s="69" t="s">
        <v>92</v>
      </c>
      <c r="N64" s="69"/>
      <c r="O64" s="69"/>
      <c r="Q64" s="206"/>
      <c r="R64" s="84"/>
      <c r="S64" s="84"/>
      <c r="T64" s="84"/>
      <c r="U64" s="206"/>
      <c r="V64" s="84"/>
      <c r="W64" s="206"/>
    </row>
    <row r="65" spans="1:24">
      <c r="A65" s="60"/>
      <c r="B65" s="66" t="s">
        <v>124</v>
      </c>
      <c r="C65" s="67"/>
      <c r="D65" s="67"/>
      <c r="E65" s="70"/>
      <c r="F65" s="70"/>
      <c r="G65" s="231" t="s">
        <v>91</v>
      </c>
      <c r="H65" s="231"/>
      <c r="I65" s="231"/>
      <c r="J65" s="67"/>
      <c r="K65" s="69" t="s">
        <v>95</v>
      </c>
      <c r="L65" s="70" t="s">
        <v>112</v>
      </c>
      <c r="M65" s="69" t="s">
        <v>95</v>
      </c>
      <c r="N65" s="69"/>
      <c r="O65" s="69"/>
      <c r="Q65" s="206"/>
      <c r="R65" s="84"/>
      <c r="S65" s="84"/>
      <c r="T65" s="84"/>
      <c r="U65" s="206"/>
      <c r="V65" s="84"/>
      <c r="W65" s="206"/>
    </row>
    <row r="66" spans="1:24" ht="13.5" thickBot="1">
      <c r="A66" s="60"/>
      <c r="B66" s="71" t="s">
        <v>98</v>
      </c>
      <c r="C66" s="72"/>
      <c r="D66" s="72"/>
      <c r="E66" s="73" t="s">
        <v>99</v>
      </c>
      <c r="F66" s="74"/>
      <c r="G66" s="73" t="s">
        <v>99</v>
      </c>
      <c r="H66" s="73" t="s">
        <v>100</v>
      </c>
      <c r="I66" s="73" t="s">
        <v>101</v>
      </c>
      <c r="J66" s="67"/>
      <c r="K66" s="75" t="s">
        <v>48</v>
      </c>
      <c r="L66" s="75" t="s">
        <v>102</v>
      </c>
      <c r="M66" s="75" t="s">
        <v>103</v>
      </c>
      <c r="N66" s="75"/>
      <c r="O66" s="75"/>
      <c r="Q66" s="206"/>
      <c r="R66" s="84"/>
      <c r="S66" s="84"/>
      <c r="T66" s="84"/>
      <c r="U66" s="206"/>
      <c r="V66" s="84"/>
      <c r="W66" s="206"/>
    </row>
    <row r="67" spans="1:24">
      <c r="A67" s="60">
        <f>A61+1</f>
        <v>30</v>
      </c>
      <c r="B67" s="103" t="s">
        <v>113</v>
      </c>
      <c r="C67" s="77"/>
      <c r="D67" s="77" t="s">
        <v>114</v>
      </c>
      <c r="E67" s="87">
        <v>0</v>
      </c>
      <c r="F67" s="87"/>
      <c r="G67" s="79">
        <f>11345+23847</f>
        <v>35192</v>
      </c>
      <c r="H67" s="198">
        <v>0.66539000000000004</v>
      </c>
      <c r="I67" s="138">
        <f>G67*H67</f>
        <v>23416.404880000002</v>
      </c>
      <c r="J67" s="85"/>
      <c r="K67" s="79">
        <f ca="1">'Exhibit 1.2'!G14</f>
        <v>315.43251788273489</v>
      </c>
      <c r="L67" s="83">
        <f ca="1">K67/I67</f>
        <v>1.3470578404294095E-2</v>
      </c>
      <c r="M67" s="80">
        <f t="shared" ref="M67" ca="1" si="18">L67*H67</f>
        <v>8.9631881644332487E-3</v>
      </c>
      <c r="N67" s="80">
        <v>0</v>
      </c>
      <c r="O67" s="80">
        <f ca="1">M67-N67</f>
        <v>8.9631881644332487E-3</v>
      </c>
      <c r="Q67" s="206"/>
      <c r="R67" s="210">
        <v>0.66722000000000004</v>
      </c>
      <c r="S67" s="84"/>
      <c r="T67" s="84">
        <f t="shared" ref="T67" ca="1" si="19">R67+O67</f>
        <v>0.67618318816443324</v>
      </c>
      <c r="U67" s="206"/>
      <c r="V67" s="84"/>
      <c r="W67" s="206"/>
      <c r="X67" s="201">
        <f t="shared" ref="X67" ca="1" si="20">V67+O67</f>
        <v>8.9631881644332487E-3</v>
      </c>
    </row>
    <row r="68" spans="1:24">
      <c r="A68" s="60">
        <f>A67+1</f>
        <v>31</v>
      </c>
      <c r="B68" s="89" t="s">
        <v>110</v>
      </c>
      <c r="C68" s="62"/>
      <c r="D68" s="77"/>
      <c r="E68" s="87"/>
      <c r="F68" s="87"/>
      <c r="G68" s="117">
        <f>SUM(G67)</f>
        <v>35192</v>
      </c>
      <c r="H68" s="139"/>
      <c r="I68" s="117">
        <f>SUM(I67)</f>
        <v>23416.404880000002</v>
      </c>
      <c r="J68" s="85"/>
      <c r="K68" s="114"/>
      <c r="L68" s="115"/>
      <c r="M68" s="114"/>
      <c r="N68" s="114"/>
      <c r="O68" s="114"/>
    </row>
    <row r="69" spans="1:24">
      <c r="A69" s="60"/>
      <c r="B69" s="123"/>
      <c r="C69" s="94"/>
      <c r="D69" s="94"/>
      <c r="E69" s="95"/>
      <c r="F69" s="95"/>
      <c r="G69" s="96"/>
      <c r="H69" s="97"/>
      <c r="I69" s="98"/>
      <c r="J69" s="85"/>
      <c r="K69" s="96"/>
      <c r="L69" s="97"/>
      <c r="M69" s="98"/>
      <c r="N69" s="98"/>
      <c r="O69" s="98"/>
    </row>
    <row r="70" spans="1:24" ht="13.5" thickBot="1">
      <c r="A70" s="60">
        <f>A68+1</f>
        <v>32</v>
      </c>
      <c r="B70" s="62"/>
      <c r="C70" s="62"/>
      <c r="D70" s="62"/>
      <c r="E70" s="63"/>
      <c r="F70" s="63"/>
      <c r="G70" s="62"/>
      <c r="H70" s="62"/>
      <c r="I70" s="140" t="s">
        <v>7</v>
      </c>
      <c r="J70" s="64"/>
      <c r="K70" s="141">
        <f ca="1">SUM(K67,K61,K50,K39,K30,K17,K12)</f>
        <v>4323498.9691905091</v>
      </c>
      <c r="L70" s="62"/>
      <c r="M70" s="200"/>
      <c r="N70" s="62"/>
      <c r="O70" s="62"/>
    </row>
    <row r="71" spans="1:24" ht="13.5" thickTop="1"/>
    <row r="73" spans="1:24">
      <c r="G73" s="183"/>
    </row>
  </sheetData>
  <mergeCells count="8">
    <mergeCell ref="G54:I54"/>
    <mergeCell ref="G65:I65"/>
    <mergeCell ref="B1:M1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61" orientation="portrait" r:id="rId1"/>
  <headerFooter scaleWithDoc="0">
    <oddHeader>&amp;RQuestar Gas Company
Docket 14-057-27
Exhibit 1.3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workbookViewId="0">
      <selection activeCell="E25" sqref="E25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42"/>
      <c r="B1" s="240" t="s">
        <v>125</v>
      </c>
      <c r="C1" s="241"/>
      <c r="D1" s="241"/>
      <c r="E1" s="241"/>
      <c r="F1" s="241"/>
      <c r="G1" s="241"/>
      <c r="H1" s="241"/>
      <c r="I1" s="241"/>
      <c r="J1" s="143"/>
    </row>
    <row r="2" spans="1:10">
      <c r="A2" s="142"/>
      <c r="B2" s="240" t="s">
        <v>126</v>
      </c>
      <c r="C2" s="241"/>
      <c r="D2" s="241"/>
      <c r="E2" s="241"/>
      <c r="F2" s="241"/>
      <c r="G2" s="241"/>
      <c r="H2" s="241"/>
      <c r="I2" s="241"/>
      <c r="J2" s="143"/>
    </row>
    <row r="3" spans="1:10">
      <c r="A3" s="142"/>
      <c r="B3" s="142"/>
      <c r="C3" s="144"/>
      <c r="D3" s="142"/>
      <c r="E3" s="142"/>
      <c r="F3" s="142"/>
      <c r="G3" s="142"/>
      <c r="H3" s="142"/>
      <c r="I3" s="142"/>
      <c r="J3" s="142"/>
    </row>
    <row r="4" spans="1:10">
      <c r="A4" s="142"/>
      <c r="B4" s="142"/>
      <c r="C4" s="144"/>
      <c r="D4" s="142"/>
      <c r="E4" s="142"/>
      <c r="F4" s="142"/>
      <c r="G4" s="142"/>
      <c r="H4" s="142"/>
      <c r="I4" s="142"/>
      <c r="J4" s="142"/>
    </row>
    <row r="5" spans="1:10">
      <c r="A5" s="142"/>
      <c r="B5" s="145" t="s">
        <v>127</v>
      </c>
      <c r="C5" s="145" t="s">
        <v>128</v>
      </c>
      <c r="D5" s="146" t="s">
        <v>129</v>
      </c>
      <c r="E5" s="242" t="s">
        <v>130</v>
      </c>
      <c r="F5" s="242"/>
      <c r="G5" s="242" t="s">
        <v>131</v>
      </c>
      <c r="H5" s="242"/>
      <c r="I5" s="242" t="s">
        <v>132</v>
      </c>
      <c r="J5" s="242"/>
    </row>
    <row r="6" spans="1:10">
      <c r="A6" s="142"/>
      <c r="B6" s="147"/>
      <c r="C6" s="143"/>
      <c r="D6" s="147"/>
      <c r="E6" s="240" t="s">
        <v>133</v>
      </c>
      <c r="F6" s="241"/>
      <c r="G6" s="240" t="s">
        <v>134</v>
      </c>
      <c r="H6" s="241"/>
      <c r="I6" s="147"/>
      <c r="J6" s="147"/>
    </row>
    <row r="7" spans="1:10">
      <c r="A7" s="148"/>
      <c r="B7" s="149" t="s">
        <v>103</v>
      </c>
      <c r="C7" s="149"/>
      <c r="D7" s="150" t="s">
        <v>135</v>
      </c>
      <c r="E7" s="233" t="s">
        <v>136</v>
      </c>
      <c r="F7" s="234"/>
      <c r="G7" s="235" t="s">
        <v>137</v>
      </c>
      <c r="H7" s="236"/>
      <c r="I7" s="151"/>
      <c r="J7" s="151"/>
    </row>
    <row r="8" spans="1:10" ht="13.5" thickBot="1">
      <c r="A8" s="152"/>
      <c r="B8" s="153" t="s">
        <v>138</v>
      </c>
      <c r="C8" s="153" t="s">
        <v>139</v>
      </c>
      <c r="D8" s="154" t="s">
        <v>140</v>
      </c>
      <c r="E8" s="237">
        <f>A39</f>
        <v>41944</v>
      </c>
      <c r="F8" s="237"/>
      <c r="G8" s="238" t="s">
        <v>141</v>
      </c>
      <c r="H8" s="239"/>
      <c r="I8" s="155" t="s">
        <v>142</v>
      </c>
      <c r="J8" s="153"/>
    </row>
    <row r="9" spans="1:10">
      <c r="A9" s="142"/>
      <c r="B9" s="142"/>
      <c r="C9" s="144"/>
      <c r="D9" s="142"/>
      <c r="E9" s="142"/>
      <c r="F9" s="142"/>
      <c r="G9" s="142"/>
      <c r="H9" s="142"/>
      <c r="I9" s="142"/>
      <c r="J9" s="142"/>
    </row>
    <row r="10" spans="1:10">
      <c r="A10" s="144">
        <v>1</v>
      </c>
      <c r="B10" s="144" t="s">
        <v>73</v>
      </c>
      <c r="C10" s="144" t="s">
        <v>143</v>
      </c>
      <c r="D10" s="156">
        <v>14.9</v>
      </c>
      <c r="E10" s="157">
        <f>ROUND((D10*$D$39)+$B$39,2)</f>
        <v>135.72</v>
      </c>
      <c r="F10" s="157"/>
      <c r="G10" s="157">
        <f ca="1">ROUND((D10*$D$36)+$B$36,2)</f>
        <v>136.41999999999999</v>
      </c>
      <c r="H10" s="157"/>
      <c r="I10" s="157">
        <f ca="1">G10-E10</f>
        <v>0.69999999999998863</v>
      </c>
      <c r="J10" s="157"/>
    </row>
    <row r="11" spans="1:10">
      <c r="A11" s="144">
        <f t="shared" ref="A11:A21" si="0">A10+1</f>
        <v>2</v>
      </c>
      <c r="B11" s="142"/>
      <c r="C11" s="144" t="s">
        <v>144</v>
      </c>
      <c r="D11" s="156">
        <v>12.5</v>
      </c>
      <c r="E11" s="158">
        <f>ROUND((D11*$D$39)+$B$39,2)</f>
        <v>114.95</v>
      </c>
      <c r="F11" s="158"/>
      <c r="G11" s="158">
        <f t="shared" ref="G11:G12" ca="1" si="1">ROUND((D11*$D$36)+$B$36,2)</f>
        <v>115.54</v>
      </c>
      <c r="H11" s="158"/>
      <c r="I11" s="158">
        <f t="shared" ref="I11:I21" ca="1" si="2">G11-E11</f>
        <v>0.59000000000000341</v>
      </c>
      <c r="J11" s="158"/>
    </row>
    <row r="12" spans="1:10">
      <c r="A12" s="144">
        <f t="shared" si="0"/>
        <v>3</v>
      </c>
      <c r="B12" s="142"/>
      <c r="C12" s="144" t="s">
        <v>145</v>
      </c>
      <c r="D12" s="156">
        <v>10.1</v>
      </c>
      <c r="E12" s="158">
        <f>ROUND((D12*$D$39)+$B$39,2)</f>
        <v>94.18</v>
      </c>
      <c r="F12" s="158"/>
      <c r="G12" s="158">
        <f t="shared" ca="1" si="1"/>
        <v>94.65</v>
      </c>
      <c r="H12" s="158"/>
      <c r="I12" s="158">
        <f t="shared" ca="1" si="2"/>
        <v>0.46999999999999886</v>
      </c>
      <c r="J12" s="158"/>
    </row>
    <row r="13" spans="1:10">
      <c r="A13" s="144">
        <f t="shared" si="0"/>
        <v>4</v>
      </c>
      <c r="B13" s="142"/>
      <c r="C13" s="144" t="s">
        <v>146</v>
      </c>
      <c r="D13" s="156">
        <v>8.3000000000000007</v>
      </c>
      <c r="E13" s="158">
        <f>ROUND((D13*$C$39)+$B$39,2)</f>
        <v>69.36</v>
      </c>
      <c r="F13" s="158"/>
      <c r="G13" s="158">
        <f ca="1">ROUND((D13*$C$36)+$B$36,2)</f>
        <v>69.650000000000006</v>
      </c>
      <c r="H13" s="158"/>
      <c r="I13" s="158">
        <f t="shared" ca="1" si="2"/>
        <v>0.29000000000000625</v>
      </c>
      <c r="J13" s="158"/>
    </row>
    <row r="14" spans="1:10">
      <c r="A14" s="144">
        <f t="shared" si="0"/>
        <v>5</v>
      </c>
      <c r="B14" s="142"/>
      <c r="C14" s="144" t="s">
        <v>147</v>
      </c>
      <c r="D14" s="156">
        <v>4.4000000000000004</v>
      </c>
      <c r="E14" s="158">
        <f t="shared" ref="E14:E19" si="3">ROUND((D14*$C$39)+$B$39,2)</f>
        <v>39.94</v>
      </c>
      <c r="F14" s="158"/>
      <c r="G14" s="158">
        <f t="shared" ref="G14:G19" ca="1" si="4">ROUND((D14*$C$36)+$B$36,2)</f>
        <v>40.090000000000003</v>
      </c>
      <c r="H14" s="158"/>
      <c r="I14" s="158">
        <f t="shared" ca="1" si="2"/>
        <v>0.15000000000000568</v>
      </c>
      <c r="J14" s="158"/>
    </row>
    <row r="15" spans="1:10">
      <c r="A15" s="144">
        <f t="shared" si="0"/>
        <v>6</v>
      </c>
      <c r="B15" s="142"/>
      <c r="C15" s="144" t="s">
        <v>148</v>
      </c>
      <c r="D15" s="156">
        <v>3.1</v>
      </c>
      <c r="E15" s="158">
        <f t="shared" si="3"/>
        <v>30.14</v>
      </c>
      <c r="F15" s="158"/>
      <c r="G15" s="158">
        <f t="shared" ca="1" si="4"/>
        <v>30.24</v>
      </c>
      <c r="H15" s="158"/>
      <c r="I15" s="158">
        <f t="shared" ca="1" si="2"/>
        <v>9.9999999999997868E-2</v>
      </c>
      <c r="J15" s="158"/>
    </row>
    <row r="16" spans="1:10">
      <c r="A16" s="144">
        <f t="shared" si="0"/>
        <v>7</v>
      </c>
      <c r="B16" s="142"/>
      <c r="C16" s="144" t="s">
        <v>149</v>
      </c>
      <c r="D16" s="156">
        <v>2</v>
      </c>
      <c r="E16" s="158">
        <f t="shared" si="3"/>
        <v>21.84</v>
      </c>
      <c r="F16" s="158"/>
      <c r="G16" s="158">
        <f t="shared" ca="1" si="4"/>
        <v>21.91</v>
      </c>
      <c r="H16" s="158"/>
      <c r="I16" s="158">
        <f t="shared" ca="1" si="2"/>
        <v>7.0000000000000284E-2</v>
      </c>
      <c r="J16" s="158"/>
    </row>
    <row r="17" spans="1:10">
      <c r="A17" s="144">
        <f t="shared" si="0"/>
        <v>8</v>
      </c>
      <c r="B17" s="142"/>
      <c r="C17" s="144" t="s">
        <v>150</v>
      </c>
      <c r="D17" s="156">
        <v>1.8</v>
      </c>
      <c r="E17" s="158">
        <f t="shared" si="3"/>
        <v>20.329999999999998</v>
      </c>
      <c r="F17" s="158"/>
      <c r="G17" s="158">
        <f t="shared" ca="1" si="4"/>
        <v>20.39</v>
      </c>
      <c r="H17" s="158"/>
      <c r="I17" s="158">
        <f t="shared" ca="1" si="2"/>
        <v>6.0000000000002274E-2</v>
      </c>
      <c r="J17" s="158"/>
    </row>
    <row r="18" spans="1:10">
      <c r="A18" s="144">
        <f t="shared" si="0"/>
        <v>9</v>
      </c>
      <c r="B18" s="142"/>
      <c r="C18" s="144" t="s">
        <v>151</v>
      </c>
      <c r="D18" s="156">
        <v>2</v>
      </c>
      <c r="E18" s="158">
        <f t="shared" si="3"/>
        <v>21.84</v>
      </c>
      <c r="F18" s="158"/>
      <c r="G18" s="158">
        <f t="shared" ca="1" si="4"/>
        <v>21.91</v>
      </c>
      <c r="H18" s="158"/>
      <c r="I18" s="158">
        <f t="shared" ca="1" si="2"/>
        <v>7.0000000000000284E-2</v>
      </c>
      <c r="J18" s="158"/>
    </row>
    <row r="19" spans="1:10">
      <c r="A19" s="144">
        <f t="shared" si="0"/>
        <v>10</v>
      </c>
      <c r="B19" s="142"/>
      <c r="C19" s="144" t="s">
        <v>152</v>
      </c>
      <c r="D19" s="156">
        <v>3.1</v>
      </c>
      <c r="E19" s="158">
        <f t="shared" si="3"/>
        <v>30.14</v>
      </c>
      <c r="F19" s="158"/>
      <c r="G19" s="158">
        <f t="shared" ca="1" si="4"/>
        <v>30.24</v>
      </c>
      <c r="H19" s="158"/>
      <c r="I19" s="158">
        <f t="shared" ca="1" si="2"/>
        <v>9.9999999999997868E-2</v>
      </c>
      <c r="J19" s="158"/>
    </row>
    <row r="20" spans="1:10">
      <c r="A20" s="144">
        <f t="shared" si="0"/>
        <v>11</v>
      </c>
      <c r="B20" s="142"/>
      <c r="C20" s="144" t="s">
        <v>153</v>
      </c>
      <c r="D20" s="156">
        <v>6.3</v>
      </c>
      <c r="E20" s="158">
        <f>ROUND((D20*$D$39)+$B$39,2)</f>
        <v>61.28</v>
      </c>
      <c r="F20" s="158"/>
      <c r="G20" s="158">
        <f t="shared" ref="G20:G21" ca="1" si="5">ROUND((D20*$D$36)+$B$36,2)</f>
        <v>61.58</v>
      </c>
      <c r="H20" s="158"/>
      <c r="I20" s="158">
        <f t="shared" ca="1" si="2"/>
        <v>0.29999999999999716</v>
      </c>
      <c r="J20" s="158"/>
    </row>
    <row r="21" spans="1:10">
      <c r="A21" s="144">
        <f t="shared" si="0"/>
        <v>12</v>
      </c>
      <c r="B21" s="142"/>
      <c r="C21" s="144" t="s">
        <v>154</v>
      </c>
      <c r="D21" s="156">
        <v>11.5</v>
      </c>
      <c r="E21" s="158">
        <f>ROUND((D21*$D$39)+$B$39,2)</f>
        <v>106.29</v>
      </c>
      <c r="F21" s="158"/>
      <c r="G21" s="158">
        <f t="shared" ca="1" si="5"/>
        <v>106.83</v>
      </c>
      <c r="H21" s="158"/>
      <c r="I21" s="158">
        <f t="shared" ca="1" si="2"/>
        <v>0.53999999999999204</v>
      </c>
      <c r="J21" s="158"/>
    </row>
    <row r="22" spans="1:10" ht="13.5" thickBot="1">
      <c r="A22" s="144"/>
      <c r="B22" s="142"/>
      <c r="C22" s="144"/>
      <c r="D22" s="159"/>
      <c r="E22" s="160"/>
      <c r="F22" s="160"/>
      <c r="G22" s="160"/>
      <c r="H22" s="160"/>
      <c r="I22" s="161"/>
      <c r="J22" s="162"/>
    </row>
    <row r="23" spans="1:10" ht="13.5" thickTop="1">
      <c r="A23" s="144"/>
      <c r="B23" s="142"/>
      <c r="C23" s="144"/>
      <c r="D23" s="163"/>
      <c r="E23" s="164"/>
      <c r="F23" s="164"/>
      <c r="G23" s="144"/>
      <c r="H23" s="144"/>
      <c r="I23" s="164" t="s">
        <v>155</v>
      </c>
      <c r="J23" s="164"/>
    </row>
    <row r="24" spans="1:10">
      <c r="A24" s="144">
        <f>A21+1</f>
        <v>13</v>
      </c>
      <c r="B24" s="142"/>
      <c r="C24" s="165" t="s">
        <v>7</v>
      </c>
      <c r="D24" s="166">
        <f>SUM(D10:D23)</f>
        <v>80</v>
      </c>
      <c r="E24" s="157">
        <f>SUM(E10:E21)</f>
        <v>746.01</v>
      </c>
      <c r="F24" s="157"/>
      <c r="G24" s="157">
        <f ca="1">SUM(G10:G21)</f>
        <v>749.45000000000016</v>
      </c>
      <c r="H24" s="157"/>
      <c r="I24" s="157">
        <f ca="1">SUM(I10:I21)</f>
        <v>3.4399999999999906</v>
      </c>
      <c r="J24" s="157"/>
    </row>
    <row r="25" spans="1:10">
      <c r="A25" s="142"/>
      <c r="B25" s="142"/>
      <c r="C25" s="144"/>
      <c r="D25" s="142"/>
      <c r="E25" s="167"/>
      <c r="F25" s="167"/>
      <c r="G25" s="142"/>
      <c r="H25" s="142"/>
      <c r="I25" s="142"/>
      <c r="J25" s="142"/>
    </row>
    <row r="26" spans="1:10">
      <c r="A26" s="142"/>
      <c r="B26" s="142" t="s">
        <v>155</v>
      </c>
      <c r="C26" s="144"/>
      <c r="D26" s="142"/>
      <c r="E26" s="142"/>
      <c r="F26" s="142"/>
      <c r="G26" s="168" t="s">
        <v>156</v>
      </c>
      <c r="H26" s="168"/>
      <c r="I26" s="169">
        <f ca="1">ROUND(I24/E24,4)*100</f>
        <v>0.45999999999999996</v>
      </c>
      <c r="J26" s="170" t="s">
        <v>157</v>
      </c>
    </row>
    <row r="34" spans="1:4">
      <c r="A34" s="171"/>
      <c r="B34" s="172"/>
      <c r="C34" s="41" t="s">
        <v>109</v>
      </c>
      <c r="D34" s="41" t="s">
        <v>104</v>
      </c>
    </row>
    <row r="35" spans="1:4" ht="13.5" thickBot="1">
      <c r="A35" s="172"/>
      <c r="B35" s="173" t="s">
        <v>158</v>
      </c>
      <c r="C35" s="174" t="s">
        <v>159</v>
      </c>
      <c r="D35" s="174" t="s">
        <v>159</v>
      </c>
    </row>
    <row r="36" spans="1:4">
      <c r="A36" s="175" t="s">
        <v>160</v>
      </c>
      <c r="B36" s="176">
        <v>6.75</v>
      </c>
      <c r="C36" s="177">
        <f ca="1">C39+'Exhibit 1.3'!O10</f>
        <v>7.5780589020645976</v>
      </c>
      <c r="D36" s="177">
        <f ca="1">D39+'Exhibit 1.3'!O7</f>
        <v>8.7028431417094154</v>
      </c>
    </row>
    <row r="37" spans="1:4">
      <c r="A37" s="175"/>
      <c r="B37" s="176"/>
      <c r="C37" s="177"/>
      <c r="D37" s="177"/>
    </row>
    <row r="38" spans="1:4">
      <c r="A38" s="172" t="s">
        <v>161</v>
      </c>
      <c r="B38" s="176"/>
      <c r="C38" s="178"/>
      <c r="D38" s="178"/>
    </row>
    <row r="39" spans="1:4">
      <c r="A39" s="179">
        <v>41944</v>
      </c>
      <c r="B39" s="176">
        <v>6.75</v>
      </c>
      <c r="C39" s="180">
        <v>7.5436300000000003</v>
      </c>
      <c r="D39" s="180">
        <v>8.6560299999999994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14-057-27
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Calculations</vt:lpstr>
      <vt:lpstr>Exhibit 1.1</vt:lpstr>
      <vt:lpstr>Exhibit 1.1 Page 4</vt:lpstr>
      <vt:lpstr>Exhibit 1.2</vt:lpstr>
      <vt:lpstr>Exhibit 1.3</vt:lpstr>
      <vt:lpstr>Exhibit 1.4</vt:lpstr>
      <vt:lpstr>Cumulative_Investment</vt:lpstr>
      <vt:lpstr>'Exhibit 1.1'!Print_Area</vt:lpstr>
      <vt:lpstr>'Exhibit 1.1 Page 4'!Print_Area</vt:lpstr>
      <vt:lpstr>'Exhibit 1.2'!Print_Area</vt:lpstr>
      <vt:lpstr>'Exhibit 1.3'!Print_Area</vt:lpstr>
      <vt:lpstr>'Exhibit 1.4'!Print_Area</vt:lpstr>
      <vt:lpstr>'Exhibit 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2014-10-31T19:48:26Z</cp:lastPrinted>
  <dcterms:created xsi:type="dcterms:W3CDTF">2011-08-18T22:49:59Z</dcterms:created>
  <dcterms:modified xsi:type="dcterms:W3CDTF">2014-11-04T17:49:54Z</dcterms:modified>
</cp:coreProperties>
</file>