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4docs\1405727\"/>
    </mc:Choice>
  </mc:AlternateContent>
  <bookViews>
    <workbookView xWindow="90" yWindow="480" windowWidth="27015" windowHeight="10695" tabRatio="712" firstSheet="1" activeTab="1"/>
  </bookViews>
  <sheets>
    <sheet name="Exhibit 1.2" sheetId="8" r:id="rId1"/>
    <sheet name="Exhibit 1.3" sheetId="9" r:id="rId2"/>
  </sheets>
  <definedNames>
    <definedName name="Cumulative_Investment">#REF!</definedName>
    <definedName name="_xlnm.Print_Area" localSheetId="0">'Exhibit 1.2'!$A$1:$H$21</definedName>
    <definedName name="_xlnm.Print_Area" localSheetId="1">'Exhibit 1.3'!$A$1:$O$70</definedName>
  </definedNames>
  <calcPr calcId="152511"/>
</workbook>
</file>

<file path=xl/calcChain.xml><?xml version="1.0" encoding="utf-8"?>
<calcChain xmlns="http://schemas.openxmlformats.org/spreadsheetml/2006/main">
  <c r="C15" i="8" l="1"/>
  <c r="C14" i="8"/>
  <c r="C13" i="8"/>
  <c r="I49" i="9" l="1"/>
  <c r="G67" i="9"/>
  <c r="G59" i="9"/>
  <c r="G58" i="9"/>
  <c r="G57" i="9"/>
  <c r="G56" i="9"/>
  <c r="G61" i="9" s="1"/>
  <c r="G48" i="9"/>
  <c r="G47" i="9"/>
  <c r="G46" i="9"/>
  <c r="G45" i="9"/>
  <c r="G38" i="9"/>
  <c r="G37" i="9"/>
  <c r="G36" i="9"/>
  <c r="G17" i="9"/>
  <c r="G50" i="9" l="1"/>
  <c r="D27" i="9"/>
  <c r="E27" i="9"/>
  <c r="I60" i="9"/>
  <c r="E29" i="9"/>
  <c r="D29" i="9"/>
  <c r="E28" i="9"/>
  <c r="D28" i="9"/>
  <c r="E11" i="9"/>
  <c r="D11" i="9"/>
  <c r="E10" i="9"/>
  <c r="D10" i="9"/>
  <c r="A8" i="9"/>
  <c r="A10" i="9" s="1"/>
  <c r="A11" i="9" s="1"/>
  <c r="A12" i="9" s="1"/>
  <c r="A17" i="9" s="1"/>
  <c r="C17" i="8"/>
  <c r="E10" i="8" s="1"/>
  <c r="E9" i="8" l="1"/>
  <c r="E12" i="8"/>
  <c r="I27" i="9"/>
  <c r="I25" i="9"/>
  <c r="I24" i="9"/>
  <c r="I23" i="9"/>
  <c r="E11" i="8"/>
  <c r="E14" i="8"/>
  <c r="A23" i="9"/>
  <c r="A24" i="9" s="1"/>
  <c r="A25" i="9" s="1"/>
  <c r="A27" i="9" s="1"/>
  <c r="A28" i="9" s="1"/>
  <c r="A29" i="9" s="1"/>
  <c r="A30" i="9" s="1"/>
  <c r="A36" i="9" s="1"/>
  <c r="A37" i="9" s="1"/>
  <c r="A38" i="9" s="1"/>
  <c r="A39" i="9" s="1"/>
  <c r="A45" i="9" s="1"/>
  <c r="A46" i="9" s="1"/>
  <c r="A47" i="9" s="1"/>
  <c r="A48" i="9" s="1"/>
  <c r="E13" i="8"/>
  <c r="E15" i="8"/>
  <c r="I7" i="9"/>
  <c r="I10" i="9"/>
  <c r="G12" i="9"/>
  <c r="I29" i="9"/>
  <c r="I38" i="9"/>
  <c r="I47" i="9"/>
  <c r="I58" i="9"/>
  <c r="I8" i="9"/>
  <c r="I17" i="9"/>
  <c r="G39" i="9"/>
  <c r="I36" i="9"/>
  <c r="I45" i="9"/>
  <c r="I56" i="9"/>
  <c r="I11" i="9"/>
  <c r="G30" i="9"/>
  <c r="I28" i="9"/>
  <c r="I37" i="9"/>
  <c r="I46" i="9"/>
  <c r="I48" i="9"/>
  <c r="I57" i="9"/>
  <c r="I59" i="9"/>
  <c r="G68" i="9"/>
  <c r="I67" i="9"/>
  <c r="I50" i="9" l="1"/>
  <c r="L50" i="9" s="1"/>
  <c r="L49" i="9" s="1"/>
  <c r="M49" i="9" s="1"/>
  <c r="K49" i="9" s="1"/>
  <c r="A49" i="9"/>
  <c r="A50" i="9" s="1"/>
  <c r="A56" i="9" s="1"/>
  <c r="A57" i="9" s="1"/>
  <c r="A58" i="9" s="1"/>
  <c r="A59" i="9" s="1"/>
  <c r="A60" i="9" s="1"/>
  <c r="A61" i="9" s="1"/>
  <c r="A67" i="9" s="1"/>
  <c r="A68" i="9" s="1"/>
  <c r="A70" i="9" s="1"/>
  <c r="E17" i="8"/>
  <c r="I61" i="9"/>
  <c r="I30" i="9"/>
  <c r="I39" i="9"/>
  <c r="I12" i="9"/>
  <c r="I68" i="9"/>
  <c r="G13" i="8" l="1"/>
  <c r="L61" i="9" s="1"/>
  <c r="G9" i="8"/>
  <c r="L12" i="9" s="1"/>
  <c r="G12" i="8"/>
  <c r="L39" i="9" s="1"/>
  <c r="G15" i="8"/>
  <c r="G14" i="8"/>
  <c r="G11" i="8"/>
  <c r="L17" i="9" s="1"/>
  <c r="M17" i="9" s="1"/>
  <c r="O17" i="9" s="1"/>
  <c r="G10" i="8"/>
  <c r="L48" i="9" l="1"/>
  <c r="M48" i="9" s="1"/>
  <c r="K48" i="9" s="1"/>
  <c r="L30" i="9"/>
  <c r="L24" i="9" s="1"/>
  <c r="M24" i="9" s="1"/>
  <c r="T17" i="9"/>
  <c r="X17" i="9"/>
  <c r="L46" i="9"/>
  <c r="M46" i="9" s="1"/>
  <c r="L47" i="9"/>
  <c r="M47" i="9" s="1"/>
  <c r="L45" i="9"/>
  <c r="M45" i="9" s="1"/>
  <c r="L11" i="9"/>
  <c r="M11" i="9" s="1"/>
  <c r="L8" i="9"/>
  <c r="M8" i="9" s="1"/>
  <c r="L10" i="9"/>
  <c r="M10" i="9" s="1"/>
  <c r="L7" i="9"/>
  <c r="M7" i="9" s="1"/>
  <c r="L67" i="9"/>
  <c r="M67" i="9" s="1"/>
  <c r="O67" i="9" s="1"/>
  <c r="K70" i="9"/>
  <c r="L38" i="9"/>
  <c r="M38" i="9" s="1"/>
  <c r="L37" i="9"/>
  <c r="M37" i="9" s="1"/>
  <c r="L36" i="9"/>
  <c r="M36" i="9" s="1"/>
  <c r="L56" i="9"/>
  <c r="M56" i="9" s="1"/>
  <c r="L59" i="9"/>
  <c r="M59" i="9" s="1"/>
  <c r="L60" i="9"/>
  <c r="M60" i="9" s="1"/>
  <c r="L57" i="9"/>
  <c r="M57" i="9" s="1"/>
  <c r="L58" i="9"/>
  <c r="M58" i="9" s="1"/>
  <c r="O49" i="9" l="1"/>
  <c r="T49" i="9" s="1"/>
  <c r="T50" i="9" s="1"/>
  <c r="L27" i="9"/>
  <c r="M27" i="9" s="1"/>
  <c r="O27" i="9" s="1"/>
  <c r="O48" i="9"/>
  <c r="T48" i="9" s="1"/>
  <c r="L23" i="9"/>
  <c r="M23" i="9" s="1"/>
  <c r="O23" i="9" s="1"/>
  <c r="L28" i="9"/>
  <c r="M28" i="9" s="1"/>
  <c r="K28" i="9" s="1"/>
  <c r="L25" i="9"/>
  <c r="M25" i="9" s="1"/>
  <c r="O25" i="9" s="1"/>
  <c r="L29" i="9"/>
  <c r="M29" i="9" s="1"/>
  <c r="O29" i="9" s="1"/>
  <c r="O60" i="9"/>
  <c r="T60" i="9" s="1"/>
  <c r="K60" i="9"/>
  <c r="K56" i="9"/>
  <c r="O56" i="9"/>
  <c r="T56" i="9" s="1"/>
  <c r="K37" i="9"/>
  <c r="O37" i="9"/>
  <c r="O57" i="9"/>
  <c r="T57" i="9" s="1"/>
  <c r="K57" i="9"/>
  <c r="K59" i="9"/>
  <c r="O59" i="9"/>
  <c r="T59" i="9" s="1"/>
  <c r="O36" i="9"/>
  <c r="K36" i="9"/>
  <c r="O38" i="9"/>
  <c r="K38" i="9"/>
  <c r="T67" i="9"/>
  <c r="X67" i="9"/>
  <c r="K25" i="9"/>
  <c r="K27" i="9"/>
  <c r="O10" i="9"/>
  <c r="K10" i="9"/>
  <c r="O11" i="9"/>
  <c r="K11" i="9"/>
  <c r="O47" i="9"/>
  <c r="T47" i="9" s="1"/>
  <c r="K47" i="9"/>
  <c r="K58" i="9"/>
  <c r="O58" i="9"/>
  <c r="T58" i="9" s="1"/>
  <c r="K24" i="9"/>
  <c r="O24" i="9"/>
  <c r="K7" i="9"/>
  <c r="O7" i="9"/>
  <c r="O8" i="9"/>
  <c r="K8" i="9"/>
  <c r="O45" i="9"/>
  <c r="T45" i="9" s="1"/>
  <c r="K45" i="9"/>
  <c r="O46" i="9"/>
  <c r="T46" i="9" s="1"/>
  <c r="K46" i="9"/>
  <c r="K29" i="9" l="1"/>
  <c r="O28" i="9"/>
  <c r="T61" i="9"/>
  <c r="U60" i="9"/>
  <c r="T37" i="9"/>
  <c r="X37" i="9"/>
  <c r="T38" i="9"/>
  <c r="X38" i="9"/>
  <c r="T36" i="9"/>
  <c r="X36" i="9"/>
  <c r="K23" i="9"/>
  <c r="X8" i="9"/>
  <c r="T8" i="9"/>
  <c r="T7" i="9"/>
  <c r="X7" i="9"/>
  <c r="X29" i="9"/>
  <c r="T29" i="9"/>
  <c r="T24" i="9"/>
  <c r="X24" i="9"/>
  <c r="T23" i="9"/>
  <c r="X23" i="9"/>
  <c r="X27" i="9"/>
  <c r="T27" i="9"/>
  <c r="X25" i="9"/>
  <c r="T25" i="9"/>
  <c r="X11" i="9"/>
  <c r="T11" i="9"/>
  <c r="T10" i="9"/>
  <c r="X10" i="9"/>
  <c r="X28" i="9"/>
  <c r="T28" i="9"/>
</calcChain>
</file>

<file path=xl/sharedStrings.xml><?xml version="1.0" encoding="utf-8"?>
<sst xmlns="http://schemas.openxmlformats.org/spreadsheetml/2006/main" count="204" uniqueCount="74">
  <si>
    <t>Total</t>
  </si>
  <si>
    <t>Revenue</t>
  </si>
  <si>
    <t>1/</t>
  </si>
  <si>
    <t>2/</t>
  </si>
  <si>
    <t>Cost of Service Allocation</t>
  </si>
  <si>
    <t>A</t>
  </si>
  <si>
    <t>B</t>
  </si>
  <si>
    <t>C</t>
  </si>
  <si>
    <t>Commission Ordered</t>
  </si>
  <si>
    <t xml:space="preserve">Percent </t>
  </si>
  <si>
    <t>Tariff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</si>
  <si>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</si>
  <si>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</si>
  <si>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</si>
  <si>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</si>
  <si>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</si>
  <si>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</si>
  <si>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</si>
  <si>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</si>
  <si>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</si>
  <si>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</si>
  <si>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>Rate Calculation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</si>
  <si>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</si>
  <si>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</si>
  <si>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</si>
  <si>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</si>
  <si>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</si>
  <si>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</si>
  <si>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</si>
  <si>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</si>
  <si>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</si>
  <si>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 xml:space="preserve">Current Rates 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</si>
  <si>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</si>
  <si>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</si>
  <si>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</si>
  <si>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</si>
  <si>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</si>
  <si>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</si>
  <si>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</si>
  <si>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</si>
  <si>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</si>
  <si>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</si>
  <si>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</si>
  <si>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</si>
  <si>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</si>
  <si>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</si>
  <si>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</si>
  <si>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</si>
  <si>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</si>
  <si>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</si>
  <si>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</si>
  <si>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</si>
  <si>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</si>
  <si>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</si>
  <si>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</si>
  <si>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</si>
  <si>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</si>
  <si>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</si>
  <si>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</si>
  <si>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</si>
  <si>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</si>
  <si>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</si>
  <si>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>Contract Firm Transportation</t>
  </si>
  <si>
    <t>Utah MT</t>
  </si>
  <si>
    <t>Tariff Updater</t>
  </si>
  <si>
    <t>Current Total DNG</t>
  </si>
  <si>
    <t>New Total DNG</t>
  </si>
  <si>
    <t>Current TOTAL</t>
  </si>
  <si>
    <t>NEW TOTAL</t>
  </si>
  <si>
    <t>2/ Total calculated surcharge amount from Exhibit 1.1 page 4, line 11</t>
  </si>
  <si>
    <t>Over</t>
  </si>
  <si>
    <t>13-057-19</t>
  </si>
  <si>
    <t>1/ Per Docket 13-057-19, Report and Order page  9, Table 1</t>
  </si>
  <si>
    <t xml:space="preserve">Annual Demand Charges per Monthly Dth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</si>
</sst>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000_);\(#,##0.00000\)"/>
    <numFmt numFmtId="168" formatCode="0.0000000_)"/>
    <numFmt numFmtId="169" formatCode="#,##0.00000"/>
    <numFmt numFmtId="170" formatCode="&quot;$&quot;#,##0.00000_);\(&quot;$&quot;#,##0.00000\)"/>
    <numFmt numFmtId="171" formatCode="_(* #,##0.00000_);_(* \(#,##0.00000\);_(* &quot;-&quot;??_);_(@_)"/>
  </numFmts>
  <fonts count="11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5">
    <xf numFmtId="164" fontId="0" fillId="0" borderId="0"/>
    <xf numFmtId="164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64" fontId="1" fillId="0" borderId="1">
      <alignment horizontal="center"/>
    </xf>
    <xf numFmtId="3" fontId="2" fillId="0" borderId="0" applyFont="0" applyFill="0" applyBorder="0" applyAlignment="0" applyProtection="0"/>
    <xf numFmtId="164" fontId="2" fillId="2" borderId="0" applyNumberFormat="0" applyFon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Protection="0"/>
    <xf numFmtId="0" fontId="3" fillId="0" borderId="0"/>
    <xf numFmtId="9" fontId="3" fillId="0" borderId="0" applyFont="0" applyFill="0" applyBorder="0" applyAlignment="0" applyProtection="0"/>
    <xf numFmtId="0" fontId="10" fillId="0" borderId="0"/>
  </cellStyleXfs>
  <cellXfs count="127">
    <xf numFmtId="164" fontId="0" fillId="0" borderId="0" xfId="0"/>
    <xf numFmtId="164" fontId="0" fillId="0" borderId="0" xfId="0" applyFill="1"/>
    <xf numFmtId="43" fontId="0" fillId="0" borderId="0" xfId="7" applyFont="1"/>
    <xf numFmtId="165" fontId="0" fillId="0" borderId="0" xfId="7" applyNumberFormat="1" applyFont="1"/>
    <xf numFmtId="0" fontId="3" fillId="0" borderId="0" xfId="9"/>
    <xf numFmtId="5" fontId="3" fillId="0" borderId="0" xfId="9" applyNumberFormat="1" applyFont="1"/>
    <xf numFmtId="0" fontId="3" fillId="0" borderId="0" xfId="9" applyFont="1"/>
    <xf numFmtId="0" fontId="3" fillId="0" borderId="0" xfId="9" applyFont="1" applyAlignment="1">
      <alignment horizontal="center"/>
    </xf>
    <xf numFmtId="0" fontId="3" fillId="0" borderId="0" xfId="9" applyFont="1" applyAlignment="1">
      <alignment horizontal="center" vertical="center"/>
    </xf>
    <xf numFmtId="0" fontId="3" fillId="0" borderId="0" xfId="9" quotePrefix="1" applyFont="1" applyAlignment="1">
      <alignment horizontal="center" vertical="center"/>
    </xf>
    <xf numFmtId="0" fontId="3" fillId="0" borderId="0" xfId="9" applyFont="1" applyBorder="1" applyAlignment="1">
      <alignment horizontal="center" vertical="center"/>
    </xf>
    <xf numFmtId="0" fontId="3" fillId="0" borderId="0" xfId="9" applyFont="1" applyBorder="1" applyAlignment="1">
      <alignment horizontal="center"/>
    </xf>
    <xf numFmtId="0" fontId="3" fillId="0" borderId="0" xfId="9" quotePrefix="1" applyFont="1" applyAlignment="1">
      <alignment horizontal="center"/>
    </xf>
    <xf numFmtId="0" fontId="3" fillId="0" borderId="4" xfId="9" applyFont="1" applyBorder="1"/>
    <xf numFmtId="0" fontId="3" fillId="0" borderId="4" xfId="9" applyFont="1" applyFill="1" applyBorder="1" applyAlignment="1">
      <alignment horizontal="center"/>
    </xf>
    <xf numFmtId="0" fontId="3" fillId="0" borderId="0" xfId="9" applyAlignment="1">
      <alignment horizontal="center"/>
    </xf>
    <xf numFmtId="166" fontId="4" fillId="0" borderId="2" xfId="10" applyNumberFormat="1" applyFont="1" applyBorder="1"/>
    <xf numFmtId="166" fontId="4" fillId="0" borderId="0" xfId="10" applyNumberFormat="1" applyFont="1" applyBorder="1"/>
    <xf numFmtId="10" fontId="4" fillId="0" borderId="0" xfId="8" applyNumberFormat="1" applyFont="1" applyBorder="1"/>
    <xf numFmtId="165" fontId="4" fillId="0" borderId="0" xfId="11" applyNumberFormat="1" applyFont="1"/>
    <xf numFmtId="165" fontId="4" fillId="0" borderId="0" xfId="11" applyNumberFormat="1" applyFont="1" applyBorder="1"/>
    <xf numFmtId="165" fontId="4" fillId="0" borderId="4" xfId="11" applyNumberFormat="1" applyFont="1" applyBorder="1"/>
    <xf numFmtId="10" fontId="4" fillId="0" borderId="4" xfId="8" applyNumberFormat="1" applyFont="1" applyBorder="1"/>
    <xf numFmtId="166" fontId="4" fillId="0" borderId="4" xfId="10" applyNumberFormat="1" applyFont="1" applyBorder="1"/>
    <xf numFmtId="166" fontId="4" fillId="0" borderId="0" xfId="10" applyNumberFormat="1" applyFont="1"/>
    <xf numFmtId="9" fontId="4" fillId="0" borderId="0" xfId="8" applyFont="1"/>
    <xf numFmtId="0" fontId="5" fillId="0" borderId="0" xfId="12" applyFont="1" applyFill="1" applyAlignment="1">
      <alignment horizontal="center"/>
    </xf>
    <xf numFmtId="0" fontId="3" fillId="0" borderId="0" xfId="12" applyFont="1" applyFill="1"/>
    <xf numFmtId="0" fontId="3" fillId="0" borderId="0" xfId="12" applyFont="1" applyFill="1" applyAlignment="1"/>
    <xf numFmtId="3" fontId="3" fillId="0" borderId="0" xfId="12" applyNumberFormat="1" applyFont="1" applyFill="1" applyAlignment="1">
      <alignment horizontal="center"/>
    </xf>
    <xf numFmtId="0" fontId="3" fillId="0" borderId="0" xfId="12" applyFont="1" applyFill="1" applyBorder="1" applyAlignment="1"/>
    <xf numFmtId="0" fontId="5" fillId="0" borderId="0" xfId="12" applyFont="1" applyFill="1" applyBorder="1" applyAlignment="1">
      <alignment horizontal="center"/>
    </xf>
    <xf numFmtId="0" fontId="5" fillId="0" borderId="0" xfId="12" quotePrefix="1" applyFont="1" applyFill="1" applyBorder="1" applyAlignment="1" applyProtection="1">
      <alignment horizontal="left"/>
    </xf>
    <xf numFmtId="0" fontId="3" fillId="0" borderId="0" xfId="12" applyFont="1" applyFill="1" applyBorder="1" applyAlignment="1" applyProtection="1"/>
    <xf numFmtId="3" fontId="3" fillId="0" borderId="0" xfId="12" applyNumberFormat="1" applyFont="1" applyFill="1" applyBorder="1" applyAlignment="1" applyProtection="1">
      <alignment horizontal="center"/>
    </xf>
    <xf numFmtId="0" fontId="5" fillId="0" borderId="0" xfId="12" applyFont="1" applyFill="1" applyAlignment="1" applyProtection="1">
      <alignment horizontal="center"/>
    </xf>
    <xf numFmtId="0" fontId="5" fillId="0" borderId="0" xfId="12" applyFont="1" applyFill="1" applyAlignment="1" applyProtection="1"/>
    <xf numFmtId="0" fontId="5" fillId="0" borderId="1" xfId="12" applyFont="1" applyFill="1" applyBorder="1" applyAlignment="1"/>
    <xf numFmtId="0" fontId="5" fillId="0" borderId="1" xfId="12" applyFont="1" applyFill="1" applyBorder="1" applyAlignment="1" applyProtection="1"/>
    <xf numFmtId="3" fontId="5" fillId="0" borderId="1" xfId="12" applyNumberFormat="1" applyFont="1" applyFill="1" applyBorder="1" applyAlignment="1" applyProtection="1">
      <alignment horizontal="center"/>
    </xf>
    <xf numFmtId="3" fontId="5" fillId="0" borderId="0" xfId="12" applyNumberFormat="1" applyFont="1" applyFill="1" applyBorder="1" applyAlignment="1" applyProtection="1">
      <alignment horizontal="center"/>
    </xf>
    <xf numFmtId="0" fontId="5" fillId="0" borderId="1" xfId="12" applyFont="1" applyFill="1" applyBorder="1" applyAlignment="1" applyProtection="1">
      <alignment horizontal="center"/>
    </xf>
    <xf numFmtId="0" fontId="5" fillId="0" borderId="1" xfId="12" quotePrefix="1" applyFont="1" applyFill="1" applyBorder="1" applyAlignment="1" applyProtection="1">
      <alignment horizontal="center"/>
    </xf>
    <xf numFmtId="0" fontId="7" fillId="0" borderId="0" xfId="12" quotePrefix="1" applyFont="1" applyFill="1" applyBorder="1" applyAlignment="1" applyProtection="1">
      <alignment horizontal="left"/>
    </xf>
    <xf numFmtId="37" fontId="7" fillId="0" borderId="0" xfId="12" quotePrefix="1" applyNumberFormat="1" applyFont="1" applyFill="1" applyBorder="1" applyAlignment="1" applyProtection="1">
      <alignment horizontal="center"/>
    </xf>
    <xf numFmtId="37" fontId="7" fillId="0" borderId="0" xfId="12" applyNumberFormat="1" applyFont="1" applyFill="1" applyAlignment="1"/>
    <xf numFmtId="167" fontId="7" fillId="0" borderId="0" xfId="12" applyNumberFormat="1" applyFont="1" applyFill="1" applyAlignment="1"/>
    <xf numFmtId="37" fontId="7" fillId="0" borderId="0" xfId="12" applyNumberFormat="1" applyFont="1" applyFill="1" applyAlignment="1" applyProtection="1"/>
    <xf numFmtId="4" fontId="3" fillId="0" borderId="0" xfId="12" applyNumberFormat="1" applyFont="1" applyFill="1" applyBorder="1" applyAlignment="1" applyProtection="1"/>
    <xf numFmtId="10" fontId="7" fillId="0" borderId="0" xfId="13" applyNumberFormat="1" applyFont="1" applyFill="1" applyAlignment="1"/>
    <xf numFmtId="167" fontId="7" fillId="0" borderId="0" xfId="12" applyNumberFormat="1" applyFont="1" applyFill="1" applyAlignment="1" applyProtection="1"/>
    <xf numFmtId="168" fontId="3" fillId="0" borderId="0" xfId="12" applyNumberFormat="1" applyFont="1" applyFill="1" applyBorder="1" applyAlignment="1" applyProtection="1"/>
    <xf numFmtId="0" fontId="7" fillId="0" borderId="0" xfId="12" applyFont="1" applyFill="1" applyAlignment="1"/>
    <xf numFmtId="3" fontId="7" fillId="0" borderId="0" xfId="12" quotePrefix="1" applyNumberFormat="1" applyFont="1" applyFill="1" applyBorder="1" applyAlignment="1" applyProtection="1">
      <alignment horizontal="center"/>
    </xf>
    <xf numFmtId="0" fontId="7" fillId="0" borderId="0" xfId="12" applyFont="1" applyFill="1" applyBorder="1" applyAlignment="1" applyProtection="1"/>
    <xf numFmtId="0" fontId="8" fillId="0" borderId="0" xfId="12" quotePrefix="1" applyFont="1" applyFill="1" applyBorder="1" applyAlignment="1" applyProtection="1">
      <alignment horizontal="left"/>
    </xf>
    <xf numFmtId="37" fontId="7" fillId="0" borderId="3" xfId="12" applyNumberFormat="1" applyFont="1" applyFill="1" applyBorder="1" applyAlignment="1"/>
    <xf numFmtId="167" fontId="7" fillId="0" borderId="3" xfId="12" applyNumberFormat="1" applyFont="1" applyFill="1" applyBorder="1" applyAlignment="1"/>
    <xf numFmtId="169" fontId="3" fillId="0" borderId="0" xfId="12" applyNumberFormat="1" applyFont="1" applyFill="1" applyBorder="1" applyAlignment="1" applyProtection="1"/>
    <xf numFmtId="10" fontId="7" fillId="0" borderId="3" xfId="13" applyNumberFormat="1" applyFont="1" applyFill="1" applyBorder="1" applyAlignment="1"/>
    <xf numFmtId="0" fontId="3" fillId="0" borderId="0" xfId="12" quotePrefix="1" applyFont="1" applyFill="1" applyBorder="1" applyAlignment="1" applyProtection="1">
      <alignment horizontal="left"/>
    </xf>
    <xf numFmtId="3" fontId="3" fillId="0" borderId="0" xfId="12" quotePrefix="1" applyNumberFormat="1" applyFont="1" applyFill="1" applyBorder="1" applyAlignment="1" applyProtection="1">
      <alignment horizontal="center"/>
    </xf>
    <xf numFmtId="37" fontId="3" fillId="0" borderId="0" xfId="12" applyNumberFormat="1" applyFont="1" applyFill="1" applyAlignment="1"/>
    <xf numFmtId="170" fontId="3" fillId="0" borderId="0" xfId="12" applyNumberFormat="1" applyFont="1" applyFill="1" applyAlignment="1"/>
    <xf numFmtId="37" fontId="3" fillId="0" borderId="0" xfId="12" applyNumberFormat="1" applyFont="1" applyFill="1" applyAlignment="1" applyProtection="1"/>
    <xf numFmtId="0" fontId="3" fillId="0" borderId="1" xfId="12" applyFont="1" applyFill="1" applyBorder="1" applyAlignment="1" applyProtection="1"/>
    <xf numFmtId="3" fontId="3" fillId="0" borderId="1" xfId="12" applyNumberFormat="1" applyFont="1" applyFill="1" applyBorder="1" applyAlignment="1" applyProtection="1">
      <alignment horizontal="center"/>
    </xf>
    <xf numFmtId="37" fontId="3" fillId="0" borderId="1" xfId="12" applyNumberFormat="1" applyFont="1" applyFill="1" applyBorder="1" applyAlignment="1" applyProtection="1"/>
    <xf numFmtId="37" fontId="3" fillId="0" borderId="0" xfId="12" applyNumberFormat="1" applyFont="1" applyFill="1" applyBorder="1" applyAlignment="1" applyProtection="1"/>
    <xf numFmtId="0" fontId="7" fillId="0" borderId="0" xfId="12" applyFont="1" applyFill="1" applyBorder="1" applyAlignment="1" applyProtection="1">
      <alignment horizontal="left"/>
    </xf>
    <xf numFmtId="10" fontId="7" fillId="0" borderId="2" xfId="13" applyNumberFormat="1" applyFont="1" applyFill="1" applyBorder="1" applyAlignment="1"/>
    <xf numFmtId="10" fontId="7" fillId="0" borderId="0" xfId="13" applyNumberFormat="1" applyFont="1" applyFill="1" applyBorder="1" applyAlignment="1"/>
    <xf numFmtId="5" fontId="7" fillId="0" borderId="1" xfId="12" applyNumberFormat="1" applyFont="1" applyFill="1" applyBorder="1" applyAlignment="1" applyProtection="1"/>
    <xf numFmtId="5" fontId="3" fillId="0" borderId="1" xfId="12" applyNumberFormat="1" applyFont="1" applyFill="1" applyBorder="1" applyAlignment="1" applyProtection="1"/>
    <xf numFmtId="5" fontId="7" fillId="0" borderId="0" xfId="12" applyNumberFormat="1" applyFont="1" applyFill="1" applyBorder="1" applyAlignment="1" applyProtection="1"/>
    <xf numFmtId="5" fontId="3" fillId="0" borderId="0" xfId="12" applyNumberFormat="1" applyFont="1" applyFill="1" applyBorder="1" applyAlignment="1" applyProtection="1"/>
    <xf numFmtId="10" fontId="7" fillId="0" borderId="0" xfId="13" applyNumberFormat="1" applyFont="1" applyFill="1" applyAlignment="1" applyProtection="1"/>
    <xf numFmtId="170" fontId="7" fillId="0" borderId="0" xfId="12" applyNumberFormat="1" applyFont="1" applyFill="1" applyAlignment="1"/>
    <xf numFmtId="37" fontId="7" fillId="0" borderId="2" xfId="12" applyNumberFormat="1" applyFont="1" applyFill="1" applyBorder="1" applyAlignment="1"/>
    <xf numFmtId="170" fontId="7" fillId="0" borderId="2" xfId="12" applyNumberFormat="1" applyFont="1" applyFill="1" applyBorder="1" applyAlignment="1"/>
    <xf numFmtId="37" fontId="7" fillId="0" borderId="0" xfId="12" applyNumberFormat="1" applyFont="1" applyFill="1" applyBorder="1" applyAlignment="1"/>
    <xf numFmtId="170" fontId="7" fillId="0" borderId="0" xfId="12" applyNumberFormat="1" applyFont="1" applyFill="1" applyBorder="1" applyAlignment="1"/>
    <xf numFmtId="37" fontId="7" fillId="0" borderId="0" xfId="12" applyNumberFormat="1" applyFont="1" applyFill="1" applyAlignment="1">
      <alignment horizontal="center"/>
    </xf>
    <xf numFmtId="37" fontId="7" fillId="0" borderId="0" xfId="12" applyNumberFormat="1" applyFont="1" applyFill="1" applyBorder="1" applyAlignment="1">
      <alignment horizontal="center"/>
    </xf>
    <xf numFmtId="0" fontId="9" fillId="0" borderId="1" xfId="12" applyFont="1" applyFill="1" applyBorder="1" applyAlignment="1" applyProtection="1"/>
    <xf numFmtId="0" fontId="3" fillId="0" borderId="1" xfId="12" quotePrefix="1" applyFont="1" applyFill="1" applyBorder="1" applyAlignment="1" applyProtection="1">
      <alignment horizontal="left"/>
    </xf>
    <xf numFmtId="3" fontId="3" fillId="0" borderId="1" xfId="12" quotePrefix="1" applyNumberFormat="1" applyFont="1" applyFill="1" applyBorder="1" applyAlignment="1" applyProtection="1">
      <alignment horizontal="center"/>
    </xf>
    <xf numFmtId="37" fontId="3" fillId="0" borderId="1" xfId="12" applyNumberFormat="1" applyFont="1" applyFill="1" applyBorder="1" applyAlignment="1"/>
    <xf numFmtId="170" fontId="3" fillId="0" borderId="1" xfId="12" applyNumberFormat="1" applyFont="1" applyFill="1" applyBorder="1" applyAlignment="1"/>
    <xf numFmtId="0" fontId="9" fillId="0" borderId="0" xfId="12" applyFont="1" applyFill="1" applyBorder="1" applyAlignment="1" applyProtection="1"/>
    <xf numFmtId="37" fontId="3" fillId="0" borderId="0" xfId="12" applyNumberFormat="1" applyFont="1" applyFill="1" applyBorder="1" applyAlignment="1"/>
    <xf numFmtId="170" fontId="3" fillId="0" borderId="0" xfId="12" applyNumberFormat="1" applyFont="1" applyFill="1" applyBorder="1" applyAlignment="1"/>
    <xf numFmtId="3" fontId="9" fillId="0" borderId="0" xfId="12" applyNumberFormat="1" applyFont="1" applyFill="1" applyBorder="1" applyAlignment="1" applyProtection="1">
      <alignment horizontal="center"/>
    </xf>
    <xf numFmtId="10" fontId="3" fillId="0" borderId="0" xfId="13" applyNumberFormat="1" applyFont="1" applyFill="1" applyBorder="1" applyAlignment="1" applyProtection="1"/>
    <xf numFmtId="167" fontId="7" fillId="0" borderId="0" xfId="12" applyNumberFormat="1" applyFont="1" applyFill="1" applyBorder="1" applyAlignment="1"/>
    <xf numFmtId="0" fontId="3" fillId="0" borderId="0" xfId="12" applyFont="1" applyFill="1" applyBorder="1" applyAlignment="1">
      <alignment horizontal="left"/>
    </xf>
    <xf numFmtId="37" fontId="7" fillId="0" borderId="4" xfId="12" applyNumberFormat="1" applyFont="1" applyFill="1" applyBorder="1" applyAlignment="1"/>
    <xf numFmtId="10" fontId="3" fillId="0" borderId="4" xfId="13" applyNumberFormat="1" applyFont="1" applyFill="1" applyBorder="1" applyAlignment="1" applyProtection="1"/>
    <xf numFmtId="167" fontId="7" fillId="0" borderId="4" xfId="12" applyNumberFormat="1" applyFont="1" applyFill="1" applyBorder="1" applyAlignment="1"/>
    <xf numFmtId="7" fontId="3" fillId="0" borderId="0" xfId="12" applyNumberFormat="1" applyFont="1" applyFill="1" applyBorder="1" applyAlignment="1" applyProtection="1"/>
    <xf numFmtId="0" fontId="7" fillId="0" borderId="1" xfId="12" applyFont="1" applyFill="1" applyBorder="1" applyAlignment="1" applyProtection="1"/>
    <xf numFmtId="3" fontId="9" fillId="0" borderId="1" xfId="12" applyNumberFormat="1" applyFont="1" applyFill="1" applyBorder="1" applyAlignment="1" applyProtection="1">
      <alignment horizontal="center"/>
    </xf>
    <xf numFmtId="37" fontId="7" fillId="0" borderId="1" xfId="12" applyNumberFormat="1" applyFont="1" applyFill="1" applyBorder="1" applyAlignment="1"/>
    <xf numFmtId="7" fontId="3" fillId="0" borderId="1" xfId="12" applyNumberFormat="1" applyFont="1" applyFill="1" applyBorder="1" applyAlignment="1" applyProtection="1"/>
    <xf numFmtId="3" fontId="7" fillId="0" borderId="5" xfId="12" quotePrefix="1" applyNumberFormat="1" applyFont="1" applyFill="1" applyBorder="1" applyAlignment="1" applyProtection="1">
      <alignment horizontal="center"/>
    </xf>
    <xf numFmtId="170" fontId="7" fillId="0" borderId="0" xfId="12" applyNumberFormat="1" applyFont="1" applyFill="1" applyBorder="1" applyAlignment="1">
      <alignment horizontal="center"/>
    </xf>
    <xf numFmtId="0" fontId="3" fillId="0" borderId="0" xfId="12" applyFont="1" applyFill="1" applyAlignment="1">
      <alignment horizontal="right"/>
    </xf>
    <xf numFmtId="5" fontId="5" fillId="0" borderId="6" xfId="12" applyNumberFormat="1" applyFont="1" applyFill="1" applyBorder="1" applyAlignment="1"/>
    <xf numFmtId="165" fontId="0" fillId="0" borderId="0" xfId="7" applyNumberFormat="1" applyFont="1" applyFill="1"/>
    <xf numFmtId="3" fontId="5" fillId="0" borderId="0" xfId="12" applyNumberFormat="1" applyFont="1" applyFill="1" applyAlignment="1">
      <alignment horizontal="center"/>
    </xf>
    <xf numFmtId="3" fontId="5" fillId="0" borderId="0" xfId="12" applyNumberFormat="1" applyFont="1" applyFill="1" applyAlignment="1">
      <alignment horizontal="center"/>
    </xf>
    <xf numFmtId="7" fontId="3" fillId="0" borderId="4" xfId="12" applyNumberFormat="1" applyFont="1" applyFill="1" applyBorder="1" applyAlignment="1" applyProtection="1"/>
    <xf numFmtId="167" fontId="7" fillId="0" borderId="5" xfId="12" applyNumberFormat="1" applyFont="1" applyFill="1" applyBorder="1" applyAlignment="1"/>
    <xf numFmtId="7" fontId="3" fillId="0" borderId="0" xfId="12" applyNumberFormat="1" applyFont="1" applyFill="1" applyAlignment="1"/>
    <xf numFmtId="171" fontId="0" fillId="0" borderId="0" xfId="7" applyNumberFormat="1" applyFont="1"/>
    <xf numFmtId="167" fontId="8" fillId="0" borderId="0" xfId="12" applyNumberFormat="1" applyFont="1" applyFill="1" applyAlignment="1" applyProtection="1"/>
    <xf numFmtId="164" fontId="1" fillId="0" borderId="0" xfId="0" applyFont="1"/>
    <xf numFmtId="171" fontId="7" fillId="0" borderId="0" xfId="7" applyNumberFormat="1" applyFont="1" applyFill="1" applyAlignment="1" applyProtection="1"/>
    <xf numFmtId="3" fontId="5" fillId="0" borderId="0" xfId="12" applyNumberFormat="1" applyFont="1" applyFill="1" applyAlignment="1">
      <alignment horizontal="center"/>
    </xf>
    <xf numFmtId="39" fontId="7" fillId="0" borderId="0" xfId="12" applyNumberFormat="1" applyFont="1" applyFill="1" applyAlignment="1"/>
    <xf numFmtId="39" fontId="7" fillId="0" borderId="0" xfId="12" applyNumberFormat="1" applyFont="1" applyFill="1" applyAlignment="1" applyProtection="1"/>
    <xf numFmtId="167" fontId="7" fillId="3" borderId="0" xfId="12" applyNumberFormat="1" applyFont="1" applyFill="1" applyAlignment="1"/>
    <xf numFmtId="167" fontId="7" fillId="3" borderId="4" xfId="12" applyNumberFormat="1" applyFont="1" applyFill="1" applyBorder="1" applyAlignment="1"/>
    <xf numFmtId="167" fontId="7" fillId="3" borderId="0" xfId="12" applyNumberFormat="1" applyFont="1" applyFill="1" applyBorder="1" applyAlignment="1"/>
    <xf numFmtId="5" fontId="5" fillId="0" borderId="0" xfId="9" applyNumberFormat="1" applyFont="1" applyAlignment="1">
      <alignment horizontal="center"/>
    </xf>
    <xf numFmtId="3" fontId="5" fillId="0" borderId="0" xfId="12" applyNumberFormat="1" applyFont="1" applyFill="1" applyAlignment="1">
      <alignment horizontal="center"/>
    </xf>
    <xf numFmtId="0" fontId="6" fillId="0" borderId="0" xfId="12" applyFont="1" applyFill="1" applyAlignment="1">
      <alignment horizontal="center"/>
    </xf>
  </cellXfs>
  <cellStyles count="15">
    <cellStyle name="Comma" xfId="7" builtinId="3"/>
    <cellStyle name="Comma 2" xfId="11"/>
    <cellStyle name="Currency 2" xfId="10"/>
    <cellStyle name="Normal" xfId="0" builtinId="0"/>
    <cellStyle name="Normal 2" xfId="14"/>
    <cellStyle name="Normal 3" xfId="9"/>
    <cellStyle name="Normal 4 2" xfId="12"/>
    <cellStyle name="Percent" xfId="8" builtinId="5"/>
    <cellStyle name="Percent 2" xfId="13"/>
    <cellStyle name="PSChar" xfId="1"/>
    <cellStyle name="PSDate" xfId="2"/>
    <cellStyle name="PSDec" xfId="3"/>
    <cellStyle name="PSHeading" xfId="4"/>
    <cellStyle name="PSInt" xfId="5"/>
    <cellStyle name="PSSpacer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3"/>
  <sheetViews>
    <sheetView workbookViewId="0">
      <selection activeCell="G12" sqref="G12"/>
    </sheetView>
  </sheetViews>
  <sheetFormatPr defaultRowHeight="12.75" x14ac:dyDescent="0.2"/>
  <cols>
    <col min="1" max="1" width="3.28515625" customWidth="1"/>
    <col min="2" max="2" width="5.7109375" customWidth="1"/>
    <col min="3" max="3" width="18.28515625" customWidth="1"/>
    <col min="4" max="4" width="3.85546875" customWidth="1"/>
    <col min="5" max="5" width="14" bestFit="1" customWidth="1"/>
    <col min="6" max="6" width="3.85546875" customWidth="1"/>
    <col min="7" max="7" width="16" bestFit="1" customWidth="1"/>
    <col min="8" max="8" width="3.85546875" customWidth="1"/>
  </cols>
  <sheetData>
    <row r="1" spans="1:8" x14ac:dyDescent="0.2">
      <c r="A1" s="4"/>
      <c r="B1" s="124" t="s">
        <v>4</v>
      </c>
      <c r="C1" s="124"/>
      <c r="D1" s="124"/>
      <c r="E1" s="124"/>
      <c r="F1" s="124"/>
      <c r="G1" s="124"/>
      <c r="H1" s="5"/>
    </row>
    <row r="2" spans="1:8" x14ac:dyDescent="0.2">
      <c r="A2" s="4"/>
      <c r="B2" s="6"/>
      <c r="C2" s="5"/>
      <c r="D2" s="5"/>
      <c r="E2" s="6"/>
      <c r="F2" s="5"/>
      <c r="G2" s="6"/>
      <c r="H2" s="5"/>
    </row>
    <row r="3" spans="1:8" x14ac:dyDescent="0.2">
      <c r="A3" s="4"/>
      <c r="B3" s="6"/>
      <c r="C3" s="5"/>
      <c r="D3" s="5"/>
      <c r="E3" s="6"/>
      <c r="F3" s="5"/>
      <c r="G3" s="6"/>
      <c r="H3" s="5"/>
    </row>
    <row r="4" spans="1:8" x14ac:dyDescent="0.2">
      <c r="A4" s="4"/>
      <c r="B4" s="6"/>
      <c r="C4" s="7" t="s">
        <v>5</v>
      </c>
      <c r="D4" s="7"/>
      <c r="E4" s="7" t="s">
        <v>6</v>
      </c>
      <c r="F4" s="7"/>
      <c r="G4" s="7" t="s">
        <v>7</v>
      </c>
      <c r="H4" s="7"/>
    </row>
    <row r="5" spans="1:8" x14ac:dyDescent="0.2">
      <c r="A5" s="4"/>
      <c r="B5" s="6"/>
      <c r="C5" s="8" t="s">
        <v>8</v>
      </c>
      <c r="D5" s="6"/>
      <c r="E5" s="6"/>
      <c r="F5" s="6"/>
      <c r="G5" s="7" t="s">
        <v>0</v>
      </c>
      <c r="H5" s="6"/>
    </row>
    <row r="6" spans="1:8" x14ac:dyDescent="0.2">
      <c r="A6" s="4"/>
      <c r="B6" s="6"/>
      <c r="C6" s="9" t="s">
        <v>71</v>
      </c>
      <c r="D6" s="7"/>
      <c r="E6" s="7" t="s">
        <v>9</v>
      </c>
      <c r="F6" s="7"/>
      <c r="G6" s="7" t="s">
        <v>10</v>
      </c>
      <c r="H6" s="7"/>
    </row>
    <row r="7" spans="1:8" x14ac:dyDescent="0.2">
      <c r="A7" s="4"/>
      <c r="B7" s="6"/>
      <c r="C7" s="10" t="s">
        <v>11</v>
      </c>
      <c r="D7" s="11"/>
      <c r="E7" s="11" t="s">
        <v>12</v>
      </c>
      <c r="F7" s="11"/>
      <c r="G7" s="11" t="s">
        <v>1</v>
      </c>
      <c r="H7" s="11"/>
    </row>
    <row r="8" spans="1:8" x14ac:dyDescent="0.2">
      <c r="A8" s="4"/>
      <c r="B8" s="6"/>
      <c r="C8" s="12" t="s">
        <v>2</v>
      </c>
      <c r="D8" s="6"/>
      <c r="E8" s="13"/>
      <c r="F8" s="6"/>
      <c r="G8" s="14"/>
      <c r="H8" s="6"/>
    </row>
    <row r="9" spans="1:8" x14ac:dyDescent="0.2">
      <c r="A9" s="15">
        <v>1</v>
      </c>
      <c r="B9" s="6" t="s">
        <v>13</v>
      </c>
      <c r="C9" s="16">
        <v>274868630</v>
      </c>
      <c r="D9" s="17"/>
      <c r="E9" s="18">
        <f>C9/$C$17</f>
        <v>0.91375762187507892</v>
      </c>
      <c r="F9" s="17"/>
      <c r="G9" s="17">
        <f>E9*$G$17</f>
        <v>3950630.1362668746</v>
      </c>
      <c r="H9" s="17"/>
    </row>
    <row r="10" spans="1:8" x14ac:dyDescent="0.2">
      <c r="A10" s="15">
        <v>2</v>
      </c>
      <c r="B10" s="6" t="s">
        <v>14</v>
      </c>
      <c r="C10" s="19">
        <v>3628392</v>
      </c>
      <c r="D10" s="20"/>
      <c r="E10" s="18">
        <f>C10/$C$17</f>
        <v>1.2062019755221108E-2</v>
      </c>
      <c r="F10" s="20"/>
      <c r="G10" s="17">
        <f t="shared" ref="G10:G15" si="0">E10*$G$17</f>
        <v>52150.129978054014</v>
      </c>
      <c r="H10" s="20"/>
    </row>
    <row r="11" spans="1:8" x14ac:dyDescent="0.2">
      <c r="A11" s="15">
        <v>3</v>
      </c>
      <c r="B11" s="6" t="s">
        <v>15</v>
      </c>
      <c r="C11" s="19">
        <v>3687190</v>
      </c>
      <c r="D11" s="20"/>
      <c r="E11" s="18">
        <f t="shared" ref="E11:E15" si="1">C11/$C$17</f>
        <v>1.2257484478318141E-2</v>
      </c>
      <c r="F11" s="20"/>
      <c r="G11" s="17">
        <f t="shared" si="0"/>
        <v>52995.221506877147</v>
      </c>
      <c r="H11" s="20"/>
    </row>
    <row r="12" spans="1:8" x14ac:dyDescent="0.2">
      <c r="A12" s="15">
        <v>4</v>
      </c>
      <c r="B12" s="6" t="s">
        <v>16</v>
      </c>
      <c r="C12" s="19">
        <v>917858</v>
      </c>
      <c r="D12" s="20"/>
      <c r="E12" s="18">
        <f t="shared" si="1"/>
        <v>3.0512748701043702E-3</v>
      </c>
      <c r="F12" s="20"/>
      <c r="G12" s="17">
        <f t="shared" si="0"/>
        <v>13192.183755613149</v>
      </c>
      <c r="H12" s="20"/>
    </row>
    <row r="13" spans="1:8" x14ac:dyDescent="0.2">
      <c r="A13" s="15">
        <v>5</v>
      </c>
      <c r="B13" s="6" t="s">
        <v>17</v>
      </c>
      <c r="C13" s="19">
        <f>12807972-C14</f>
        <v>12786004.102</v>
      </c>
      <c r="D13" s="20"/>
      <c r="E13" s="18">
        <f t="shared" si="1"/>
        <v>4.2505063970117371E-2</v>
      </c>
      <c r="F13" s="20"/>
      <c r="G13" s="17">
        <f t="shared" si="0"/>
        <v>183770.60026017911</v>
      </c>
      <c r="H13" s="20"/>
    </row>
    <row r="14" spans="1:8" x14ac:dyDescent="0.2">
      <c r="A14" s="15">
        <v>6</v>
      </c>
      <c r="B14" s="6" t="s">
        <v>18</v>
      </c>
      <c r="C14" s="19">
        <f>22034*(1-0.003)</f>
        <v>21967.898000000001</v>
      </c>
      <c r="D14" s="20"/>
      <c r="E14" s="18">
        <f t="shared" si="1"/>
        <v>7.3028829204970766E-5</v>
      </c>
      <c r="F14" s="20"/>
      <c r="G14" s="17">
        <f t="shared" si="0"/>
        <v>315.74006778888082</v>
      </c>
      <c r="H14" s="20"/>
    </row>
    <row r="15" spans="1:8" x14ac:dyDescent="0.2">
      <c r="A15" s="15">
        <v>7</v>
      </c>
      <c r="B15" s="6" t="s">
        <v>19</v>
      </c>
      <c r="C15" s="21">
        <f>1745394+3155877</f>
        <v>4901271</v>
      </c>
      <c r="D15" s="20"/>
      <c r="E15" s="22">
        <f t="shared" si="1"/>
        <v>1.6293506221955155E-2</v>
      </c>
      <c r="F15" s="20"/>
      <c r="G15" s="23">
        <f t="shared" si="0"/>
        <v>70444.957355122257</v>
      </c>
      <c r="H15" s="20"/>
    </row>
    <row r="16" spans="1:8" x14ac:dyDescent="0.2">
      <c r="A16" s="15"/>
      <c r="B16" s="6"/>
      <c r="C16" s="24"/>
      <c r="D16" s="24"/>
      <c r="E16" s="24"/>
      <c r="F16" s="24"/>
      <c r="G16" s="24"/>
      <c r="H16" s="24"/>
    </row>
    <row r="17" spans="1:8" x14ac:dyDescent="0.2">
      <c r="A17" s="15">
        <v>8</v>
      </c>
      <c r="B17" s="6" t="s">
        <v>20</v>
      </c>
      <c r="C17" s="24">
        <f>SUM(C9:C15)</f>
        <v>300811313</v>
      </c>
      <c r="D17" s="24"/>
      <c r="E17" s="25">
        <f>SUM(E9:E15)</f>
        <v>1</v>
      </c>
      <c r="F17" s="24"/>
      <c r="G17" s="24">
        <v>4323498.9691905091</v>
      </c>
      <c r="H17" s="24" t="s">
        <v>3</v>
      </c>
    </row>
    <row r="18" spans="1:8" x14ac:dyDescent="0.2">
      <c r="A18" s="15"/>
      <c r="B18" s="6"/>
      <c r="C18" s="24"/>
      <c r="D18" s="24"/>
      <c r="E18" s="24"/>
      <c r="F18" s="24"/>
      <c r="G18" s="24"/>
      <c r="H18" s="24"/>
    </row>
    <row r="19" spans="1:8" x14ac:dyDescent="0.2">
      <c r="A19" s="4"/>
      <c r="B19" s="6"/>
      <c r="C19" s="6"/>
      <c r="D19" s="6"/>
      <c r="E19" s="6"/>
      <c r="F19" s="6"/>
      <c r="G19" s="6"/>
      <c r="H19" s="6"/>
    </row>
    <row r="20" spans="1:8" x14ac:dyDescent="0.2">
      <c r="A20" s="4"/>
      <c r="B20" s="4" t="s">
        <v>72</v>
      </c>
      <c r="C20" s="6"/>
      <c r="D20" s="6"/>
      <c r="E20" s="6"/>
      <c r="F20" s="6"/>
      <c r="G20" s="6"/>
      <c r="H20" s="6"/>
    </row>
    <row r="21" spans="1:8" x14ac:dyDescent="0.2">
      <c r="A21" s="4"/>
      <c r="B21" s="6" t="s">
        <v>69</v>
      </c>
      <c r="C21" s="4"/>
      <c r="D21" s="4"/>
      <c r="E21" s="4"/>
      <c r="F21" s="4"/>
      <c r="G21" s="4"/>
      <c r="H21" s="4"/>
    </row>
    <row r="23" spans="1:8" x14ac:dyDescent="0.2">
      <c r="C23" s="3"/>
    </row>
    <row r="24" spans="1:8" x14ac:dyDescent="0.2">
      <c r="C24" s="2"/>
    </row>
    <row r="25" spans="1:8" x14ac:dyDescent="0.2">
      <c r="C25" s="2"/>
    </row>
    <row r="26" spans="1:8" x14ac:dyDescent="0.2">
      <c r="C26" s="2"/>
    </row>
    <row r="27" spans="1:8" x14ac:dyDescent="0.2">
      <c r="C27" s="2"/>
    </row>
    <row r="28" spans="1:8" x14ac:dyDescent="0.2">
      <c r="C28" s="2"/>
    </row>
    <row r="29" spans="1:8" x14ac:dyDescent="0.2">
      <c r="C29" s="2"/>
    </row>
    <row r="30" spans="1:8" x14ac:dyDescent="0.2">
      <c r="C30" s="2"/>
    </row>
    <row r="31" spans="1:8" x14ac:dyDescent="0.2">
      <c r="C31" s="2"/>
    </row>
    <row r="32" spans="1:8" x14ac:dyDescent="0.2">
      <c r="C32" s="2"/>
    </row>
    <row r="33" spans="3:3" x14ac:dyDescent="0.2">
      <c r="C33" s="2"/>
    </row>
  </sheetData>
  <mergeCells count="1">
    <mergeCell ref="B1:G1"/>
  </mergeCells>
  <pageMargins left="0.7" right="0.7" top="0.86458333333333304" bottom="0.75" header="0.3" footer="0.3"/>
  <pageSetup orientation="portrait" r:id="rId1"/>
  <headerFooter scaleWithDoc="0">
    <oddHeader>&amp;RQuestar Gas Company
Docket 14-057-27
Exhibit 1.2U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73"/>
  <sheetViews>
    <sheetView tabSelected="1" workbookViewId="0">
      <pane xSplit="4575" activePane="topRight"/>
      <selection activeCell="E63" sqref="E63"/>
      <selection pane="topRight" activeCell="I17" sqref="I17"/>
    </sheetView>
  </sheetViews>
  <sheetFormatPr defaultRowHeight="12.75" x14ac:dyDescent="0.2"/>
  <cols>
    <col min="1" max="1" width="4.42578125" style="1" customWidth="1"/>
    <col min="2" max="3" width="9.140625" style="1"/>
    <col min="4" max="4" width="7.42578125" style="1" bestFit="1" customWidth="1"/>
    <col min="5" max="5" width="9.140625" style="1" bestFit="1" customWidth="1"/>
    <col min="6" max="6" width="4.140625" style="1" customWidth="1"/>
    <col min="7" max="7" width="13.28515625" style="1" customWidth="1"/>
    <col min="8" max="8" width="9.5703125" style="1" bestFit="1" customWidth="1"/>
    <col min="9" max="9" width="13.28515625" style="1" customWidth="1"/>
    <col min="10" max="10" width="3" style="1" customWidth="1"/>
    <col min="11" max="11" width="15.28515625" style="1" customWidth="1"/>
    <col min="12" max="12" width="12.140625" style="1" bestFit="1" customWidth="1"/>
    <col min="13" max="15" width="13.7109375" style="1" customWidth="1"/>
    <col min="16" max="16" width="10.42578125" bestFit="1" customWidth="1"/>
    <col min="17" max="17" width="15.42578125" style="116" bestFit="1" customWidth="1"/>
    <col min="18" max="18" width="10.42578125" bestFit="1" customWidth="1"/>
    <col min="21" max="21" width="10.42578125" style="116" bestFit="1" customWidth="1"/>
    <col min="22" max="22" width="10.42578125" bestFit="1" customWidth="1"/>
    <col min="23" max="23" width="10.42578125" style="116" bestFit="1" customWidth="1"/>
    <col min="24" max="24" width="10.42578125" bestFit="1" customWidth="1"/>
  </cols>
  <sheetData>
    <row r="1" spans="1:24" ht="15.75" x14ac:dyDescent="0.25">
      <c r="A1" s="26"/>
      <c r="B1" s="126" t="s">
        <v>21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27"/>
      <c r="O1" s="27"/>
    </row>
    <row r="2" spans="1:24" x14ac:dyDescent="0.2">
      <c r="A2" s="26"/>
      <c r="B2" s="28"/>
      <c r="C2" s="28"/>
      <c r="D2" s="28"/>
      <c r="E2" s="29"/>
      <c r="F2" s="29"/>
      <c r="G2" s="28"/>
      <c r="H2" s="28"/>
      <c r="I2" s="28"/>
      <c r="J2" s="30"/>
      <c r="K2" s="28"/>
      <c r="L2" s="28"/>
      <c r="M2" s="28"/>
      <c r="N2" s="28"/>
      <c r="O2" s="28"/>
    </row>
    <row r="3" spans="1:24" x14ac:dyDescent="0.2">
      <c r="A3" s="26"/>
      <c r="B3" s="26"/>
      <c r="C3" s="26" t="s">
        <v>5</v>
      </c>
      <c r="D3" s="26" t="s">
        <v>6</v>
      </c>
      <c r="E3" s="109" t="s">
        <v>7</v>
      </c>
      <c r="F3" s="109"/>
      <c r="G3" s="26" t="s">
        <v>22</v>
      </c>
      <c r="H3" s="26" t="s">
        <v>23</v>
      </c>
      <c r="I3" s="26" t="s">
        <v>24</v>
      </c>
      <c r="J3" s="31"/>
      <c r="K3" s="31" t="s">
        <v>25</v>
      </c>
      <c r="L3" s="31" t="s">
        <v>26</v>
      </c>
      <c r="M3" s="31" t="s">
        <v>27</v>
      </c>
      <c r="N3" s="31" t="s">
        <v>28</v>
      </c>
      <c r="O3" s="31" t="s">
        <v>29</v>
      </c>
    </row>
    <row r="4" spans="1:24" x14ac:dyDescent="0.2">
      <c r="A4" s="26"/>
      <c r="B4" s="32" t="s">
        <v>30</v>
      </c>
      <c r="C4" s="33"/>
      <c r="D4" s="33"/>
      <c r="E4" s="34"/>
      <c r="F4" s="34"/>
      <c r="G4" s="125" t="s">
        <v>31</v>
      </c>
      <c r="H4" s="125"/>
      <c r="I4" s="125"/>
      <c r="J4" s="33"/>
      <c r="K4" s="35" t="s">
        <v>32</v>
      </c>
      <c r="L4" s="36"/>
      <c r="M4" s="35" t="s">
        <v>32</v>
      </c>
      <c r="N4" s="35" t="s">
        <v>33</v>
      </c>
      <c r="O4" s="35" t="s">
        <v>34</v>
      </c>
    </row>
    <row r="5" spans="1:24" x14ac:dyDescent="0.2">
      <c r="A5" s="26"/>
      <c r="B5" s="32"/>
      <c r="C5" s="33"/>
      <c r="D5" s="33"/>
      <c r="E5" s="34"/>
      <c r="F5" s="34"/>
      <c r="G5" s="118"/>
      <c r="H5" s="110"/>
      <c r="I5" s="110"/>
      <c r="J5" s="33"/>
      <c r="K5" s="35" t="s">
        <v>35</v>
      </c>
      <c r="L5" s="36" t="s">
        <v>36</v>
      </c>
      <c r="M5" s="35" t="s">
        <v>35</v>
      </c>
      <c r="N5" s="35"/>
      <c r="O5" s="35" t="s">
        <v>37</v>
      </c>
      <c r="R5" t="s">
        <v>64</v>
      </c>
    </row>
    <row r="6" spans="1:24" ht="13.5" thickBot="1" x14ac:dyDescent="0.25">
      <c r="A6" s="26"/>
      <c r="B6" s="37" t="s">
        <v>38</v>
      </c>
      <c r="C6" s="38"/>
      <c r="D6" s="38"/>
      <c r="E6" s="39" t="s">
        <v>39</v>
      </c>
      <c r="F6" s="40"/>
      <c r="G6" s="41" t="s">
        <v>39</v>
      </c>
      <c r="H6" s="41" t="s">
        <v>40</v>
      </c>
      <c r="I6" s="42" t="s">
        <v>41</v>
      </c>
      <c r="J6" s="33"/>
      <c r="K6" s="41" t="s">
        <v>1</v>
      </c>
      <c r="L6" s="41" t="s">
        <v>42</v>
      </c>
      <c r="M6" s="41" t="s">
        <v>43</v>
      </c>
      <c r="N6" s="41"/>
      <c r="O6" s="41"/>
      <c r="R6" t="s">
        <v>65</v>
      </c>
      <c r="T6" t="s">
        <v>66</v>
      </c>
      <c r="V6" t="s">
        <v>67</v>
      </c>
      <c r="X6" t="s">
        <v>68</v>
      </c>
    </row>
    <row r="7" spans="1:24" x14ac:dyDescent="0.2">
      <c r="A7" s="26">
        <v>1</v>
      </c>
      <c r="B7" s="43" t="s">
        <v>44</v>
      </c>
      <c r="C7" s="43" t="s">
        <v>45</v>
      </c>
      <c r="D7" s="43" t="s">
        <v>46</v>
      </c>
      <c r="E7" s="44">
        <v>45</v>
      </c>
      <c r="F7" s="44"/>
      <c r="G7" s="45">
        <v>56415759</v>
      </c>
      <c r="H7" s="46">
        <v>2.3542200000000002</v>
      </c>
      <c r="I7" s="47">
        <f>ROUND(G7*H7,0)</f>
        <v>132815108</v>
      </c>
      <c r="J7" s="48"/>
      <c r="K7" s="45">
        <f>M7*G7</f>
        <v>2640734.8446042561</v>
      </c>
      <c r="L7" s="49">
        <f>L12</f>
        <v>1.9882789551039531E-2</v>
      </c>
      <c r="M7" s="50">
        <f>L7*H7</f>
        <v>4.6808460816848287E-2</v>
      </c>
      <c r="N7" s="50">
        <v>0</v>
      </c>
      <c r="O7" s="50">
        <f>M7-N7</f>
        <v>4.6808460816848287E-2</v>
      </c>
      <c r="Q7" s="115"/>
      <c r="R7" s="117">
        <v>2.61802</v>
      </c>
      <c r="S7" s="50"/>
      <c r="T7" s="50">
        <f>R7+O7</f>
        <v>2.6648284608168482</v>
      </c>
      <c r="U7" s="115"/>
      <c r="V7" s="50">
        <v>8.6560299999999994</v>
      </c>
      <c r="W7" s="115"/>
      <c r="X7" s="114">
        <f>V7+O7</f>
        <v>8.7028384608168476</v>
      </c>
    </row>
    <row r="8" spans="1:24" x14ac:dyDescent="0.2">
      <c r="A8" s="26">
        <f>A7+1</f>
        <v>2</v>
      </c>
      <c r="B8" s="43"/>
      <c r="C8" s="43" t="s">
        <v>47</v>
      </c>
      <c r="D8" s="43" t="s">
        <v>70</v>
      </c>
      <c r="E8" s="44">
        <v>45</v>
      </c>
      <c r="F8" s="44"/>
      <c r="G8" s="45">
        <v>15934492</v>
      </c>
      <c r="H8" s="46">
        <v>1.35422</v>
      </c>
      <c r="I8" s="47">
        <f>ROUND(G8*H8,0)</f>
        <v>21578808</v>
      </c>
      <c r="J8" s="51"/>
      <c r="K8" s="45">
        <f>M8*G8</f>
        <v>429046.89337965951</v>
      </c>
      <c r="L8" s="49">
        <f>L12</f>
        <v>1.9882789551039531E-2</v>
      </c>
      <c r="M8" s="50">
        <f>L8*H8</f>
        <v>2.6925671265808755E-2</v>
      </c>
      <c r="N8" s="50">
        <v>0</v>
      </c>
      <c r="O8" s="50">
        <f>M8-N8</f>
        <v>2.6925671265808755E-2</v>
      </c>
      <c r="Q8" s="115"/>
      <c r="R8" s="117">
        <v>1.6762900000000001</v>
      </c>
      <c r="S8" s="50"/>
      <c r="T8" s="50">
        <f>R8+O8</f>
        <v>1.7032156712658089</v>
      </c>
      <c r="U8" s="115"/>
      <c r="V8" s="50">
        <v>7.7142999999999997</v>
      </c>
      <c r="W8" s="115"/>
      <c r="X8" s="114">
        <f>V8+O8</f>
        <v>7.7412256712658083</v>
      </c>
    </row>
    <row r="9" spans="1:24" x14ac:dyDescent="0.2">
      <c r="A9" s="26"/>
      <c r="B9" s="52"/>
      <c r="C9" s="43"/>
      <c r="D9" s="43"/>
      <c r="E9" s="53"/>
      <c r="F9" s="53"/>
      <c r="G9" s="45"/>
      <c r="H9" s="46"/>
      <c r="I9" s="47"/>
      <c r="J9" s="51"/>
      <c r="K9" s="45"/>
      <c r="L9" s="46"/>
      <c r="M9" s="47"/>
      <c r="N9" s="47"/>
      <c r="O9" s="47"/>
      <c r="Q9" s="115"/>
      <c r="R9" s="50"/>
      <c r="S9" s="50"/>
      <c r="T9" s="50"/>
      <c r="U9" s="115"/>
      <c r="V9" s="50"/>
      <c r="W9" s="115"/>
    </row>
    <row r="10" spans="1:24" x14ac:dyDescent="0.2">
      <c r="A10" s="26">
        <f>A8+1</f>
        <v>3</v>
      </c>
      <c r="B10" s="54" t="s">
        <v>49</v>
      </c>
      <c r="C10" s="43" t="s">
        <v>45</v>
      </c>
      <c r="D10" s="43" t="str">
        <f>D7</f>
        <v>First</v>
      </c>
      <c r="E10" s="53">
        <f>E7</f>
        <v>45</v>
      </c>
      <c r="F10" s="53"/>
      <c r="G10" s="45">
        <v>23669746</v>
      </c>
      <c r="H10" s="46">
        <v>1.73142</v>
      </c>
      <c r="I10" s="45">
        <f>ROUND(G10*H10,0)</f>
        <v>40982272</v>
      </c>
      <c r="J10" s="51"/>
      <c r="K10" s="45">
        <f>M10*G10</f>
        <v>814841.88193047966</v>
      </c>
      <c r="L10" s="49">
        <f>L12</f>
        <v>1.9882789551039531E-2</v>
      </c>
      <c r="M10" s="50">
        <f t="shared" ref="M10:M11" si="0">L10*H10</f>
        <v>3.4425459484460866E-2</v>
      </c>
      <c r="N10" s="50">
        <v>0</v>
      </c>
      <c r="O10" s="50">
        <f>M10-N10</f>
        <v>3.4425459484460866E-2</v>
      </c>
      <c r="Q10" s="115"/>
      <c r="R10" s="117">
        <v>2.0315099999999999</v>
      </c>
      <c r="S10" s="50"/>
      <c r="T10" s="50">
        <f>R10+O10</f>
        <v>2.0659354594844608</v>
      </c>
      <c r="U10" s="115"/>
      <c r="V10" s="50">
        <v>7.5436300000000003</v>
      </c>
      <c r="W10" s="115"/>
      <c r="X10" s="114">
        <f>V10+O10</f>
        <v>7.5780554594844611</v>
      </c>
    </row>
    <row r="11" spans="1:24" x14ac:dyDescent="0.2">
      <c r="A11" s="26">
        <f>A10+1</f>
        <v>4</v>
      </c>
      <c r="B11" s="54"/>
      <c r="C11" s="43" t="s">
        <v>47</v>
      </c>
      <c r="D11" s="43" t="str">
        <f>D8</f>
        <v>Over</v>
      </c>
      <c r="E11" s="53">
        <f>E8</f>
        <v>45</v>
      </c>
      <c r="F11" s="53"/>
      <c r="G11" s="45">
        <v>4538816</v>
      </c>
      <c r="H11" s="46">
        <v>0.73141999999999996</v>
      </c>
      <c r="I11" s="45">
        <f>ROUND(G11*H11,0)</f>
        <v>3319781</v>
      </c>
      <c r="J11" s="51"/>
      <c r="K11" s="45">
        <f>M11*G11</f>
        <v>66006.502976531687</v>
      </c>
      <c r="L11" s="49">
        <f>L12</f>
        <v>1.9882789551039531E-2</v>
      </c>
      <c r="M11" s="50">
        <f t="shared" si="0"/>
        <v>1.4542669933421333E-2</v>
      </c>
      <c r="N11" s="50">
        <v>0</v>
      </c>
      <c r="O11" s="50">
        <f>M11-N11</f>
        <v>1.4542669933421333E-2</v>
      </c>
      <c r="Q11" s="115"/>
      <c r="R11" s="117">
        <v>1.08978</v>
      </c>
      <c r="S11" s="50"/>
      <c r="T11" s="50">
        <f>R11+O11</f>
        <v>1.1043226699334212</v>
      </c>
      <c r="U11" s="115"/>
      <c r="V11" s="50">
        <v>6.6018999999999997</v>
      </c>
      <c r="W11" s="115"/>
      <c r="X11" s="114">
        <f>V11+O11</f>
        <v>6.6164426699334209</v>
      </c>
    </row>
    <row r="12" spans="1:24" ht="13.5" thickBot="1" x14ac:dyDescent="0.25">
      <c r="A12" s="26">
        <f>A11+1</f>
        <v>5</v>
      </c>
      <c r="B12" s="55" t="s">
        <v>50</v>
      </c>
      <c r="C12" s="28"/>
      <c r="D12" s="43"/>
      <c r="E12" s="53"/>
      <c r="F12" s="53"/>
      <c r="G12" s="56">
        <f>SUM(G10:G11,G7:G8)</f>
        <v>100558813</v>
      </c>
      <c r="H12" s="57"/>
      <c r="I12" s="56">
        <f>SUM(I7:I11)</f>
        <v>198695969</v>
      </c>
      <c r="J12" s="58"/>
      <c r="K12" s="56">
        <v>3950630.1362668746</v>
      </c>
      <c r="L12" s="59">
        <f>K12/I12</f>
        <v>1.9882789551039531E-2</v>
      </c>
      <c r="M12" s="56"/>
      <c r="N12" s="56"/>
      <c r="O12" s="56"/>
      <c r="Q12" s="115"/>
      <c r="R12" s="50"/>
      <c r="S12" s="50"/>
      <c r="T12" s="50"/>
      <c r="U12" s="115"/>
      <c r="V12" s="50"/>
      <c r="W12" s="115"/>
    </row>
    <row r="13" spans="1:24" ht="14.25" thickTop="1" thickBot="1" x14ac:dyDescent="0.25">
      <c r="A13" s="26"/>
      <c r="B13" s="65"/>
      <c r="C13" s="65"/>
      <c r="D13" s="65"/>
      <c r="E13" s="66"/>
      <c r="F13" s="34"/>
      <c r="G13" s="67"/>
      <c r="H13" s="65"/>
      <c r="I13" s="67"/>
      <c r="J13" s="67"/>
      <c r="K13" s="67"/>
      <c r="L13" s="67"/>
      <c r="M13" s="67"/>
      <c r="N13" s="67"/>
      <c r="O13" s="67"/>
      <c r="Q13" s="115"/>
      <c r="R13" s="50"/>
      <c r="S13" s="50"/>
      <c r="T13" s="50"/>
      <c r="U13" s="115"/>
      <c r="V13" s="50"/>
      <c r="W13" s="115"/>
    </row>
    <row r="14" spans="1:24" x14ac:dyDescent="0.2">
      <c r="A14" s="26"/>
      <c r="B14" s="33"/>
      <c r="C14" s="33"/>
      <c r="D14" s="33"/>
      <c r="E14" s="34"/>
      <c r="F14" s="34"/>
      <c r="G14" s="68"/>
      <c r="H14" s="33"/>
      <c r="I14" s="68"/>
      <c r="J14" s="68"/>
      <c r="K14" s="35" t="s">
        <v>32</v>
      </c>
      <c r="L14" s="68"/>
      <c r="M14" s="35" t="s">
        <v>32</v>
      </c>
      <c r="N14" s="35"/>
      <c r="O14" s="35"/>
      <c r="Q14" s="115"/>
      <c r="R14" s="50"/>
      <c r="S14" s="50"/>
      <c r="T14" s="50"/>
      <c r="U14" s="115"/>
      <c r="V14" s="50"/>
      <c r="W14" s="115"/>
    </row>
    <row r="15" spans="1:24" x14ac:dyDescent="0.2">
      <c r="A15" s="26"/>
      <c r="B15" s="32" t="s">
        <v>51</v>
      </c>
      <c r="C15" s="33"/>
      <c r="D15" s="33"/>
      <c r="E15" s="34"/>
      <c r="F15" s="34"/>
      <c r="G15" s="125" t="s">
        <v>31</v>
      </c>
      <c r="H15" s="125"/>
      <c r="I15" s="125"/>
      <c r="J15" s="33"/>
      <c r="K15" s="35" t="s">
        <v>35</v>
      </c>
      <c r="L15" s="36" t="s">
        <v>52</v>
      </c>
      <c r="M15" s="35" t="s">
        <v>35</v>
      </c>
      <c r="N15" s="35"/>
      <c r="O15" s="35"/>
      <c r="Q15" s="115"/>
      <c r="R15" s="50"/>
      <c r="S15" s="50"/>
      <c r="T15" s="50"/>
      <c r="U15" s="115"/>
      <c r="V15" s="50"/>
      <c r="W15" s="115"/>
    </row>
    <row r="16" spans="1:24" ht="13.5" thickBot="1" x14ac:dyDescent="0.25">
      <c r="A16" s="26"/>
      <c r="B16" s="37" t="s">
        <v>38</v>
      </c>
      <c r="C16" s="38"/>
      <c r="D16" s="38"/>
      <c r="E16" s="39" t="s">
        <v>39</v>
      </c>
      <c r="F16" s="40"/>
      <c r="G16" s="41" t="s">
        <v>39</v>
      </c>
      <c r="H16" s="41" t="s">
        <v>40</v>
      </c>
      <c r="I16" s="42" t="s">
        <v>41</v>
      </c>
      <c r="J16" s="33"/>
      <c r="K16" s="41" t="s">
        <v>1</v>
      </c>
      <c r="L16" s="41" t="s">
        <v>42</v>
      </c>
      <c r="M16" s="41" t="s">
        <v>43</v>
      </c>
      <c r="N16" s="41"/>
      <c r="O16" s="41"/>
      <c r="Q16" s="115"/>
      <c r="R16" s="50"/>
      <c r="S16" s="50"/>
      <c r="T16" s="50"/>
      <c r="U16" s="115"/>
      <c r="V16" s="50"/>
      <c r="W16" s="115"/>
    </row>
    <row r="17" spans="1:24" x14ac:dyDescent="0.2">
      <c r="A17" s="26">
        <f>A12+1</f>
        <v>6</v>
      </c>
      <c r="B17" s="69" t="s">
        <v>53</v>
      </c>
      <c r="C17" s="43"/>
      <c r="D17" s="43" t="s">
        <v>54</v>
      </c>
      <c r="E17" s="53">
        <v>0</v>
      </c>
      <c r="F17" s="53"/>
      <c r="G17" s="45">
        <f>418704+269776</f>
        <v>688480</v>
      </c>
      <c r="H17" s="46">
        <v>5.4316399999999998</v>
      </c>
      <c r="I17" s="45">
        <f>ROUND(G17*H17,0)</f>
        <v>3739576</v>
      </c>
      <c r="J17" s="51"/>
      <c r="K17" s="45">
        <v>52995.221506877147</v>
      </c>
      <c r="L17" s="70">
        <f>K17/I17</f>
        <v>1.4171451925800452E-2</v>
      </c>
      <c r="M17" s="50">
        <f t="shared" ref="M17" si="1">L17*H17</f>
        <v>7.6974225138254762E-2</v>
      </c>
      <c r="N17" s="50">
        <v>0</v>
      </c>
      <c r="O17" s="50">
        <f>M17-N17</f>
        <v>7.6974225138254762E-2</v>
      </c>
      <c r="Q17" s="115"/>
      <c r="R17" s="117">
        <v>5.4527900000000002</v>
      </c>
      <c r="S17" s="50"/>
      <c r="T17" s="50">
        <f>R17+O17</f>
        <v>5.5297642251382548</v>
      </c>
      <c r="U17" s="115"/>
      <c r="V17" s="50">
        <v>11.214840000000001</v>
      </c>
      <c r="W17" s="115"/>
      <c r="X17" s="114">
        <f>V17+O17</f>
        <v>11.291814225138255</v>
      </c>
    </row>
    <row r="18" spans="1:24" x14ac:dyDescent="0.2">
      <c r="A18" s="26"/>
      <c r="B18" s="69"/>
      <c r="C18" s="43"/>
      <c r="D18" s="43"/>
      <c r="E18" s="53"/>
      <c r="F18" s="53"/>
      <c r="G18" s="45"/>
      <c r="H18" s="46"/>
      <c r="I18" s="45"/>
      <c r="J18" s="51"/>
      <c r="K18" s="45"/>
      <c r="L18" s="71"/>
      <c r="M18" s="50"/>
      <c r="N18" s="50"/>
      <c r="O18" s="50"/>
      <c r="Q18" s="115"/>
      <c r="R18" s="50"/>
      <c r="S18" s="50"/>
      <c r="T18" s="50"/>
      <c r="U18" s="115"/>
      <c r="V18" s="50"/>
      <c r="W18" s="115"/>
    </row>
    <row r="19" spans="1:24" ht="13.5" thickBot="1" x14ac:dyDescent="0.25">
      <c r="A19" s="26"/>
      <c r="B19" s="66"/>
      <c r="C19" s="66"/>
      <c r="D19" s="66"/>
      <c r="E19" s="66"/>
      <c r="F19" s="34"/>
      <c r="G19" s="72"/>
      <c r="H19" s="73"/>
      <c r="I19" s="73"/>
      <c r="J19" s="33"/>
      <c r="K19" s="72"/>
      <c r="L19" s="73"/>
      <c r="M19" s="73"/>
      <c r="N19" s="73"/>
      <c r="O19" s="73"/>
      <c r="Q19" s="115"/>
      <c r="R19" s="50"/>
      <c r="S19" s="50"/>
      <c r="T19" s="50"/>
      <c r="U19" s="115"/>
      <c r="V19" s="50"/>
      <c r="W19" s="115"/>
    </row>
    <row r="20" spans="1:24" x14ac:dyDescent="0.2">
      <c r="A20" s="26"/>
      <c r="B20" s="34"/>
      <c r="C20" s="34"/>
      <c r="D20" s="34"/>
      <c r="E20" s="34"/>
      <c r="F20" s="34"/>
      <c r="G20" s="74"/>
      <c r="H20" s="75"/>
      <c r="I20" s="75"/>
      <c r="J20" s="33"/>
      <c r="K20" s="35" t="s">
        <v>32</v>
      </c>
      <c r="L20" s="75"/>
      <c r="M20" s="35" t="s">
        <v>32</v>
      </c>
      <c r="N20" s="35"/>
      <c r="O20" s="35"/>
      <c r="Q20" s="115"/>
      <c r="R20" s="50"/>
      <c r="S20" s="50"/>
      <c r="T20" s="50"/>
      <c r="U20" s="115"/>
      <c r="V20" s="50"/>
      <c r="W20" s="115"/>
    </row>
    <row r="21" spans="1:24" x14ac:dyDescent="0.2">
      <c r="A21" s="26"/>
      <c r="B21" s="32" t="s">
        <v>55</v>
      </c>
      <c r="C21" s="34"/>
      <c r="D21" s="34"/>
      <c r="E21" s="34"/>
      <c r="F21" s="35"/>
      <c r="G21" s="125" t="s">
        <v>31</v>
      </c>
      <c r="H21" s="125"/>
      <c r="I21" s="125"/>
      <c r="J21" s="33"/>
      <c r="K21" s="35" t="s">
        <v>35</v>
      </c>
      <c r="L21" s="36" t="s">
        <v>52</v>
      </c>
      <c r="M21" s="35" t="s">
        <v>35</v>
      </c>
      <c r="N21" s="35"/>
      <c r="O21" s="35"/>
      <c r="Q21" s="115"/>
      <c r="R21" s="50"/>
      <c r="S21" s="50"/>
      <c r="T21" s="50"/>
      <c r="U21" s="115"/>
      <c r="V21" s="50"/>
      <c r="W21" s="115"/>
    </row>
    <row r="22" spans="1:24" ht="13.5" thickBot="1" x14ac:dyDescent="0.25">
      <c r="A22" s="26"/>
      <c r="B22" s="37" t="s">
        <v>38</v>
      </c>
      <c r="C22" s="38"/>
      <c r="D22" s="38"/>
      <c r="E22" s="39" t="s">
        <v>39</v>
      </c>
      <c r="F22" s="40"/>
      <c r="G22" s="41" t="s">
        <v>39</v>
      </c>
      <c r="H22" s="41" t="s">
        <v>40</v>
      </c>
      <c r="I22" s="42" t="s">
        <v>41</v>
      </c>
      <c r="J22" s="33"/>
      <c r="K22" s="41" t="s">
        <v>1</v>
      </c>
      <c r="L22" s="41" t="s">
        <v>42</v>
      </c>
      <c r="M22" s="41" t="s">
        <v>43</v>
      </c>
      <c r="N22" s="41"/>
      <c r="O22" s="41"/>
      <c r="Q22" s="115"/>
      <c r="R22" s="50"/>
      <c r="S22" s="50"/>
      <c r="T22" s="50"/>
      <c r="U22" s="115"/>
      <c r="V22" s="50"/>
      <c r="W22" s="115"/>
    </row>
    <row r="23" spans="1:24" x14ac:dyDescent="0.2">
      <c r="A23" s="26">
        <f>A17+1</f>
        <v>7</v>
      </c>
      <c r="B23" s="43" t="s">
        <v>44</v>
      </c>
      <c r="C23" s="43" t="s">
        <v>45</v>
      </c>
      <c r="D23" s="43" t="s">
        <v>46</v>
      </c>
      <c r="E23" s="53">
        <v>200</v>
      </c>
      <c r="F23" s="53"/>
      <c r="G23" s="45">
        <v>555104</v>
      </c>
      <c r="H23" s="46">
        <v>1.24695</v>
      </c>
      <c r="I23" s="45">
        <f>ROUND(G23*H23,0)</f>
        <v>692187</v>
      </c>
      <c r="J23" s="51"/>
      <c r="K23" s="45">
        <f>M23*G23</f>
        <v>11052.573432354908</v>
      </c>
      <c r="L23" s="76">
        <f>L30</f>
        <v>1.5967613528394115E-2</v>
      </c>
      <c r="M23" s="46">
        <f t="shared" ref="M23:M25" si="2">L23*H23</f>
        <v>1.9910815689231042E-2</v>
      </c>
      <c r="N23" s="46">
        <v>0</v>
      </c>
      <c r="O23" s="46">
        <f>M23-N23</f>
        <v>1.9910815689231042E-2</v>
      </c>
      <c r="Q23" s="115"/>
      <c r="R23" s="117">
        <v>1.2575700000000001</v>
      </c>
      <c r="S23" s="50"/>
      <c r="T23" s="50">
        <f>R23+O23</f>
        <v>1.2774808156892312</v>
      </c>
      <c r="U23" s="115"/>
      <c r="V23" s="50">
        <v>7.2697599999999998</v>
      </c>
      <c r="W23" s="115"/>
      <c r="X23" s="114">
        <f>V23+O23</f>
        <v>7.2896708156892309</v>
      </c>
    </row>
    <row r="24" spans="1:24" x14ac:dyDescent="0.2">
      <c r="A24" s="26">
        <f>A23+1</f>
        <v>8</v>
      </c>
      <c r="B24" s="52"/>
      <c r="C24" s="43" t="s">
        <v>47</v>
      </c>
      <c r="D24" s="43" t="s">
        <v>48</v>
      </c>
      <c r="E24" s="53">
        <v>1800</v>
      </c>
      <c r="F24" s="53"/>
      <c r="G24" s="45">
        <v>1257172</v>
      </c>
      <c r="H24" s="46">
        <v>0.86695</v>
      </c>
      <c r="I24" s="45">
        <f>ROUND(G24*H24,0)</f>
        <v>1089905</v>
      </c>
      <c r="J24" s="51"/>
      <c r="K24" s="45">
        <f>M24*G24</f>
        <v>17403.186060469019</v>
      </c>
      <c r="L24" s="76">
        <f>L30</f>
        <v>1.5967613528394115E-2</v>
      </c>
      <c r="M24" s="46">
        <f t="shared" si="2"/>
        <v>1.3843122548441278E-2</v>
      </c>
      <c r="N24" s="46">
        <v>0</v>
      </c>
      <c r="O24" s="46">
        <f>M24-N24</f>
        <v>1.3843122548441278E-2</v>
      </c>
      <c r="Q24" s="115"/>
      <c r="R24" s="117">
        <v>0.87756999999999996</v>
      </c>
      <c r="S24" s="50"/>
      <c r="T24" s="50">
        <f t="shared" ref="T24:T25" si="3">R24+O24</f>
        <v>0.89141312254844118</v>
      </c>
      <c r="U24" s="115"/>
      <c r="V24" s="50">
        <v>6.8897599999999999</v>
      </c>
      <c r="W24" s="115"/>
      <c r="X24" s="114">
        <f t="shared" ref="X24:X25" si="4">V24+O24</f>
        <v>6.9036031225484411</v>
      </c>
    </row>
    <row r="25" spans="1:24" x14ac:dyDescent="0.2">
      <c r="A25" s="26">
        <f>A24+1</f>
        <v>9</v>
      </c>
      <c r="B25" s="52"/>
      <c r="C25" s="43" t="s">
        <v>56</v>
      </c>
      <c r="D25" s="43" t="s">
        <v>54</v>
      </c>
      <c r="E25" s="53">
        <v>2000</v>
      </c>
      <c r="F25" s="53"/>
      <c r="G25" s="45">
        <v>678414</v>
      </c>
      <c r="H25" s="46">
        <v>0.46694999999999998</v>
      </c>
      <c r="I25" s="45">
        <f>ROUND(G25*H25,0)</f>
        <v>316785</v>
      </c>
      <c r="J25" s="51"/>
      <c r="K25" s="45">
        <f>M25*G25</f>
        <v>5058.3071148774552</v>
      </c>
      <c r="L25" s="76">
        <f>L30</f>
        <v>1.5967613528394115E-2</v>
      </c>
      <c r="M25" s="46">
        <f t="shared" si="2"/>
        <v>7.456077137083632E-3</v>
      </c>
      <c r="N25" s="46">
        <v>0</v>
      </c>
      <c r="O25" s="46">
        <f>M25-N25</f>
        <v>7.456077137083632E-3</v>
      </c>
      <c r="Q25" s="115"/>
      <c r="R25" s="117">
        <v>0.47756999999999999</v>
      </c>
      <c r="S25" s="50"/>
      <c r="T25" s="50">
        <f t="shared" si="3"/>
        <v>0.48502607713708362</v>
      </c>
      <c r="U25" s="115"/>
      <c r="V25" s="50">
        <v>6.4897600000000004</v>
      </c>
      <c r="W25" s="115"/>
      <c r="X25" s="114">
        <f t="shared" si="4"/>
        <v>6.4972160771370842</v>
      </c>
    </row>
    <row r="26" spans="1:24" x14ac:dyDescent="0.2">
      <c r="A26" s="26"/>
      <c r="B26" s="52" t="s">
        <v>57</v>
      </c>
      <c r="C26" s="43"/>
      <c r="D26" s="43"/>
      <c r="E26" s="53"/>
      <c r="F26" s="53"/>
      <c r="G26" s="45"/>
      <c r="H26" s="77"/>
      <c r="I26" s="47"/>
      <c r="J26" s="51"/>
      <c r="K26" s="45"/>
      <c r="L26" s="76"/>
      <c r="M26" s="46"/>
      <c r="N26" s="46"/>
      <c r="O26" s="46"/>
      <c r="Q26" s="115"/>
      <c r="R26" s="50"/>
      <c r="S26" s="50"/>
      <c r="T26" s="50"/>
      <c r="U26" s="115"/>
      <c r="V26" s="50"/>
      <c r="W26" s="115"/>
    </row>
    <row r="27" spans="1:24" x14ac:dyDescent="0.2">
      <c r="A27" s="26">
        <f>A25+1</f>
        <v>10</v>
      </c>
      <c r="B27" s="54" t="s">
        <v>49</v>
      </c>
      <c r="C27" s="43" t="s">
        <v>45</v>
      </c>
      <c r="D27" s="43" t="str">
        <f t="shared" ref="D27:E27" si="5">D23</f>
        <v>First</v>
      </c>
      <c r="E27" s="53">
        <f t="shared" si="5"/>
        <v>200</v>
      </c>
      <c r="F27" s="53"/>
      <c r="G27" s="45">
        <v>728719</v>
      </c>
      <c r="H27" s="46">
        <v>0.8206</v>
      </c>
      <c r="I27" s="45">
        <f>ROUND(G27*H27,0)</f>
        <v>597987</v>
      </c>
      <c r="J27" s="51"/>
      <c r="K27" s="45">
        <f>M27*G27</f>
        <v>9548.4222995118998</v>
      </c>
      <c r="L27" s="76">
        <f>L30</f>
        <v>1.5967613528394115E-2</v>
      </c>
      <c r="M27" s="46">
        <f t="shared" ref="M27:M29" si="6">L27*H27</f>
        <v>1.3103023661400211E-2</v>
      </c>
      <c r="N27" s="46">
        <v>0</v>
      </c>
      <c r="O27" s="46">
        <f>M27-N27</f>
        <v>1.3103023661400211E-2</v>
      </c>
      <c r="Q27" s="115"/>
      <c r="R27" s="117">
        <v>0.83121999999999996</v>
      </c>
      <c r="S27" s="50"/>
      <c r="T27" s="50">
        <f>R27+O27</f>
        <v>0.84432302366140022</v>
      </c>
      <c r="U27" s="115"/>
      <c r="V27" s="50">
        <v>6.3433400000000004</v>
      </c>
      <c r="W27" s="115"/>
      <c r="X27" s="114">
        <f>V27+O27</f>
        <v>6.3564430236614005</v>
      </c>
    </row>
    <row r="28" spans="1:24" x14ac:dyDescent="0.2">
      <c r="A28" s="26">
        <f>A27+1</f>
        <v>11</v>
      </c>
      <c r="B28" s="54"/>
      <c r="C28" s="43" t="s">
        <v>47</v>
      </c>
      <c r="D28" s="43" t="str">
        <f>D24</f>
        <v>Next</v>
      </c>
      <c r="E28" s="53">
        <f>E24</f>
        <v>1800</v>
      </c>
      <c r="F28" s="53"/>
      <c r="G28" s="45">
        <v>1254561</v>
      </c>
      <c r="H28" s="46">
        <v>0.44059999999999999</v>
      </c>
      <c r="I28" s="45">
        <f>ROUND(G28*H28,0)</f>
        <v>552760</v>
      </c>
      <c r="J28" s="51"/>
      <c r="K28" s="45">
        <f>M28*G28</f>
        <v>8826.2512932675636</v>
      </c>
      <c r="L28" s="76">
        <f>L30</f>
        <v>1.5967613528394115E-2</v>
      </c>
      <c r="M28" s="46">
        <f t="shared" si="6"/>
        <v>7.0353305206104473E-3</v>
      </c>
      <c r="N28" s="46">
        <v>0</v>
      </c>
      <c r="O28" s="46">
        <f>M28-N28</f>
        <v>7.0353305206104473E-3</v>
      </c>
      <c r="Q28" s="115"/>
      <c r="R28" s="117">
        <v>0.45122000000000001</v>
      </c>
      <c r="S28" s="50"/>
      <c r="T28" s="50">
        <f t="shared" ref="T28:T29" si="7">R28+O28</f>
        <v>0.45825533052061046</v>
      </c>
      <c r="U28" s="115"/>
      <c r="V28" s="50">
        <v>5.9633399999999996</v>
      </c>
      <c r="W28" s="115"/>
      <c r="X28" s="114">
        <f t="shared" ref="X28" si="8">V28+O28</f>
        <v>5.9703753305206098</v>
      </c>
    </row>
    <row r="29" spans="1:24" x14ac:dyDescent="0.2">
      <c r="A29" s="26">
        <f>A28+1</f>
        <v>12</v>
      </c>
      <c r="B29" s="54"/>
      <c r="C29" s="43" t="s">
        <v>56</v>
      </c>
      <c r="D29" s="43" t="str">
        <f>D25</f>
        <v>All Over</v>
      </c>
      <c r="E29" s="53">
        <f>E25</f>
        <v>2000</v>
      </c>
      <c r="F29" s="53"/>
      <c r="G29" s="45">
        <v>403211</v>
      </c>
      <c r="H29" s="46">
        <v>4.0599999999999997E-2</v>
      </c>
      <c r="I29" s="45">
        <f>ROUND(G29*H29,0)</f>
        <v>16370</v>
      </c>
      <c r="J29" s="51"/>
      <c r="K29" s="45">
        <f>M29*G29</f>
        <v>261.39568718693113</v>
      </c>
      <c r="L29" s="76">
        <f>L30</f>
        <v>1.5967613528394115E-2</v>
      </c>
      <c r="M29" s="46">
        <f t="shared" si="6"/>
        <v>6.48285109252801E-4</v>
      </c>
      <c r="N29" s="46">
        <v>0</v>
      </c>
      <c r="O29" s="46">
        <f>M29-N29</f>
        <v>6.48285109252801E-4</v>
      </c>
      <c r="Q29" s="115"/>
      <c r="R29" s="117">
        <v>5.1220000000000002E-2</v>
      </c>
      <c r="S29" s="50"/>
      <c r="T29" s="50">
        <f t="shared" si="7"/>
        <v>5.1868285109252801E-2</v>
      </c>
      <c r="U29" s="115"/>
      <c r="V29" s="50">
        <v>5.5633400000000002</v>
      </c>
      <c r="W29" s="115"/>
      <c r="X29" s="114">
        <f>V29+O29</f>
        <v>5.5639882851092528</v>
      </c>
    </row>
    <row r="30" spans="1:24" x14ac:dyDescent="0.2">
      <c r="A30" s="26">
        <f>A29+1</f>
        <v>13</v>
      </c>
      <c r="B30" s="55" t="s">
        <v>50</v>
      </c>
      <c r="C30" s="28"/>
      <c r="D30" s="43"/>
      <c r="E30" s="53"/>
      <c r="F30" s="53"/>
      <c r="G30" s="78">
        <f>SUM(G23:G29)</f>
        <v>4877181</v>
      </c>
      <c r="H30" s="79"/>
      <c r="I30" s="78">
        <f>SUM(I23:I29)</f>
        <v>3265994</v>
      </c>
      <c r="J30" s="51"/>
      <c r="K30" s="78">
        <v>52150.129978054014</v>
      </c>
      <c r="L30" s="70">
        <f>K30/I30</f>
        <v>1.5967613528394115E-2</v>
      </c>
      <c r="M30" s="78"/>
      <c r="N30" s="78"/>
      <c r="O30" s="78"/>
      <c r="Q30" s="115"/>
      <c r="R30" s="50"/>
      <c r="S30" s="50"/>
      <c r="T30" s="50"/>
      <c r="U30" s="115"/>
      <c r="V30" s="50"/>
      <c r="W30" s="115"/>
    </row>
    <row r="31" spans="1:24" x14ac:dyDescent="0.2">
      <c r="A31" s="26"/>
      <c r="B31" s="55"/>
      <c r="C31" s="28"/>
      <c r="D31" s="43"/>
      <c r="E31" s="53"/>
      <c r="F31" s="53"/>
      <c r="G31" s="80"/>
      <c r="H31" s="81"/>
      <c r="I31" s="80"/>
      <c r="J31" s="51"/>
      <c r="K31" s="80"/>
      <c r="L31" s="71"/>
      <c r="M31" s="80"/>
      <c r="N31" s="80"/>
      <c r="O31" s="80"/>
      <c r="Q31" s="115"/>
      <c r="R31" s="50"/>
      <c r="S31" s="50"/>
      <c r="T31" s="50"/>
      <c r="U31" s="115"/>
      <c r="V31" s="50"/>
      <c r="W31" s="115"/>
    </row>
    <row r="32" spans="1:24" ht="13.5" thickBot="1" x14ac:dyDescent="0.25">
      <c r="A32" s="26"/>
      <c r="B32" s="65"/>
      <c r="C32" s="65"/>
      <c r="D32" s="65"/>
      <c r="E32" s="66"/>
      <c r="F32" s="34"/>
      <c r="G32" s="67"/>
      <c r="H32" s="65"/>
      <c r="I32" s="67"/>
      <c r="J32" s="68"/>
      <c r="K32" s="67"/>
      <c r="L32" s="65"/>
      <c r="M32" s="67"/>
      <c r="N32" s="67"/>
      <c r="O32" s="67"/>
      <c r="Q32" s="115"/>
      <c r="R32" s="50"/>
      <c r="S32" s="50"/>
      <c r="T32" s="50"/>
      <c r="U32" s="115"/>
      <c r="V32" s="50"/>
      <c r="W32" s="115"/>
    </row>
    <row r="33" spans="1:24" x14ac:dyDescent="0.2">
      <c r="A33" s="26"/>
      <c r="B33" s="33"/>
      <c r="C33" s="33"/>
      <c r="D33" s="33"/>
      <c r="E33" s="34"/>
      <c r="F33" s="34"/>
      <c r="G33" s="68"/>
      <c r="H33" s="33"/>
      <c r="I33" s="68"/>
      <c r="J33" s="68"/>
      <c r="K33" s="35" t="s">
        <v>32</v>
      </c>
      <c r="L33" s="33"/>
      <c r="M33" s="35" t="s">
        <v>32</v>
      </c>
      <c r="N33" s="35"/>
      <c r="O33" s="35"/>
      <c r="Q33" s="115"/>
      <c r="R33" s="50"/>
      <c r="S33" s="50"/>
      <c r="T33" s="50"/>
      <c r="U33" s="115"/>
      <c r="V33" s="50"/>
      <c r="W33" s="115"/>
    </row>
    <row r="34" spans="1:24" x14ac:dyDescent="0.2">
      <c r="A34" s="26"/>
      <c r="B34" s="32" t="s">
        <v>58</v>
      </c>
      <c r="C34" s="33"/>
      <c r="D34" s="33"/>
      <c r="E34" s="36"/>
      <c r="F34" s="36"/>
      <c r="G34" s="125" t="s">
        <v>31</v>
      </c>
      <c r="H34" s="125"/>
      <c r="I34" s="125"/>
      <c r="J34" s="33"/>
      <c r="K34" s="35" t="s">
        <v>35</v>
      </c>
      <c r="L34" s="36" t="s">
        <v>52</v>
      </c>
      <c r="M34" s="35" t="s">
        <v>35</v>
      </c>
      <c r="N34" s="35"/>
      <c r="O34" s="35"/>
      <c r="Q34" s="115"/>
      <c r="R34" s="50"/>
      <c r="S34" s="50"/>
      <c r="T34" s="50"/>
      <c r="U34" s="115"/>
      <c r="V34" s="50"/>
      <c r="W34" s="115"/>
    </row>
    <row r="35" spans="1:24" ht="13.5" thickBot="1" x14ac:dyDescent="0.25">
      <c r="A35" s="26"/>
      <c r="B35" s="37" t="s">
        <v>38</v>
      </c>
      <c r="C35" s="38"/>
      <c r="D35" s="38"/>
      <c r="E35" s="39" t="s">
        <v>39</v>
      </c>
      <c r="F35" s="40"/>
      <c r="G35" s="41" t="s">
        <v>39</v>
      </c>
      <c r="H35" s="41" t="s">
        <v>40</v>
      </c>
      <c r="I35" s="42" t="s">
        <v>41</v>
      </c>
      <c r="J35" s="33"/>
      <c r="K35" s="41" t="s">
        <v>1</v>
      </c>
      <c r="L35" s="41" t="s">
        <v>42</v>
      </c>
      <c r="M35" s="41" t="s">
        <v>43</v>
      </c>
      <c r="N35" s="41"/>
      <c r="O35" s="41"/>
      <c r="Q35" s="115"/>
      <c r="R35" s="50"/>
      <c r="S35" s="50"/>
      <c r="T35" s="50"/>
      <c r="U35" s="115"/>
      <c r="V35" s="50"/>
      <c r="W35" s="115"/>
    </row>
    <row r="36" spans="1:24" x14ac:dyDescent="0.2">
      <c r="A36" s="26">
        <f>A30+1</f>
        <v>14</v>
      </c>
      <c r="B36" s="43"/>
      <c r="C36" s="43" t="s">
        <v>45</v>
      </c>
      <c r="D36" s="43" t="s">
        <v>46</v>
      </c>
      <c r="E36" s="82">
        <v>2000</v>
      </c>
      <c r="F36" s="83"/>
      <c r="G36" s="45">
        <f>744222+590334</f>
        <v>1334556</v>
      </c>
      <c r="H36" s="46">
        <v>0.42249999999999999</v>
      </c>
      <c r="I36" s="45">
        <f>ROUND(G36*H36,0)</f>
        <v>563850</v>
      </c>
      <c r="J36" s="51"/>
      <c r="K36" s="45">
        <f>M36*G36</f>
        <v>11498.869381596545</v>
      </c>
      <c r="L36" s="49">
        <f>L39</f>
        <v>2.0393493335126266E-2</v>
      </c>
      <c r="M36" s="46">
        <f t="shared" ref="M36:M38" si="9">L36*H36</f>
        <v>8.616250934090847E-3</v>
      </c>
      <c r="N36" s="46">
        <v>0</v>
      </c>
      <c r="O36" s="46">
        <f>M36-N36</f>
        <v>8.616250934090847E-3</v>
      </c>
      <c r="Q36" s="115"/>
      <c r="R36" s="117">
        <v>0.43048999999999998</v>
      </c>
      <c r="S36" s="50"/>
      <c r="T36" s="50">
        <f>R36+O36</f>
        <v>0.43910625093409084</v>
      </c>
      <c r="U36" s="115"/>
      <c r="V36" s="50">
        <v>5.6564199999999998</v>
      </c>
      <c r="W36" s="115"/>
      <c r="X36" s="114">
        <f>V36+O36</f>
        <v>5.665036250934091</v>
      </c>
    </row>
    <row r="37" spans="1:24" x14ac:dyDescent="0.2">
      <c r="A37" s="26">
        <f>A36+1</f>
        <v>15</v>
      </c>
      <c r="B37" s="52"/>
      <c r="C37" s="43" t="s">
        <v>47</v>
      </c>
      <c r="D37" s="43" t="s">
        <v>48</v>
      </c>
      <c r="E37" s="82">
        <v>18000</v>
      </c>
      <c r="F37" s="83"/>
      <c r="G37" s="45">
        <f>682387+609462</f>
        <v>1291849</v>
      </c>
      <c r="H37" s="46">
        <v>6.3799999999999996E-2</v>
      </c>
      <c r="I37" s="45">
        <f>ROUND(G37*H37,0)</f>
        <v>82420</v>
      </c>
      <c r="J37" s="51"/>
      <c r="K37" s="45">
        <f>M37*G37</f>
        <v>1680.8310313810321</v>
      </c>
      <c r="L37" s="49">
        <f>L39</f>
        <v>2.0393493335126266E-2</v>
      </c>
      <c r="M37" s="46">
        <f t="shared" si="9"/>
        <v>1.3011048747810557E-3</v>
      </c>
      <c r="N37" s="46">
        <v>0</v>
      </c>
      <c r="O37" s="46">
        <f>M37-N37</f>
        <v>1.3011048747810557E-3</v>
      </c>
      <c r="Q37" s="115"/>
      <c r="R37" s="117">
        <v>7.1790000000000007E-2</v>
      </c>
      <c r="S37" s="50"/>
      <c r="T37" s="50">
        <f t="shared" ref="T37:T38" si="10">R37+O37</f>
        <v>7.3091104874781057E-2</v>
      </c>
      <c r="U37" s="115"/>
      <c r="V37" s="50">
        <v>5.29772</v>
      </c>
      <c r="W37" s="115"/>
      <c r="X37" s="114">
        <f t="shared" ref="X37:X38" si="11">V37+O37</f>
        <v>5.2990211048747806</v>
      </c>
    </row>
    <row r="38" spans="1:24" x14ac:dyDescent="0.2">
      <c r="A38" s="26">
        <f>A37+1</f>
        <v>16</v>
      </c>
      <c r="B38" s="52"/>
      <c r="C38" s="43" t="s">
        <v>56</v>
      </c>
      <c r="D38" s="43" t="s">
        <v>54</v>
      </c>
      <c r="E38" s="82">
        <v>20000</v>
      </c>
      <c r="F38" s="83"/>
      <c r="G38" s="45">
        <f>10436+5861</f>
        <v>16297</v>
      </c>
      <c r="H38" s="46">
        <v>3.7560000000000003E-2</v>
      </c>
      <c r="I38" s="45">
        <f>ROUND(G38*H38,0)</f>
        <v>612</v>
      </c>
      <c r="J38" s="51"/>
      <c r="K38" s="45">
        <f>M38*G38</f>
        <v>12.483169698748682</v>
      </c>
      <c r="L38" s="49">
        <f>L39</f>
        <v>2.0393493335126266E-2</v>
      </c>
      <c r="M38" s="46">
        <f t="shared" si="9"/>
        <v>7.6597960966734262E-4</v>
      </c>
      <c r="N38" s="46">
        <v>0</v>
      </c>
      <c r="O38" s="46">
        <f>M38-N38</f>
        <v>7.6597960966734262E-4</v>
      </c>
      <c r="Q38" s="115"/>
      <c r="R38" s="117">
        <v>4.555E-2</v>
      </c>
      <c r="S38" s="50"/>
      <c r="T38" s="50">
        <f t="shared" si="10"/>
        <v>4.6315979609667345E-2</v>
      </c>
      <c r="U38" s="115"/>
      <c r="V38" s="50">
        <v>5.2714800000000004</v>
      </c>
      <c r="W38" s="115"/>
      <c r="X38" s="114">
        <f t="shared" si="11"/>
        <v>5.2722459796096679</v>
      </c>
    </row>
    <row r="39" spans="1:24" x14ac:dyDescent="0.2">
      <c r="A39" s="26">
        <f>A38+1</f>
        <v>17</v>
      </c>
      <c r="B39" s="55" t="s">
        <v>50</v>
      </c>
      <c r="C39" s="28"/>
      <c r="D39" s="43"/>
      <c r="E39" s="53"/>
      <c r="F39" s="53"/>
      <c r="G39" s="78">
        <f>SUM(G36:G38)</f>
        <v>2642702</v>
      </c>
      <c r="H39" s="79"/>
      <c r="I39" s="78">
        <f>SUM(I36:I38)</f>
        <v>646882</v>
      </c>
      <c r="J39" s="51"/>
      <c r="K39" s="78">
        <v>13192.183755613149</v>
      </c>
      <c r="L39" s="70">
        <f>K39/I39</f>
        <v>2.0393493335126266E-2</v>
      </c>
      <c r="M39" s="78"/>
      <c r="N39" s="78"/>
      <c r="O39" s="78"/>
      <c r="Q39" s="115"/>
      <c r="R39" s="50"/>
      <c r="S39" s="50"/>
      <c r="T39" s="50"/>
      <c r="U39" s="115"/>
      <c r="V39" s="50"/>
      <c r="W39" s="115"/>
    </row>
    <row r="40" spans="1:24" x14ac:dyDescent="0.2">
      <c r="A40" s="26"/>
      <c r="B40" s="55"/>
      <c r="C40" s="28"/>
      <c r="D40" s="43"/>
      <c r="E40" s="53"/>
      <c r="F40" s="53"/>
      <c r="G40" s="80"/>
      <c r="H40" s="81"/>
      <c r="I40" s="80"/>
      <c r="J40" s="51"/>
      <c r="K40" s="80"/>
      <c r="L40" s="71"/>
      <c r="M40" s="80"/>
      <c r="N40" s="80"/>
      <c r="O40" s="80"/>
      <c r="Q40" s="115"/>
      <c r="R40" s="50"/>
      <c r="S40" s="50"/>
      <c r="T40" s="50"/>
      <c r="U40" s="115"/>
      <c r="V40" s="50"/>
      <c r="W40" s="115"/>
    </row>
    <row r="41" spans="1:24" ht="13.5" thickBot="1" x14ac:dyDescent="0.25">
      <c r="A41" s="26"/>
      <c r="B41" s="84"/>
      <c r="C41" s="85"/>
      <c r="D41" s="85"/>
      <c r="E41" s="86"/>
      <c r="F41" s="61"/>
      <c r="G41" s="87"/>
      <c r="H41" s="88"/>
      <c r="I41" s="67"/>
      <c r="J41" s="51"/>
      <c r="K41" s="87"/>
      <c r="L41" s="88"/>
      <c r="M41" s="67"/>
      <c r="N41" s="67"/>
      <c r="O41" s="67"/>
      <c r="Q41" s="115"/>
      <c r="R41" s="50"/>
      <c r="S41" s="50"/>
      <c r="T41" s="50"/>
      <c r="U41" s="115"/>
      <c r="V41" s="50"/>
      <c r="W41" s="115"/>
    </row>
    <row r="42" spans="1:24" x14ac:dyDescent="0.2">
      <c r="A42" s="26"/>
      <c r="B42" s="89"/>
      <c r="C42" s="60"/>
      <c r="D42" s="60"/>
      <c r="E42" s="61"/>
      <c r="F42" s="61"/>
      <c r="G42" s="90"/>
      <c r="H42" s="91"/>
      <c r="I42" s="68"/>
      <c r="J42" s="51"/>
      <c r="K42" s="35" t="s">
        <v>32</v>
      </c>
      <c r="L42" s="91"/>
      <c r="M42" s="35" t="s">
        <v>32</v>
      </c>
      <c r="N42" s="35"/>
      <c r="O42" s="35"/>
      <c r="Q42" s="115"/>
      <c r="R42" s="50"/>
      <c r="S42" s="50"/>
      <c r="T42" s="50"/>
      <c r="U42" s="115"/>
      <c r="V42" s="50"/>
      <c r="W42" s="115"/>
    </row>
    <row r="43" spans="1:24" x14ac:dyDescent="0.2">
      <c r="A43" s="26"/>
      <c r="B43" s="32" t="s">
        <v>59</v>
      </c>
      <c r="C43" s="33"/>
      <c r="D43" s="33"/>
      <c r="E43" s="36"/>
      <c r="F43" s="36"/>
      <c r="G43" s="125" t="s">
        <v>31</v>
      </c>
      <c r="H43" s="125"/>
      <c r="I43" s="125"/>
      <c r="J43" s="33"/>
      <c r="K43" s="35" t="s">
        <v>35</v>
      </c>
      <c r="L43" s="36" t="s">
        <v>36</v>
      </c>
      <c r="M43" s="35" t="s">
        <v>35</v>
      </c>
      <c r="N43" s="35"/>
      <c r="O43" s="35"/>
      <c r="Q43" s="115"/>
      <c r="R43" s="50"/>
      <c r="S43" s="50"/>
      <c r="T43" s="50"/>
      <c r="U43" s="115"/>
      <c r="V43" s="50"/>
      <c r="W43" s="115"/>
    </row>
    <row r="44" spans="1:24" ht="13.5" thickBot="1" x14ac:dyDescent="0.25">
      <c r="A44" s="26"/>
      <c r="B44" s="37" t="s">
        <v>38</v>
      </c>
      <c r="C44" s="38"/>
      <c r="D44" s="38"/>
      <c r="E44" s="39" t="s">
        <v>39</v>
      </c>
      <c r="F44" s="40"/>
      <c r="G44" s="41" t="s">
        <v>39</v>
      </c>
      <c r="H44" s="41" t="s">
        <v>40</v>
      </c>
      <c r="I44" s="42" t="s">
        <v>41</v>
      </c>
      <c r="J44" s="33"/>
      <c r="K44" s="41" t="s">
        <v>1</v>
      </c>
      <c r="L44" s="41" t="s">
        <v>42</v>
      </c>
      <c r="M44" s="41" t="s">
        <v>43</v>
      </c>
      <c r="N44" s="41"/>
      <c r="O44" s="41"/>
      <c r="Q44" s="115"/>
      <c r="R44" s="50"/>
      <c r="S44" s="50"/>
      <c r="T44" s="50"/>
      <c r="U44" s="115"/>
      <c r="V44" s="50"/>
      <c r="W44" s="115"/>
    </row>
    <row r="45" spans="1:24" x14ac:dyDescent="0.2">
      <c r="A45" s="26">
        <f>A39+1</f>
        <v>18</v>
      </c>
      <c r="B45" s="43"/>
      <c r="C45" s="43" t="s">
        <v>45</v>
      </c>
      <c r="D45" s="43" t="s">
        <v>46</v>
      </c>
      <c r="E45" s="53">
        <v>10000</v>
      </c>
      <c r="F45" s="53"/>
      <c r="G45" s="45">
        <f>548101+389861</f>
        <v>937962</v>
      </c>
      <c r="H45" s="46">
        <v>0.22983999999999999</v>
      </c>
      <c r="I45" s="45">
        <f>ROUND(G45*H45,0)</f>
        <v>215581</v>
      </c>
      <c r="J45" s="51"/>
      <c r="K45" s="45">
        <f>M45*G45</f>
        <v>6064.1980093376269</v>
      </c>
      <c r="L45" s="49">
        <f>L50</f>
        <v>2.8129532635038312E-2</v>
      </c>
      <c r="M45" s="121">
        <f t="shared" ref="M45:M48" si="12">L45*H45</f>
        <v>6.4652917808372054E-3</v>
      </c>
      <c r="N45" s="46">
        <v>0</v>
      </c>
      <c r="O45" s="46">
        <f>M45-N45</f>
        <v>6.4652917808372054E-3</v>
      </c>
      <c r="Q45" s="115"/>
      <c r="R45" s="117">
        <v>0.23002</v>
      </c>
      <c r="S45" s="50"/>
      <c r="T45" s="50">
        <f>R45+O45</f>
        <v>0.23648529178083721</v>
      </c>
      <c r="U45" s="115"/>
      <c r="V45" s="50"/>
      <c r="W45" s="115"/>
      <c r="X45" s="114"/>
    </row>
    <row r="46" spans="1:24" x14ac:dyDescent="0.2">
      <c r="A46" s="26">
        <f>A45+1</f>
        <v>19</v>
      </c>
      <c r="B46" s="52"/>
      <c r="C46" s="43" t="s">
        <v>47</v>
      </c>
      <c r="D46" s="43" t="s">
        <v>48</v>
      </c>
      <c r="E46" s="53">
        <v>112500</v>
      </c>
      <c r="F46" s="53"/>
      <c r="G46" s="45">
        <f>2534443+1855149</f>
        <v>4389592</v>
      </c>
      <c r="H46" s="46">
        <v>0.21540000000000001</v>
      </c>
      <c r="I46" s="45">
        <f>ROUND(G46*H46,0)</f>
        <v>945518</v>
      </c>
      <c r="J46" s="51"/>
      <c r="K46" s="45">
        <f>M46*G46</f>
        <v>26596.982723545567</v>
      </c>
      <c r="L46" s="49">
        <f>L50</f>
        <v>2.8129532635038312E-2</v>
      </c>
      <c r="M46" s="121">
        <f t="shared" si="12"/>
        <v>6.0591013295872524E-3</v>
      </c>
      <c r="N46" s="46">
        <v>0</v>
      </c>
      <c r="O46" s="46">
        <f>M46-N46</f>
        <v>6.0591013295872524E-3</v>
      </c>
      <c r="Q46" s="115"/>
      <c r="R46" s="117">
        <v>0.21557999999999999</v>
      </c>
      <c r="S46" s="50"/>
      <c r="T46" s="50">
        <f t="shared" ref="T46:T48" si="13">R46+O46</f>
        <v>0.22163910132958725</v>
      </c>
      <c r="U46" s="115"/>
      <c r="V46" s="50"/>
      <c r="W46" s="115"/>
      <c r="X46" s="114"/>
    </row>
    <row r="47" spans="1:24" x14ac:dyDescent="0.2">
      <c r="A47" s="26">
        <f>A46+1</f>
        <v>20</v>
      </c>
      <c r="B47" s="52"/>
      <c r="C47" s="43" t="s">
        <v>56</v>
      </c>
      <c r="D47" s="43" t="s">
        <v>48</v>
      </c>
      <c r="E47" s="53">
        <v>477500</v>
      </c>
      <c r="F47" s="53"/>
      <c r="G47" s="45">
        <f>2588015+1398699</f>
        <v>3986714</v>
      </c>
      <c r="H47" s="46">
        <v>0.15121000000000001</v>
      </c>
      <c r="I47" s="45">
        <f>ROUND(G47*H47,0)</f>
        <v>602831</v>
      </c>
      <c r="J47" s="51"/>
      <c r="K47" s="45">
        <f>M47*G47</f>
        <v>16957.354961333793</v>
      </c>
      <c r="L47" s="49">
        <f>L50</f>
        <v>2.8129532635038312E-2</v>
      </c>
      <c r="M47" s="121">
        <f t="shared" si="12"/>
        <v>4.2534666297441431E-3</v>
      </c>
      <c r="N47" s="46">
        <v>0</v>
      </c>
      <c r="O47" s="46">
        <f>M47-N47</f>
        <v>4.2534666297441431E-3</v>
      </c>
      <c r="Q47" s="115"/>
      <c r="R47" s="117">
        <v>0.15139</v>
      </c>
      <c r="S47" s="50"/>
      <c r="T47" s="50">
        <f t="shared" si="13"/>
        <v>0.15564346662974415</v>
      </c>
      <c r="U47" s="115"/>
      <c r="V47" s="50"/>
      <c r="W47" s="115"/>
      <c r="X47" s="114"/>
    </row>
    <row r="48" spans="1:24" x14ac:dyDescent="0.2">
      <c r="A48" s="26">
        <f>A47+1</f>
        <v>21</v>
      </c>
      <c r="B48" s="52"/>
      <c r="C48" s="43" t="s">
        <v>60</v>
      </c>
      <c r="D48" s="43" t="s">
        <v>54</v>
      </c>
      <c r="E48" s="53">
        <v>600000</v>
      </c>
      <c r="F48" s="53"/>
      <c r="G48" s="45">
        <f>62627</f>
        <v>62627</v>
      </c>
      <c r="H48" s="46">
        <v>3.0849999999999999E-2</v>
      </c>
      <c r="I48" s="45">
        <f>ROUND(G48*H48,0)</f>
        <v>1932</v>
      </c>
      <c r="J48" s="51"/>
      <c r="K48" s="45">
        <f>M48*G48</f>
        <v>54.347465214320692</v>
      </c>
      <c r="L48" s="49">
        <f>L50</f>
        <v>2.8129532635038312E-2</v>
      </c>
      <c r="M48" s="121">
        <f t="shared" si="12"/>
        <v>8.6779608179093188E-4</v>
      </c>
      <c r="N48" s="46">
        <v>0</v>
      </c>
      <c r="O48" s="46">
        <f>M48-N48</f>
        <v>8.6779608179093188E-4</v>
      </c>
      <c r="Q48" s="115"/>
      <c r="R48" s="50">
        <v>3.1029999999999999E-2</v>
      </c>
      <c r="S48" s="50"/>
      <c r="T48" s="50">
        <f t="shared" si="13"/>
        <v>3.1897796081790927E-2</v>
      </c>
      <c r="U48" s="115"/>
      <c r="V48" s="50"/>
      <c r="W48" s="115"/>
    </row>
    <row r="49" spans="1:24" x14ac:dyDescent="0.2">
      <c r="A49" s="26">
        <f>A48+1</f>
        <v>22</v>
      </c>
      <c r="B49" s="95" t="s">
        <v>73</v>
      </c>
      <c r="C49" s="43"/>
      <c r="D49" s="43"/>
      <c r="E49" s="53"/>
      <c r="F49" s="53"/>
      <c r="G49" s="45">
        <v>59600</v>
      </c>
      <c r="H49" s="119">
        <v>12.39</v>
      </c>
      <c r="I49" s="96">
        <f>G49*H49</f>
        <v>738444</v>
      </c>
      <c r="J49" s="51"/>
      <c r="K49" s="45">
        <f>M49*G49</f>
        <v>20772.08459714823</v>
      </c>
      <c r="L49" s="49">
        <f>L50</f>
        <v>2.8129532635038312E-2</v>
      </c>
      <c r="M49" s="121">
        <f>L49*H49</f>
        <v>0.34852490934812469</v>
      </c>
      <c r="N49" s="46">
        <v>0</v>
      </c>
      <c r="O49" s="46">
        <f>M49-N49</f>
        <v>0.34852490934812469</v>
      </c>
      <c r="Q49" s="115"/>
      <c r="R49" s="120">
        <v>12.39</v>
      </c>
      <c r="S49" s="50"/>
      <c r="T49" s="50">
        <f>R49+O49</f>
        <v>12.738524909348126</v>
      </c>
      <c r="U49" s="115"/>
      <c r="V49" s="50"/>
      <c r="W49" s="115"/>
    </row>
    <row r="50" spans="1:24" x14ac:dyDescent="0.2">
      <c r="A50" s="26">
        <f>A49+1</f>
        <v>23</v>
      </c>
      <c r="B50" s="95" t="s">
        <v>62</v>
      </c>
      <c r="C50" s="28"/>
      <c r="D50" s="43"/>
      <c r="E50" s="53"/>
      <c r="F50" s="53"/>
      <c r="G50" s="78">
        <f>SUM(G45:G49)</f>
        <v>9436495</v>
      </c>
      <c r="H50" s="79"/>
      <c r="I50" s="78">
        <f>SUM(I45:I49)</f>
        <v>2504306</v>
      </c>
      <c r="J50" s="51"/>
      <c r="K50" s="78">
        <v>70444.957355122257</v>
      </c>
      <c r="L50" s="70">
        <f>K50/I50</f>
        <v>2.8129532635038312E-2</v>
      </c>
      <c r="M50" s="78"/>
      <c r="N50" s="78"/>
      <c r="O50" s="78"/>
      <c r="Q50" s="115"/>
      <c r="R50" s="50"/>
      <c r="S50" s="50"/>
      <c r="T50" s="50">
        <f>T49/12</f>
        <v>1.0615437424456771</v>
      </c>
      <c r="U50" s="115"/>
      <c r="V50" s="50"/>
      <c r="W50" s="115"/>
    </row>
    <row r="51" spans="1:24" x14ac:dyDescent="0.2">
      <c r="A51" s="26"/>
      <c r="B51" s="55"/>
      <c r="C51" s="28"/>
      <c r="D51" s="43"/>
      <c r="E51" s="53"/>
      <c r="F51" s="53"/>
      <c r="G51" s="80"/>
      <c r="H51" s="81"/>
      <c r="I51" s="80"/>
      <c r="J51" s="51"/>
      <c r="K51" s="80"/>
      <c r="L51" s="71"/>
      <c r="M51" s="80"/>
      <c r="N51" s="80"/>
      <c r="O51" s="80"/>
      <c r="Q51" s="115"/>
      <c r="R51" s="50"/>
      <c r="S51" s="50"/>
      <c r="T51" s="50"/>
      <c r="U51" s="115"/>
      <c r="V51" s="50"/>
      <c r="W51" s="115"/>
    </row>
    <row r="52" spans="1:24" ht="13.5" thickBot="1" x14ac:dyDescent="0.25">
      <c r="A52" s="26"/>
      <c r="B52" s="84"/>
      <c r="C52" s="85"/>
      <c r="D52" s="85"/>
      <c r="E52" s="86"/>
      <c r="F52" s="92"/>
      <c r="G52" s="87"/>
      <c r="H52" s="88"/>
      <c r="I52" s="67"/>
      <c r="J52" s="51"/>
      <c r="K52" s="87"/>
      <c r="L52" s="88"/>
      <c r="M52" s="67"/>
      <c r="N52" s="67"/>
      <c r="O52" s="67"/>
      <c r="Q52" s="115"/>
      <c r="R52" s="50"/>
      <c r="S52" s="50"/>
      <c r="T52" s="50"/>
      <c r="U52" s="115"/>
      <c r="V52" s="50"/>
      <c r="W52" s="115"/>
    </row>
    <row r="53" spans="1:24" x14ac:dyDescent="0.2">
      <c r="A53" s="26"/>
      <c r="B53" s="89"/>
      <c r="C53" s="60"/>
      <c r="D53" s="60"/>
      <c r="E53" s="61"/>
      <c r="F53" s="92"/>
      <c r="G53" s="90"/>
      <c r="H53" s="91"/>
      <c r="I53" s="68"/>
      <c r="J53" s="51"/>
      <c r="K53" s="35" t="s">
        <v>32</v>
      </c>
      <c r="L53" s="91"/>
      <c r="M53" s="35" t="s">
        <v>32</v>
      </c>
      <c r="N53" s="35"/>
      <c r="O53" s="35"/>
      <c r="Q53" s="115"/>
      <c r="R53" s="50"/>
      <c r="S53" s="50"/>
      <c r="T53" s="50"/>
      <c r="U53" s="115"/>
      <c r="V53" s="50"/>
      <c r="W53" s="115"/>
    </row>
    <row r="54" spans="1:24" x14ac:dyDescent="0.2">
      <c r="A54" s="26"/>
      <c r="B54" s="32" t="s">
        <v>61</v>
      </c>
      <c r="C54" s="33"/>
      <c r="D54" s="33"/>
      <c r="E54" s="36"/>
      <c r="F54" s="92"/>
      <c r="G54" s="125" t="s">
        <v>31</v>
      </c>
      <c r="H54" s="125"/>
      <c r="I54" s="125"/>
      <c r="J54" s="51"/>
      <c r="K54" s="35" t="s">
        <v>35</v>
      </c>
      <c r="L54" s="36" t="s">
        <v>36</v>
      </c>
      <c r="M54" s="35" t="s">
        <v>35</v>
      </c>
      <c r="N54" s="35"/>
      <c r="O54" s="35"/>
      <c r="Q54" s="115"/>
      <c r="R54" s="50"/>
      <c r="S54" s="50"/>
      <c r="T54" s="50"/>
      <c r="U54" s="115"/>
      <c r="V54" s="50"/>
      <c r="W54" s="115"/>
    </row>
    <row r="55" spans="1:24" ht="13.5" thickBot="1" x14ac:dyDescent="0.25">
      <c r="A55" s="26"/>
      <c r="B55" s="37" t="s">
        <v>38</v>
      </c>
      <c r="C55" s="38"/>
      <c r="D55" s="38"/>
      <c r="E55" s="39" t="s">
        <v>39</v>
      </c>
      <c r="F55" s="92"/>
      <c r="G55" s="41" t="s">
        <v>39</v>
      </c>
      <c r="H55" s="41" t="s">
        <v>40</v>
      </c>
      <c r="I55" s="42" t="s">
        <v>41</v>
      </c>
      <c r="J55" s="51"/>
      <c r="K55" s="41" t="s">
        <v>1</v>
      </c>
      <c r="L55" s="41" t="s">
        <v>42</v>
      </c>
      <c r="M55" s="41" t="s">
        <v>43</v>
      </c>
      <c r="N55" s="41"/>
      <c r="O55" s="41"/>
      <c r="Q55" s="115"/>
      <c r="R55" s="50"/>
      <c r="S55" s="50"/>
      <c r="T55" s="50"/>
      <c r="U55" s="115"/>
      <c r="V55" s="50"/>
      <c r="W55" s="115"/>
    </row>
    <row r="56" spans="1:24" x14ac:dyDescent="0.2">
      <c r="A56" s="26">
        <f>A50+1</f>
        <v>24</v>
      </c>
      <c r="B56" s="43"/>
      <c r="C56" s="43" t="s">
        <v>45</v>
      </c>
      <c r="D56" s="43" t="s">
        <v>46</v>
      </c>
      <c r="E56" s="53">
        <v>200</v>
      </c>
      <c r="F56" s="92"/>
      <c r="G56" s="45">
        <f>465518+333700</f>
        <v>799218</v>
      </c>
      <c r="H56" s="46">
        <v>0.70401000000000002</v>
      </c>
      <c r="I56" s="45">
        <f>ROUND(G56*H56,0)</f>
        <v>562657</v>
      </c>
      <c r="J56" s="51"/>
      <c r="K56" s="45">
        <f>M56*G56</f>
        <v>9913.6909713176155</v>
      </c>
      <c r="L56" s="93">
        <f>L61</f>
        <v>1.7619407192554584E-2</v>
      </c>
      <c r="M56" s="121">
        <f>L56*H56</f>
        <v>1.2404238857630354E-2</v>
      </c>
      <c r="N56" s="46">
        <v>0</v>
      </c>
      <c r="O56" s="46">
        <f>M56-N56</f>
        <v>1.2404238857630354E-2</v>
      </c>
      <c r="P56" s="114"/>
      <c r="Q56" s="115"/>
      <c r="R56" s="117">
        <v>0.70452999999999999</v>
      </c>
      <c r="S56" s="50"/>
      <c r="T56" s="50">
        <f>R56+O56</f>
        <v>0.7169342388576303</v>
      </c>
      <c r="U56" s="115"/>
      <c r="V56" s="50"/>
      <c r="W56" s="115"/>
      <c r="X56" s="114"/>
    </row>
    <row r="57" spans="1:24" x14ac:dyDescent="0.2">
      <c r="A57" s="26">
        <f>A56+1</f>
        <v>25</v>
      </c>
      <c r="B57" s="52"/>
      <c r="C57" s="43" t="s">
        <v>47</v>
      </c>
      <c r="D57" s="43" t="s">
        <v>48</v>
      </c>
      <c r="E57" s="53">
        <v>1800</v>
      </c>
      <c r="F57" s="92"/>
      <c r="G57" s="45">
        <f>2735192+2115707</f>
        <v>4850899</v>
      </c>
      <c r="H57" s="46">
        <v>0.46021000000000001</v>
      </c>
      <c r="I57" s="45">
        <f>ROUND(G57*H57,0)</f>
        <v>2232432</v>
      </c>
      <c r="J57" s="51"/>
      <c r="K57" s="45">
        <f t="shared" ref="K57:K59" si="14">M57*G57</f>
        <v>39334.132468833188</v>
      </c>
      <c r="L57" s="93">
        <f>L61</f>
        <v>1.7619407192554584E-2</v>
      </c>
      <c r="M57" s="121">
        <f t="shared" ref="M57:M60" si="15">L57*H57</f>
        <v>8.1086273840855448E-3</v>
      </c>
      <c r="N57" s="46">
        <v>0</v>
      </c>
      <c r="O57" s="46">
        <f>M57-N57</f>
        <v>8.1086273840855448E-3</v>
      </c>
      <c r="P57" s="114"/>
      <c r="Q57" s="115"/>
      <c r="R57" s="117">
        <v>0.46072999999999997</v>
      </c>
      <c r="S57" s="50"/>
      <c r="T57" s="50">
        <f t="shared" ref="T57:T58" si="16">R57+O57</f>
        <v>0.46883862738408549</v>
      </c>
      <c r="U57" s="115"/>
      <c r="V57" s="50"/>
      <c r="W57" s="115"/>
      <c r="X57" s="114"/>
    </row>
    <row r="58" spans="1:24" x14ac:dyDescent="0.2">
      <c r="A58" s="26">
        <f>A57+1</f>
        <v>26</v>
      </c>
      <c r="B58" s="52"/>
      <c r="C58" s="43" t="s">
        <v>56</v>
      </c>
      <c r="D58" s="43" t="s">
        <v>48</v>
      </c>
      <c r="E58" s="53">
        <v>98000</v>
      </c>
      <c r="F58" s="92"/>
      <c r="G58" s="45">
        <f>13336551+12548562</f>
        <v>25885113</v>
      </c>
      <c r="H58" s="46">
        <v>0.18820999999999999</v>
      </c>
      <c r="I58" s="45">
        <f>ROUND(G58*H58,0)</f>
        <v>4871837</v>
      </c>
      <c r="J58" s="51"/>
      <c r="K58" s="45">
        <f t="shared" si="14"/>
        <v>85838.88195308634</v>
      </c>
      <c r="L58" s="93">
        <f>L61</f>
        <v>1.7619407192554584E-2</v>
      </c>
      <c r="M58" s="121">
        <f t="shared" si="15"/>
        <v>3.3161486277106978E-3</v>
      </c>
      <c r="N58" s="46">
        <v>0</v>
      </c>
      <c r="O58" s="46">
        <f>M58-N58</f>
        <v>3.3161486277106978E-3</v>
      </c>
      <c r="P58" s="114"/>
      <c r="Q58" s="115"/>
      <c r="R58" s="117">
        <v>0.18873000000000001</v>
      </c>
      <c r="S58" s="50"/>
      <c r="T58" s="50">
        <f t="shared" si="16"/>
        <v>0.19204614862771072</v>
      </c>
      <c r="U58" s="115"/>
      <c r="V58" s="50"/>
      <c r="W58" s="115"/>
      <c r="X58" s="114"/>
    </row>
    <row r="59" spans="1:24" x14ac:dyDescent="0.2">
      <c r="A59" s="26">
        <f>A58+1</f>
        <v>27</v>
      </c>
      <c r="B59" s="52"/>
      <c r="C59" s="43" t="s">
        <v>60</v>
      </c>
      <c r="D59" s="43" t="s">
        <v>54</v>
      </c>
      <c r="E59" s="53">
        <v>100000</v>
      </c>
      <c r="F59" s="92"/>
      <c r="G59" s="45">
        <f>2845862+2919126</f>
        <v>5764988</v>
      </c>
      <c r="H59" s="94">
        <v>6.966E-2</v>
      </c>
      <c r="I59" s="80">
        <f>ROUND(G59*H59,0)</f>
        <v>401589</v>
      </c>
      <c r="J59" s="51"/>
      <c r="K59" s="80">
        <f t="shared" si="14"/>
        <v>7075.7612441024157</v>
      </c>
      <c r="L59" s="93">
        <f>L61</f>
        <v>1.7619407192554584E-2</v>
      </c>
      <c r="M59" s="123">
        <f t="shared" si="15"/>
        <v>1.2273679050333523E-3</v>
      </c>
      <c r="N59" s="94">
        <v>0</v>
      </c>
      <c r="O59" s="94">
        <f>M59-N59</f>
        <v>1.2273679050333523E-3</v>
      </c>
      <c r="P59" s="114"/>
      <c r="Q59" s="115"/>
      <c r="R59" s="117">
        <v>7.0180000000000006E-2</v>
      </c>
      <c r="S59" s="50"/>
      <c r="T59" s="50">
        <f>R59+O59</f>
        <v>7.1407367905033353E-2</v>
      </c>
      <c r="U59" s="115"/>
      <c r="V59" s="50"/>
      <c r="W59" s="115"/>
      <c r="X59" s="114"/>
    </row>
    <row r="60" spans="1:24" x14ac:dyDescent="0.2">
      <c r="A60" s="26">
        <f>A59+1</f>
        <v>28</v>
      </c>
      <c r="B60" s="95" t="s">
        <v>73</v>
      </c>
      <c r="C60" s="54"/>
      <c r="D60" s="89"/>
      <c r="E60" s="92"/>
      <c r="F60" s="92"/>
      <c r="G60" s="96">
        <v>95260</v>
      </c>
      <c r="H60" s="111">
        <v>24.79</v>
      </c>
      <c r="I60" s="96">
        <f>G60*H60</f>
        <v>2361495.4</v>
      </c>
      <c r="J60" s="51"/>
      <c r="K60" s="96">
        <f>M60*G60</f>
        <v>41608.14903594456</v>
      </c>
      <c r="L60" s="97">
        <f>L61</f>
        <v>1.7619407192554584E-2</v>
      </c>
      <c r="M60" s="122">
        <f t="shared" si="15"/>
        <v>0.4367851043034281</v>
      </c>
      <c r="N60" s="98">
        <v>0</v>
      </c>
      <c r="O60" s="98">
        <f>M60-N60</f>
        <v>0.4367851043034281</v>
      </c>
      <c r="Q60" s="115"/>
      <c r="R60" s="117">
        <v>24.79</v>
      </c>
      <c r="S60" s="50"/>
      <c r="T60" s="50">
        <f t="shared" ref="T60" si="17">R60+O60</f>
        <v>25.226785104303428</v>
      </c>
      <c r="U60" s="115">
        <f>T60/12</f>
        <v>2.1022320920252855</v>
      </c>
      <c r="V60" s="50"/>
      <c r="W60" s="115"/>
      <c r="X60" s="114"/>
    </row>
    <row r="61" spans="1:24" x14ac:dyDescent="0.2">
      <c r="A61" s="26">
        <f>A60+1</f>
        <v>29</v>
      </c>
      <c r="B61" s="95" t="s">
        <v>62</v>
      </c>
      <c r="C61" s="54"/>
      <c r="D61" s="89"/>
      <c r="E61" s="92"/>
      <c r="F61" s="92"/>
      <c r="G61" s="80">
        <f>SUM(G56:G60)</f>
        <v>37395478</v>
      </c>
      <c r="H61" s="94"/>
      <c r="I61" s="80">
        <f>SUM(I56:I60)</f>
        <v>10430010.4</v>
      </c>
      <c r="J61" s="51"/>
      <c r="K61" s="80">
        <v>183770.60026017911</v>
      </c>
      <c r="L61" s="71">
        <f>K61/I61</f>
        <v>1.7619407192554584E-2</v>
      </c>
      <c r="M61" s="99"/>
      <c r="N61" s="99"/>
      <c r="O61" s="99"/>
      <c r="Q61" s="115"/>
      <c r="R61" s="50"/>
      <c r="S61" s="50"/>
      <c r="T61" s="50">
        <f>T60/12</f>
        <v>2.1022320920252855</v>
      </c>
      <c r="U61" s="115"/>
      <c r="V61" s="50"/>
      <c r="W61" s="115"/>
    </row>
    <row r="62" spans="1:24" x14ac:dyDescent="0.2">
      <c r="A62" s="26"/>
      <c r="B62" s="95"/>
      <c r="C62" s="54"/>
      <c r="D62" s="89"/>
      <c r="E62" s="92"/>
      <c r="F62" s="92"/>
      <c r="G62" s="80"/>
      <c r="H62" s="94"/>
      <c r="I62" s="80"/>
      <c r="J62" s="51"/>
      <c r="K62" s="80"/>
      <c r="L62" s="71"/>
      <c r="M62" s="99"/>
      <c r="N62" s="99"/>
      <c r="O62" s="99"/>
      <c r="Q62" s="115"/>
      <c r="R62" s="50"/>
      <c r="S62" s="50"/>
      <c r="T62" s="50"/>
      <c r="U62" s="115"/>
      <c r="V62" s="50"/>
      <c r="W62" s="115"/>
    </row>
    <row r="63" spans="1:24" ht="13.5" thickBot="1" x14ac:dyDescent="0.25">
      <c r="A63" s="26"/>
      <c r="B63" s="84"/>
      <c r="C63" s="100"/>
      <c r="D63" s="84"/>
      <c r="E63" s="101"/>
      <c r="F63" s="92"/>
      <c r="G63" s="102"/>
      <c r="H63" s="103"/>
      <c r="I63" s="67"/>
      <c r="J63" s="33"/>
      <c r="K63" s="67"/>
      <c r="L63" s="103"/>
      <c r="M63" s="67"/>
      <c r="N63" s="67"/>
      <c r="O63" s="67"/>
      <c r="Q63" s="115"/>
      <c r="R63" s="50"/>
      <c r="S63" s="50"/>
      <c r="T63" s="50"/>
      <c r="U63" s="115"/>
      <c r="V63" s="50"/>
      <c r="W63" s="115"/>
    </row>
    <row r="64" spans="1:24" x14ac:dyDescent="0.2">
      <c r="A64" s="26"/>
      <c r="B64" s="89"/>
      <c r="C64" s="54"/>
      <c r="D64" s="89"/>
      <c r="E64" s="92"/>
      <c r="F64" s="92"/>
      <c r="G64" s="80"/>
      <c r="H64" s="99"/>
      <c r="I64" s="68"/>
      <c r="J64" s="33"/>
      <c r="K64" s="35" t="s">
        <v>32</v>
      </c>
      <c r="L64" s="99"/>
      <c r="M64" s="35" t="s">
        <v>32</v>
      </c>
      <c r="N64" s="35"/>
      <c r="O64" s="35"/>
      <c r="Q64" s="115"/>
      <c r="R64" s="50"/>
      <c r="S64" s="50"/>
      <c r="T64" s="50"/>
      <c r="U64" s="115"/>
      <c r="V64" s="50"/>
      <c r="W64" s="115"/>
    </row>
    <row r="65" spans="1:24" x14ac:dyDescent="0.2">
      <c r="A65" s="26"/>
      <c r="B65" s="32" t="s">
        <v>63</v>
      </c>
      <c r="C65" s="33"/>
      <c r="D65" s="33"/>
      <c r="E65" s="36"/>
      <c r="F65" s="36"/>
      <c r="G65" s="125" t="s">
        <v>31</v>
      </c>
      <c r="H65" s="125"/>
      <c r="I65" s="125"/>
      <c r="J65" s="33"/>
      <c r="K65" s="35" t="s">
        <v>35</v>
      </c>
      <c r="L65" s="36" t="s">
        <v>52</v>
      </c>
      <c r="M65" s="35" t="s">
        <v>35</v>
      </c>
      <c r="N65" s="35"/>
      <c r="O65" s="35"/>
      <c r="Q65" s="115"/>
      <c r="R65" s="50"/>
      <c r="S65" s="50"/>
      <c r="T65" s="50"/>
      <c r="U65" s="115"/>
      <c r="V65" s="50"/>
      <c r="W65" s="115"/>
    </row>
    <row r="66" spans="1:24" ht="13.5" thickBot="1" x14ac:dyDescent="0.25">
      <c r="A66" s="26"/>
      <c r="B66" s="37" t="s">
        <v>38</v>
      </c>
      <c r="C66" s="38"/>
      <c r="D66" s="38"/>
      <c r="E66" s="39" t="s">
        <v>39</v>
      </c>
      <c r="F66" s="40"/>
      <c r="G66" s="39" t="s">
        <v>39</v>
      </c>
      <c r="H66" s="39" t="s">
        <v>40</v>
      </c>
      <c r="I66" s="39" t="s">
        <v>41</v>
      </c>
      <c r="J66" s="33"/>
      <c r="K66" s="41" t="s">
        <v>1</v>
      </c>
      <c r="L66" s="41" t="s">
        <v>42</v>
      </c>
      <c r="M66" s="41" t="s">
        <v>43</v>
      </c>
      <c r="N66" s="41"/>
      <c r="O66" s="41"/>
      <c r="Q66" s="115"/>
      <c r="R66" s="50"/>
      <c r="S66" s="50"/>
      <c r="T66" s="50"/>
      <c r="U66" s="115"/>
      <c r="V66" s="50"/>
      <c r="W66" s="115"/>
    </row>
    <row r="67" spans="1:24" x14ac:dyDescent="0.2">
      <c r="A67" s="26">
        <f>A61+1</f>
        <v>30</v>
      </c>
      <c r="B67" s="69" t="s">
        <v>53</v>
      </c>
      <c r="C67" s="43"/>
      <c r="D67" s="43" t="s">
        <v>54</v>
      </c>
      <c r="E67" s="53">
        <v>0</v>
      </c>
      <c r="F67" s="53"/>
      <c r="G67" s="45">
        <f>11345+23847</f>
        <v>35192</v>
      </c>
      <c r="H67" s="112">
        <v>0.66539000000000004</v>
      </c>
      <c r="I67" s="104">
        <f>G67*H67</f>
        <v>23416.404880000002</v>
      </c>
      <c r="J67" s="51"/>
      <c r="K67" s="45">
        <v>315.74006778888082</v>
      </c>
      <c r="L67" s="49">
        <f>K67/I67</f>
        <v>1.3483712354946298E-2</v>
      </c>
      <c r="M67" s="46">
        <f t="shared" ref="M67" si="18">L67*H67</f>
        <v>8.9719273638577176E-3</v>
      </c>
      <c r="N67" s="46">
        <v>0</v>
      </c>
      <c r="O67" s="46">
        <f>M67-N67</f>
        <v>8.9719273638577176E-3</v>
      </c>
      <c r="Q67" s="115"/>
      <c r="R67" s="117">
        <v>0.66722000000000004</v>
      </c>
      <c r="S67" s="50"/>
      <c r="T67" s="50">
        <f t="shared" ref="T67" si="19">R67+O67</f>
        <v>0.6761919273638578</v>
      </c>
      <c r="U67" s="115"/>
      <c r="V67" s="50"/>
      <c r="W67" s="115"/>
      <c r="X67" s="114">
        <f t="shared" ref="X67" si="20">V67+O67</f>
        <v>8.9719273638577176E-3</v>
      </c>
    </row>
    <row r="68" spans="1:24" x14ac:dyDescent="0.2">
      <c r="A68" s="26">
        <f>A67+1</f>
        <v>31</v>
      </c>
      <c r="B68" s="55" t="s">
        <v>50</v>
      </c>
      <c r="C68" s="28"/>
      <c r="D68" s="43"/>
      <c r="E68" s="53"/>
      <c r="F68" s="53"/>
      <c r="G68" s="83">
        <f>SUM(G67)</f>
        <v>35192</v>
      </c>
      <c r="H68" s="105"/>
      <c r="I68" s="83">
        <f>SUM(I67)</f>
        <v>23416.404880000002</v>
      </c>
      <c r="J68" s="51"/>
      <c r="K68" s="80"/>
      <c r="L68" s="81"/>
      <c r="M68" s="80"/>
      <c r="N68" s="80"/>
      <c r="O68" s="80"/>
    </row>
    <row r="69" spans="1:24" x14ac:dyDescent="0.2">
      <c r="A69" s="26"/>
      <c r="B69" s="89"/>
      <c r="C69" s="60"/>
      <c r="D69" s="60"/>
      <c r="E69" s="61"/>
      <c r="F69" s="61"/>
      <c r="G69" s="62"/>
      <c r="H69" s="63"/>
      <c r="I69" s="64"/>
      <c r="J69" s="51"/>
      <c r="K69" s="62"/>
      <c r="L69" s="63"/>
      <c r="M69" s="64"/>
      <c r="N69" s="64"/>
      <c r="O69" s="64"/>
    </row>
    <row r="70" spans="1:24" ht="13.5" thickBot="1" x14ac:dyDescent="0.25">
      <c r="A70" s="26">
        <f>A68+1</f>
        <v>32</v>
      </c>
      <c r="B70" s="28"/>
      <c r="C70" s="28"/>
      <c r="D70" s="28"/>
      <c r="E70" s="29"/>
      <c r="F70" s="29"/>
      <c r="G70" s="28"/>
      <c r="H70" s="28"/>
      <c r="I70" s="106" t="s">
        <v>0</v>
      </c>
      <c r="J70" s="30"/>
      <c r="K70" s="107">
        <f>SUM(K67,K61,K50,K39,K30,K17,K12)</f>
        <v>4323498.9691905091</v>
      </c>
      <c r="L70" s="28"/>
      <c r="M70" s="113"/>
      <c r="N70" s="28"/>
      <c r="O70" s="28"/>
    </row>
    <row r="71" spans="1:24" ht="13.5" thickTop="1" x14ac:dyDescent="0.2"/>
    <row r="73" spans="1:24" x14ac:dyDescent="0.2">
      <c r="G73" s="108"/>
    </row>
  </sheetData>
  <mergeCells count="8">
    <mergeCell ref="G54:I54"/>
    <mergeCell ref="G65:I65"/>
    <mergeCell ref="B1:M1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61" orientation="portrait" r:id="rId1"/>
  <headerFooter scaleWithDoc="0">
    <oddHeader>&amp;RQuestar Gas Company
Docket 14-057-27
Exhibit 1.3U2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Exhibit 1.2</vt:lpstr>
      <vt:lpstr>Exhibit 1.3</vt:lpstr>
      <vt:lpstr>'Exhibit 1.2'!Print_Area</vt:lpstr>
      <vt:lpstr>'Exhibit 1.3'!Print_Area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2014-12-08T17:57:15Z</cp:lastPrinted>
  <dcterms:created xsi:type="dcterms:W3CDTF">2011-08-18T22:49:59Z</dcterms:created>
  <dcterms:modified xsi:type="dcterms:W3CDTF">2014-12-08T22:10:56Z</dcterms:modified>
</cp:coreProperties>
</file>