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75" windowHeight="9675" activeTab="0"/>
  </bookViews>
  <sheets>
    <sheet name="Assets" sheetId="1" r:id="rId1"/>
    <sheet name="Sheet2" sheetId="2" r:id="rId2"/>
    <sheet name="Sheet3" sheetId="3" r:id="rId3"/>
  </sheets>
  <definedNames>
    <definedName name="_xlnm.Print_Area" localSheetId="0">'Assets'!$A$1:$K$208</definedName>
  </definedNames>
  <calcPr fullCalcOnLoad="1"/>
</workbook>
</file>

<file path=xl/sharedStrings.xml><?xml version="1.0" encoding="utf-8"?>
<sst xmlns="http://schemas.openxmlformats.org/spreadsheetml/2006/main" count="203" uniqueCount="97">
  <si>
    <t>Questar Gas</t>
  </si>
  <si>
    <t>Eagle Mountain Gas System Acquisition</t>
  </si>
  <si>
    <t>Allocation of Purchase Price</t>
  </si>
  <si>
    <t>Asset</t>
  </si>
  <si>
    <t>Date</t>
  </si>
  <si>
    <t>Cost</t>
  </si>
  <si>
    <t>Accumulated</t>
  </si>
  <si>
    <t>Depreciation</t>
  </si>
  <si>
    <t>Net Book</t>
  </si>
  <si>
    <t>Value</t>
  </si>
  <si>
    <t>Book values of assets on Eagle Mountain records as of</t>
  </si>
  <si>
    <t>Gas system</t>
  </si>
  <si>
    <t>Design</t>
  </si>
  <si>
    <t>Purchase price</t>
  </si>
  <si>
    <t>Acquisition date</t>
  </si>
  <si>
    <t>Rate</t>
  </si>
  <si>
    <t>Years</t>
  </si>
  <si>
    <t>Service</t>
  </si>
  <si>
    <t>Revised</t>
  </si>
  <si>
    <t>Mains</t>
  </si>
  <si>
    <t>Gas lines</t>
  </si>
  <si>
    <t>CPR 16" gas line</t>
  </si>
  <si>
    <t>CPR 2" gas line</t>
  </si>
  <si>
    <t>NR gas line</t>
  </si>
  <si>
    <t>6" steel gas line</t>
  </si>
  <si>
    <t>Meters and Regulators</t>
  </si>
  <si>
    <t>Gas meters</t>
  </si>
  <si>
    <t>Regulators</t>
  </si>
  <si>
    <t>Measuring and Regulating</t>
  </si>
  <si>
    <t>Shelter for regulator station</t>
  </si>
  <si>
    <t>Gas tap</t>
  </si>
  <si>
    <t>Gas regulator station</t>
  </si>
  <si>
    <t>Lone Tree regulator</t>
  </si>
  <si>
    <t>Odorizer upgrade</t>
  </si>
  <si>
    <t>Transponders</t>
  </si>
  <si>
    <t>AMR</t>
  </si>
  <si>
    <t>ERT modules</t>
  </si>
  <si>
    <t>Itron mobile collector</t>
  </si>
  <si>
    <t>Land Rights</t>
  </si>
  <si>
    <t>Rights of way</t>
  </si>
  <si>
    <t>Easement</t>
  </si>
  <si>
    <t>on Eagle Mountain records</t>
  </si>
  <si>
    <t>Total book values of assets</t>
  </si>
  <si>
    <t>Growth of Eagle Mountain customers</t>
  </si>
  <si>
    <t>or before</t>
  </si>
  <si>
    <t>Growth</t>
  </si>
  <si>
    <t>Ending</t>
  </si>
  <si>
    <t>Estimated Original Cost of Eagle Mountain Assets</t>
  </si>
  <si>
    <t>Kern River</t>
  </si>
  <si>
    <t>Tap</t>
  </si>
  <si>
    <t>Regulator</t>
  </si>
  <si>
    <t>Stations</t>
  </si>
  <si>
    <t>High</t>
  </si>
  <si>
    <t>Pressure</t>
  </si>
  <si>
    <t>IHP</t>
  </si>
  <si>
    <t>Services</t>
  </si>
  <si>
    <t>Meter</t>
  </si>
  <si>
    <t>Sets</t>
  </si>
  <si>
    <t>Total</t>
  </si>
  <si>
    <t>Replacement</t>
  </si>
  <si>
    <t>CPI</t>
  </si>
  <si>
    <t>Index</t>
  </si>
  <si>
    <t>Estimated Installation Date</t>
  </si>
  <si>
    <t>Estimated Original Cost</t>
  </si>
  <si>
    <t>Estimated Accumulated Depreciation of Original Cost</t>
  </si>
  <si>
    <t>Net Book Value of Depreciated Original Cost</t>
  </si>
  <si>
    <t>Preliminary Allocation of Acquisition Cost</t>
  </si>
  <si>
    <t>Regulator stations</t>
  </si>
  <si>
    <t>Kern River tap</t>
  </si>
  <si>
    <t>High pressure feeder line</t>
  </si>
  <si>
    <t>Meter sets</t>
  </si>
  <si>
    <t>Value Est.</t>
  </si>
  <si>
    <t>of Original</t>
  </si>
  <si>
    <t>Adjusted</t>
  </si>
  <si>
    <t>Acquisition Cost</t>
  </si>
  <si>
    <t>Net Cost to Allocate to Plant</t>
  </si>
  <si>
    <t>Annual</t>
  </si>
  <si>
    <t>Expense</t>
  </si>
  <si>
    <t>Line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</si>
  <si>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</si>
  <si>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</si>
  <si>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</si>
  <si>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</si>
  <si>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</si>
  <si>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</si>
  <si>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</si>
  <si>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</si>
  <si>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</si>
  <si>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 xml:space="preserve">Less: Inventory </t>
  </si>
  <si>
    <t>Land rights (line 55, column (I))</t>
  </si>
  <si>
    <t>Account</t>
  </si>
  <si>
    <t>378</t>
  </si>
  <si>
    <t>376</t>
  </si>
  <si>
    <t>380</t>
  </si>
  <si>
    <t>381</t>
  </si>
  <si>
    <t>374</t>
  </si>
  <si>
    <t>Projected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</si>
</sst>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#,##0.0_);\(#,##0.0\)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.000000000000000000_);\(#,##0.000000000000000000\)"/>
    <numFmt numFmtId="171" formatCode="_(* #,##0.0_);_(* \(#,##0.0\);_(* &quot;-&quot;??_);_(@_)"/>
    <numFmt numFmtId="172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165" fontId="0" fillId="0" borderId="0" xfId="0" applyNumberFormat="1" applyAlignment="1">
      <alignment/>
    </xf>
    <xf numFmtId="37" fontId="33" fillId="0" borderId="0" xfId="0" applyNumberFormat="1" applyFont="1" applyAlignment="1">
      <alignment/>
    </xf>
    <xf numFmtId="165" fontId="33" fillId="0" borderId="0" xfId="0" applyNumberFormat="1" applyFont="1" applyAlignment="1">
      <alignment horizontal="left"/>
    </xf>
    <xf numFmtId="3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7" fontId="0" fillId="0" borderId="10" xfId="0" applyNumberFormat="1" applyBorder="1" applyAlignment="1">
      <alignment horizontal="left"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167" fontId="0" fillId="0" borderId="0" xfId="0" applyNumberFormat="1" applyAlignment="1">
      <alignment/>
    </xf>
    <xf numFmtId="9" fontId="0" fillId="0" borderId="0" xfId="0" applyNumberFormat="1" applyAlignment="1">
      <alignment/>
    </xf>
    <xf numFmtId="37" fontId="0" fillId="0" borderId="10" xfId="0" applyNumberFormat="1" applyBorder="1" applyAlignment="1">
      <alignment horizontal="center"/>
    </xf>
    <xf numFmtId="9" fontId="0" fillId="0" borderId="0" xfId="57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5" fontId="0" fillId="0" borderId="0" xfId="0" applyNumberFormat="1" applyFill="1" applyAlignment="1">
      <alignment/>
    </xf>
    <xf numFmtId="169" fontId="0" fillId="0" borderId="13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44" applyNumberFormat="1" applyFont="1" applyFill="1" applyAlignment="1">
      <alignment/>
    </xf>
    <xf numFmtId="169" fontId="0" fillId="0" borderId="11" xfId="44" applyNumberFormat="1" applyFont="1" applyFill="1" applyBorder="1" applyAlignment="1">
      <alignment/>
    </xf>
    <xf numFmtId="5" fontId="0" fillId="0" borderId="13" xfId="0" applyNumberFormat="1" applyFill="1" applyBorder="1" applyAlignment="1">
      <alignment/>
    </xf>
    <xf numFmtId="172" fontId="0" fillId="0" borderId="0" xfId="42" applyNumberFormat="1" applyFont="1" applyFill="1" applyAlignment="1">
      <alignment/>
    </xf>
    <xf numFmtId="37" fontId="35" fillId="0" borderId="0" xfId="0" applyNumberFormat="1" applyFont="1" applyFill="1" applyAlignment="1">
      <alignment/>
    </xf>
    <xf numFmtId="37" fontId="33" fillId="0" borderId="0" xfId="0" applyNumberFormat="1" applyFont="1" applyAlignment="1">
      <alignment horizontal="center"/>
    </xf>
    <xf numFmtId="169" fontId="0" fillId="0" borderId="0" xfId="44" applyNumberFormat="1" applyFont="1" applyFill="1" applyBorder="1" applyAlignment="1">
      <alignment/>
    </xf>
    <xf numFmtId="165" fontId="33" fillId="0" borderId="0" xfId="0" applyNumberFormat="1" applyFont="1" applyFill="1" applyAlignment="1">
      <alignment/>
    </xf>
    <xf numFmtId="37" fontId="33" fillId="0" borderId="0" xfId="0" applyNumberFormat="1" applyFont="1" applyFill="1" applyAlignment="1">
      <alignment horizontal="center"/>
    </xf>
    <xf numFmtId="37" fontId="33" fillId="0" borderId="0" xfId="0" applyNumberFormat="1" applyFont="1" applyFill="1" applyAlignment="1">
      <alignment/>
    </xf>
    <xf numFmtId="37" fontId="33" fillId="0" borderId="10" xfId="0" applyNumberFormat="1" applyFont="1" applyFill="1" applyBorder="1" applyAlignment="1">
      <alignment horizontal="center"/>
    </xf>
    <xf numFmtId="37" fontId="33" fillId="0" borderId="10" xfId="0" applyNumberFormat="1" applyFont="1" applyBorder="1" applyAlignment="1">
      <alignment horizontal="center"/>
    </xf>
    <xf numFmtId="10" fontId="33" fillId="0" borderId="11" xfId="0" applyNumberFormat="1" applyFont="1" applyBorder="1" applyAlignment="1">
      <alignment/>
    </xf>
    <xf numFmtId="37" fontId="33" fillId="0" borderId="0" xfId="0" applyNumberFormat="1" applyFont="1" applyBorder="1" applyAlignment="1">
      <alignment horizontal="center"/>
    </xf>
    <xf numFmtId="37" fontId="35" fillId="0" borderId="0" xfId="0" applyNumberFormat="1" applyFont="1" applyAlignment="1">
      <alignment/>
    </xf>
    <xf numFmtId="165" fontId="33" fillId="0" borderId="10" xfId="0" applyNumberFormat="1" applyFont="1" applyBorder="1" applyAlignment="1">
      <alignment horizontal="center"/>
    </xf>
    <xf numFmtId="165" fontId="33" fillId="0" borderId="0" xfId="0" applyNumberFormat="1" applyFont="1" applyAlignment="1">
      <alignment/>
    </xf>
    <xf numFmtId="5" fontId="33" fillId="0" borderId="0" xfId="0" applyNumberFormat="1" applyFont="1" applyAlignment="1">
      <alignment/>
    </xf>
    <xf numFmtId="165" fontId="33" fillId="0" borderId="0" xfId="0" applyNumberFormat="1" applyFont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center"/>
    </xf>
    <xf numFmtId="37" fontId="33" fillId="0" borderId="10" xfId="0" applyNumberFormat="1" applyFont="1" applyBorder="1" applyAlignment="1">
      <alignment horizontal="center"/>
    </xf>
    <xf numFmtId="37" fontId="33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0"/>
  <sheetViews>
    <sheetView tabSelected="1" zoomScalePageLayoutView="0" workbookViewId="0" topLeftCell="A181">
      <selection activeCell="G188" sqref="G188"/>
    </sheetView>
  </sheetViews>
  <sheetFormatPr defaultColWidth="12.7109375" defaultRowHeight="15"/>
  <cols>
    <col min="1" max="1" width="4.7109375" style="1" bestFit="1" customWidth="1"/>
    <col min="2" max="3" width="12.7109375" style="1" customWidth="1"/>
    <col min="4" max="4" width="12.7109375" style="2" customWidth="1"/>
    <col min="5" max="5" width="11.8515625" style="1" bestFit="1" customWidth="1"/>
    <col min="6" max="6" width="12.57421875" style="1" bestFit="1" customWidth="1"/>
    <col min="7" max="8" width="12.421875" style="1" bestFit="1" customWidth="1"/>
    <col min="9" max="9" width="10.8515625" style="1" bestFit="1" customWidth="1"/>
    <col min="10" max="10" width="12.57421875" style="1" bestFit="1" customWidth="1"/>
    <col min="11" max="11" width="9.8515625" style="1" bestFit="1" customWidth="1"/>
    <col min="12" max="16384" width="12.7109375" style="1" customWidth="1"/>
  </cols>
  <sheetData>
    <row r="1" ht="15">
      <c r="B1" s="3" t="s">
        <v>0</v>
      </c>
    </row>
    <row r="2" ht="15">
      <c r="B2" s="3" t="s">
        <v>1</v>
      </c>
    </row>
    <row r="3" ht="15">
      <c r="B3" s="3" t="s">
        <v>2</v>
      </c>
    </row>
    <row r="4" ht="15">
      <c r="B4" s="4"/>
    </row>
    <row r="5" spans="2:11" ht="15">
      <c r="B5" s="39" t="s">
        <v>79</v>
      </c>
      <c r="D5" s="39" t="s">
        <v>80</v>
      </c>
      <c r="E5" s="39" t="s">
        <v>81</v>
      </c>
      <c r="F5" s="39" t="s">
        <v>82</v>
      </c>
      <c r="G5" s="39" t="s">
        <v>83</v>
      </c>
      <c r="H5" s="39" t="s">
        <v>84</v>
      </c>
      <c r="I5" s="39" t="s">
        <v>85</v>
      </c>
      <c r="J5" s="39" t="s">
        <v>86</v>
      </c>
      <c r="K5" s="39" t="s">
        <v>87</v>
      </c>
    </row>
    <row r="6" spans="2:11" ht="15">
      <c r="B6" s="3" t="s">
        <v>13</v>
      </c>
      <c r="C6" s="3"/>
      <c r="D6" s="50"/>
      <c r="E6" s="51">
        <v>11400000</v>
      </c>
      <c r="F6" s="3"/>
      <c r="G6" s="3"/>
      <c r="H6" s="3"/>
      <c r="I6" s="3"/>
      <c r="J6" s="3"/>
      <c r="K6" s="3"/>
    </row>
    <row r="7" spans="2:11" ht="15">
      <c r="B7" s="3" t="s">
        <v>14</v>
      </c>
      <c r="C7" s="3"/>
      <c r="D7" s="50"/>
      <c r="E7" s="50">
        <v>42058</v>
      </c>
      <c r="F7" s="3"/>
      <c r="G7" s="3"/>
      <c r="H7" s="3"/>
      <c r="I7" s="3"/>
      <c r="J7" s="3"/>
      <c r="K7" s="3"/>
    </row>
    <row r="8" spans="2:11" ht="15">
      <c r="B8" s="3"/>
      <c r="C8" s="3"/>
      <c r="D8" s="50"/>
      <c r="E8" s="3"/>
      <c r="F8" s="3"/>
      <c r="G8" s="3"/>
      <c r="H8" s="3"/>
      <c r="I8" s="3"/>
      <c r="J8" s="3"/>
      <c r="K8" s="3"/>
    </row>
    <row r="9" spans="2:11" ht="15">
      <c r="B9" s="3" t="s">
        <v>10</v>
      </c>
      <c r="C9" s="3"/>
      <c r="D9" s="50"/>
      <c r="E9" s="3"/>
      <c r="F9" s="50">
        <v>41639</v>
      </c>
      <c r="G9" s="3"/>
      <c r="H9" s="3"/>
      <c r="I9" s="3"/>
      <c r="J9" s="3"/>
      <c r="K9" s="3"/>
    </row>
    <row r="10" spans="2:11" ht="15">
      <c r="B10" s="3"/>
      <c r="C10" s="3"/>
      <c r="D10" s="50"/>
      <c r="E10" s="3"/>
      <c r="F10" s="3"/>
      <c r="G10" s="3"/>
      <c r="H10" s="39" t="s">
        <v>0</v>
      </c>
      <c r="I10" s="3"/>
      <c r="J10" s="39" t="s">
        <v>18</v>
      </c>
      <c r="K10" s="39" t="s">
        <v>18</v>
      </c>
    </row>
    <row r="11" spans="2:11" ht="15">
      <c r="B11" s="3"/>
      <c r="C11" s="3"/>
      <c r="D11" s="52"/>
      <c r="E11" s="39"/>
      <c r="F11" s="39" t="s">
        <v>6</v>
      </c>
      <c r="G11" s="39" t="s">
        <v>8</v>
      </c>
      <c r="H11" s="39" t="s">
        <v>7</v>
      </c>
      <c r="I11" s="39" t="s">
        <v>16</v>
      </c>
      <c r="J11" s="39" t="s">
        <v>6</v>
      </c>
      <c r="K11" s="39" t="s">
        <v>8</v>
      </c>
    </row>
    <row r="12" spans="1:11" ht="15">
      <c r="A12" s="3" t="s">
        <v>78</v>
      </c>
      <c r="B12" s="56" t="s">
        <v>3</v>
      </c>
      <c r="C12" s="56"/>
      <c r="D12" s="49" t="s">
        <v>4</v>
      </c>
      <c r="E12" s="45" t="s">
        <v>5</v>
      </c>
      <c r="F12" s="45" t="s">
        <v>7</v>
      </c>
      <c r="G12" s="45" t="s">
        <v>9</v>
      </c>
      <c r="H12" s="45" t="s">
        <v>15</v>
      </c>
      <c r="I12" s="45" t="s">
        <v>17</v>
      </c>
      <c r="J12" s="45" t="s">
        <v>7</v>
      </c>
      <c r="K12" s="45" t="s">
        <v>9</v>
      </c>
    </row>
    <row r="13" spans="2:11" ht="15">
      <c r="B13" s="11" t="s">
        <v>19</v>
      </c>
      <c r="C13" s="18"/>
      <c r="D13" s="10"/>
      <c r="E13" s="9"/>
      <c r="F13" s="9"/>
      <c r="G13" s="9"/>
      <c r="H13" s="9"/>
      <c r="I13" s="9"/>
      <c r="J13" s="9"/>
      <c r="K13" s="9"/>
    </row>
    <row r="14" spans="1:11" ht="15">
      <c r="A14" s="5">
        <v>1</v>
      </c>
      <c r="B14" s="1" t="s">
        <v>11</v>
      </c>
      <c r="D14" s="2">
        <v>35779</v>
      </c>
      <c r="E14" s="21">
        <v>369264</v>
      </c>
      <c r="F14" s="1">
        <v>281563</v>
      </c>
      <c r="G14" s="1">
        <f aca="true" t="shared" si="0" ref="G14:G38">E14-F14</f>
        <v>87701</v>
      </c>
      <c r="H14" s="7">
        <v>0.0214</v>
      </c>
      <c r="I14" s="8">
        <f>YEARFRAC(D14,$E$7)</f>
        <v>17.18888888888889</v>
      </c>
      <c r="J14" s="1">
        <f>E14*H14*I14</f>
        <v>135830.89034666665</v>
      </c>
      <c r="K14" s="1">
        <f>E14-J14</f>
        <v>233433.10965333335</v>
      </c>
    </row>
    <row r="15" spans="1:11" ht="15">
      <c r="A15" s="5">
        <f>+A14+1</f>
        <v>2</v>
      </c>
      <c r="B15" s="1" t="s">
        <v>12</v>
      </c>
      <c r="D15" s="2">
        <v>35779</v>
      </c>
      <c r="E15" s="21">
        <f>11665+107990</f>
        <v>119655</v>
      </c>
      <c r="F15" s="1">
        <f>8894+82344</f>
        <v>91238</v>
      </c>
      <c r="G15" s="1">
        <f t="shared" si="0"/>
        <v>28417</v>
      </c>
      <c r="H15" s="7">
        <v>0.0214</v>
      </c>
      <c r="I15" s="8">
        <f aca="true" t="shared" si="1" ref="I15:I38">YEARFRAC(D15,$E$7)</f>
        <v>17.18888888888889</v>
      </c>
      <c r="J15" s="1">
        <f aca="true" t="shared" si="2" ref="J15:J38">E15*H15*I15</f>
        <v>44014.1611</v>
      </c>
      <c r="K15" s="1">
        <f aca="true" t="shared" si="3" ref="K15:K38">E15-J15</f>
        <v>75640.8389</v>
      </c>
    </row>
    <row r="16" spans="1:11" ht="15">
      <c r="A16" s="5">
        <f aca="true" t="shared" si="4" ref="A16:A70">+A15+1</f>
        <v>3</v>
      </c>
      <c r="B16" s="1" t="s">
        <v>11</v>
      </c>
      <c r="D16" s="2">
        <v>36250</v>
      </c>
      <c r="E16" s="21">
        <v>805210</v>
      </c>
      <c r="F16" s="1">
        <v>560292</v>
      </c>
      <c r="G16" s="1">
        <f t="shared" si="0"/>
        <v>244918</v>
      </c>
      <c r="H16" s="7">
        <v>0.0214</v>
      </c>
      <c r="I16" s="8">
        <f t="shared" si="1"/>
        <v>15.897222222222222</v>
      </c>
      <c r="J16" s="1">
        <f t="shared" si="2"/>
        <v>273932.88933888887</v>
      </c>
      <c r="K16" s="1">
        <f t="shared" si="3"/>
        <v>531277.1106611111</v>
      </c>
    </row>
    <row r="17" spans="1:11" ht="15">
      <c r="A17" s="5">
        <f t="shared" si="4"/>
        <v>4</v>
      </c>
      <c r="B17" s="1" t="s">
        <v>12</v>
      </c>
      <c r="D17" s="2">
        <v>36175</v>
      </c>
      <c r="E17" s="21">
        <v>138714</v>
      </c>
      <c r="F17" s="1">
        <v>98256</v>
      </c>
      <c r="G17" s="1">
        <f t="shared" si="0"/>
        <v>40458</v>
      </c>
      <c r="H17" s="7">
        <v>0.0214</v>
      </c>
      <c r="I17" s="8">
        <f t="shared" si="1"/>
        <v>16.105555555555554</v>
      </c>
      <c r="J17" s="1">
        <f t="shared" si="2"/>
        <v>47809.01311333333</v>
      </c>
      <c r="K17" s="1">
        <f t="shared" si="3"/>
        <v>90904.98688666668</v>
      </c>
    </row>
    <row r="18" spans="1:11" ht="15">
      <c r="A18" s="5">
        <f t="shared" si="4"/>
        <v>5</v>
      </c>
      <c r="B18" s="1" t="s">
        <v>11</v>
      </c>
      <c r="D18" s="2">
        <v>36464</v>
      </c>
      <c r="E18" s="21">
        <v>138952</v>
      </c>
      <c r="F18" s="1">
        <v>92635</v>
      </c>
      <c r="G18" s="1">
        <f t="shared" si="0"/>
        <v>46317</v>
      </c>
      <c r="H18" s="7">
        <v>0.0214</v>
      </c>
      <c r="I18" s="8">
        <f t="shared" si="1"/>
        <v>15.313888888888888</v>
      </c>
      <c r="J18" s="1">
        <f t="shared" si="2"/>
        <v>45536.96346222222</v>
      </c>
      <c r="K18" s="1">
        <f t="shared" si="3"/>
        <v>93415.03653777778</v>
      </c>
    </row>
    <row r="19" spans="1:11" ht="15">
      <c r="A19" s="5">
        <f t="shared" si="4"/>
        <v>6</v>
      </c>
      <c r="B19" s="1" t="s">
        <v>11</v>
      </c>
      <c r="D19" s="2">
        <v>36965</v>
      </c>
      <c r="E19" s="21">
        <f>12818+147390+83334</f>
        <v>243542</v>
      </c>
      <c r="F19" s="1">
        <f>7691+50000+88434</f>
        <v>146125</v>
      </c>
      <c r="G19" s="1">
        <f t="shared" si="0"/>
        <v>97417</v>
      </c>
      <c r="H19" s="7">
        <v>0.0214</v>
      </c>
      <c r="I19" s="8">
        <f t="shared" si="1"/>
        <v>13.938888888888888</v>
      </c>
      <c r="J19" s="1">
        <f t="shared" si="2"/>
        <v>72646.68438444444</v>
      </c>
      <c r="K19" s="1">
        <f t="shared" si="3"/>
        <v>170895.31561555556</v>
      </c>
    </row>
    <row r="20" spans="1:11" ht="15">
      <c r="A20" s="5">
        <f t="shared" si="4"/>
        <v>7</v>
      </c>
      <c r="B20" s="1" t="s">
        <v>11</v>
      </c>
      <c r="D20" s="2">
        <v>36717</v>
      </c>
      <c r="E20" s="21">
        <v>2650256</v>
      </c>
      <c r="F20" s="1">
        <v>1678495</v>
      </c>
      <c r="G20" s="1">
        <f t="shared" si="0"/>
        <v>971761</v>
      </c>
      <c r="H20" s="7">
        <v>0.0214</v>
      </c>
      <c r="I20" s="8">
        <f t="shared" si="1"/>
        <v>14.619444444444444</v>
      </c>
      <c r="J20" s="1">
        <f t="shared" si="2"/>
        <v>829148.7856088888</v>
      </c>
      <c r="K20" s="1">
        <f t="shared" si="3"/>
        <v>1821107.2143911112</v>
      </c>
    </row>
    <row r="21" spans="1:11" ht="15">
      <c r="A21" s="5">
        <f t="shared" si="4"/>
        <v>8</v>
      </c>
      <c r="B21" s="1" t="s">
        <v>11</v>
      </c>
      <c r="D21" s="2">
        <v>37621</v>
      </c>
      <c r="E21" s="21">
        <v>15551</v>
      </c>
      <c r="F21" s="1">
        <v>5443</v>
      </c>
      <c r="G21" s="1">
        <f t="shared" si="0"/>
        <v>10108</v>
      </c>
      <c r="H21" s="7">
        <v>0.0214</v>
      </c>
      <c r="I21" s="8">
        <f t="shared" si="1"/>
        <v>12.147222222222222</v>
      </c>
      <c r="J21" s="1">
        <f t="shared" si="2"/>
        <v>4042.4910894444447</v>
      </c>
      <c r="K21" s="1">
        <f t="shared" si="3"/>
        <v>11508.508910555556</v>
      </c>
    </row>
    <row r="22" spans="1:11" ht="15">
      <c r="A22" s="5">
        <f t="shared" si="4"/>
        <v>9</v>
      </c>
      <c r="B22" s="1" t="s">
        <v>11</v>
      </c>
      <c r="D22" s="2">
        <v>37903</v>
      </c>
      <c r="E22" s="21">
        <v>21695</v>
      </c>
      <c r="F22" s="1">
        <v>7051</v>
      </c>
      <c r="G22" s="1">
        <f t="shared" si="0"/>
        <v>14644</v>
      </c>
      <c r="H22" s="7">
        <v>0.0214</v>
      </c>
      <c r="I22" s="8">
        <f t="shared" si="1"/>
        <v>11.372222222222222</v>
      </c>
      <c r="J22" s="1">
        <f t="shared" si="2"/>
        <v>5279.815727777777</v>
      </c>
      <c r="K22" s="1">
        <f t="shared" si="3"/>
        <v>16415.18427222222</v>
      </c>
    </row>
    <row r="23" spans="1:11" ht="15">
      <c r="A23" s="5">
        <f t="shared" si="4"/>
        <v>10</v>
      </c>
      <c r="B23" s="1" t="s">
        <v>20</v>
      </c>
      <c r="D23" s="2">
        <v>38898</v>
      </c>
      <c r="E23" s="21">
        <v>9800</v>
      </c>
      <c r="F23" s="1">
        <v>2287</v>
      </c>
      <c r="G23" s="1">
        <f t="shared" si="0"/>
        <v>7513</v>
      </c>
      <c r="H23" s="7">
        <v>0.0214</v>
      </c>
      <c r="I23" s="8">
        <f t="shared" si="1"/>
        <v>8.647222222222222</v>
      </c>
      <c r="J23" s="1">
        <f t="shared" si="2"/>
        <v>1813.4954444444445</v>
      </c>
      <c r="K23" s="1">
        <f t="shared" si="3"/>
        <v>7986.504555555555</v>
      </c>
    </row>
    <row r="24" spans="1:11" ht="15">
      <c r="A24" s="5">
        <f t="shared" si="4"/>
        <v>11</v>
      </c>
      <c r="B24" s="1" t="s">
        <v>20</v>
      </c>
      <c r="D24" s="2">
        <v>39263</v>
      </c>
      <c r="E24" s="21">
        <v>70518</v>
      </c>
      <c r="F24" s="1">
        <v>14104</v>
      </c>
      <c r="G24" s="1">
        <f t="shared" si="0"/>
        <v>56414</v>
      </c>
      <c r="H24" s="7">
        <v>0.0214</v>
      </c>
      <c r="I24" s="8">
        <f t="shared" si="1"/>
        <v>7.647222222222222</v>
      </c>
      <c r="J24" s="1">
        <f t="shared" si="2"/>
        <v>11540.309876666666</v>
      </c>
      <c r="K24" s="1">
        <f t="shared" si="3"/>
        <v>58977.690123333334</v>
      </c>
    </row>
    <row r="25" spans="1:11" ht="15">
      <c r="A25" s="5">
        <f t="shared" si="4"/>
        <v>12</v>
      </c>
      <c r="B25" s="1" t="s">
        <v>20</v>
      </c>
      <c r="D25" s="2">
        <v>39629</v>
      </c>
      <c r="E25" s="21">
        <v>55951</v>
      </c>
      <c r="F25" s="1">
        <v>13055</v>
      </c>
      <c r="G25" s="1">
        <f t="shared" si="0"/>
        <v>42896</v>
      </c>
      <c r="H25" s="7">
        <v>0.0214</v>
      </c>
      <c r="I25" s="8">
        <f t="shared" si="1"/>
        <v>6.647222222222222</v>
      </c>
      <c r="J25" s="1">
        <f t="shared" si="2"/>
        <v>7959.060833888889</v>
      </c>
      <c r="K25" s="1">
        <f t="shared" si="3"/>
        <v>47991.939166111115</v>
      </c>
    </row>
    <row r="26" spans="1:11" ht="15">
      <c r="A26" s="5">
        <f t="shared" si="4"/>
        <v>13</v>
      </c>
      <c r="B26" s="1" t="s">
        <v>11</v>
      </c>
      <c r="D26" s="2">
        <v>39904</v>
      </c>
      <c r="E26" s="21">
        <v>70414</v>
      </c>
      <c r="F26" s="1">
        <v>13789</v>
      </c>
      <c r="G26" s="1">
        <f t="shared" si="0"/>
        <v>56625</v>
      </c>
      <c r="H26" s="7">
        <v>0.0214</v>
      </c>
      <c r="I26" s="8">
        <f t="shared" si="1"/>
        <v>5.894444444444445</v>
      </c>
      <c r="J26" s="1">
        <f t="shared" si="2"/>
        <v>8882.100197777778</v>
      </c>
      <c r="K26" s="1">
        <f t="shared" si="3"/>
        <v>61531.89980222222</v>
      </c>
    </row>
    <row r="27" spans="1:11" ht="15">
      <c r="A27" s="5">
        <f t="shared" si="4"/>
        <v>14</v>
      </c>
      <c r="B27" s="1" t="s">
        <v>21</v>
      </c>
      <c r="D27" s="2">
        <v>39791</v>
      </c>
      <c r="E27" s="21">
        <v>31150</v>
      </c>
      <c r="F27" s="1">
        <v>6619</v>
      </c>
      <c r="G27" s="1">
        <f t="shared" si="0"/>
        <v>24531</v>
      </c>
      <c r="H27" s="7">
        <v>0.0214</v>
      </c>
      <c r="I27" s="8">
        <f t="shared" si="1"/>
        <v>6.205555555555556</v>
      </c>
      <c r="J27" s="1">
        <f t="shared" si="2"/>
        <v>4136.685388888889</v>
      </c>
      <c r="K27" s="1">
        <f t="shared" si="3"/>
        <v>27013.314611111113</v>
      </c>
    </row>
    <row r="28" spans="1:11" ht="15">
      <c r="A28" s="5">
        <f t="shared" si="4"/>
        <v>15</v>
      </c>
      <c r="B28" s="1" t="s">
        <v>22</v>
      </c>
      <c r="D28" s="2">
        <v>39791</v>
      </c>
      <c r="E28" s="21">
        <v>52589</v>
      </c>
      <c r="F28" s="1">
        <v>11175</v>
      </c>
      <c r="G28" s="1">
        <f t="shared" si="0"/>
        <v>41414</v>
      </c>
      <c r="H28" s="7">
        <v>0.0214</v>
      </c>
      <c r="I28" s="8">
        <f t="shared" si="1"/>
        <v>6.205555555555556</v>
      </c>
      <c r="J28" s="1">
        <f t="shared" si="2"/>
        <v>6983.760767777777</v>
      </c>
      <c r="K28" s="1">
        <f t="shared" si="3"/>
        <v>45605.23923222222</v>
      </c>
    </row>
    <row r="29" spans="1:11" ht="15">
      <c r="A29" s="5">
        <f t="shared" si="4"/>
        <v>16</v>
      </c>
      <c r="B29" s="1" t="s">
        <v>23</v>
      </c>
      <c r="D29" s="2">
        <v>39994</v>
      </c>
      <c r="E29" s="21">
        <v>459315</v>
      </c>
      <c r="F29" s="1">
        <v>84208</v>
      </c>
      <c r="G29" s="1">
        <f t="shared" si="0"/>
        <v>375107</v>
      </c>
      <c r="H29" s="7">
        <v>0.0214</v>
      </c>
      <c r="I29" s="8">
        <f t="shared" si="1"/>
        <v>5.647222222222222</v>
      </c>
      <c r="J29" s="1">
        <f t="shared" si="2"/>
        <v>55508.472925</v>
      </c>
      <c r="K29" s="1">
        <f t="shared" si="3"/>
        <v>403806.527075</v>
      </c>
    </row>
    <row r="30" spans="1:11" ht="15">
      <c r="A30" s="5">
        <f t="shared" si="4"/>
        <v>17</v>
      </c>
      <c r="B30" s="1" t="s">
        <v>20</v>
      </c>
      <c r="D30" s="2">
        <v>39994</v>
      </c>
      <c r="E30" s="21">
        <v>23721</v>
      </c>
      <c r="F30" s="1">
        <v>4349</v>
      </c>
      <c r="G30" s="1">
        <f t="shared" si="0"/>
        <v>19372</v>
      </c>
      <c r="H30" s="7">
        <v>0.0214</v>
      </c>
      <c r="I30" s="8">
        <f t="shared" si="1"/>
        <v>5.647222222222222</v>
      </c>
      <c r="J30" s="1">
        <f t="shared" si="2"/>
        <v>2866.6960283333333</v>
      </c>
      <c r="K30" s="1">
        <f t="shared" si="3"/>
        <v>20854.303971666668</v>
      </c>
    </row>
    <row r="31" spans="1:11" ht="15">
      <c r="A31" s="5">
        <f t="shared" si="4"/>
        <v>18</v>
      </c>
      <c r="B31" s="1" t="s">
        <v>20</v>
      </c>
      <c r="D31" s="2">
        <v>40359</v>
      </c>
      <c r="E31" s="21">
        <v>140169</v>
      </c>
      <c r="F31" s="1">
        <v>18689</v>
      </c>
      <c r="G31" s="1">
        <f t="shared" si="0"/>
        <v>121480</v>
      </c>
      <c r="H31" s="7">
        <v>0.0214</v>
      </c>
      <c r="I31" s="8">
        <f t="shared" si="1"/>
        <v>4.647222222222222</v>
      </c>
      <c r="J31" s="1">
        <f t="shared" si="2"/>
        <v>13939.884921666666</v>
      </c>
      <c r="K31" s="1">
        <f t="shared" si="3"/>
        <v>126229.11507833333</v>
      </c>
    </row>
    <row r="32" spans="1:11" ht="15">
      <c r="A32" s="5">
        <f t="shared" si="4"/>
        <v>19</v>
      </c>
      <c r="B32" s="1" t="s">
        <v>20</v>
      </c>
      <c r="D32" s="2">
        <v>40359</v>
      </c>
      <c r="E32" s="21">
        <v>4965</v>
      </c>
      <c r="F32" s="1">
        <v>662</v>
      </c>
      <c r="G32" s="1">
        <f t="shared" si="0"/>
        <v>4303</v>
      </c>
      <c r="H32" s="7">
        <v>0.0214</v>
      </c>
      <c r="I32" s="8">
        <f t="shared" si="1"/>
        <v>4.647222222222222</v>
      </c>
      <c r="J32" s="1">
        <f t="shared" si="2"/>
        <v>493.7720083333333</v>
      </c>
      <c r="K32" s="1">
        <f t="shared" si="3"/>
        <v>4471.227991666667</v>
      </c>
    </row>
    <row r="33" spans="1:11" ht="15">
      <c r="A33" s="5">
        <f t="shared" si="4"/>
        <v>20</v>
      </c>
      <c r="B33" s="1" t="s">
        <v>20</v>
      </c>
      <c r="D33" s="2">
        <v>40724</v>
      </c>
      <c r="E33" s="21">
        <v>64767</v>
      </c>
      <c r="F33" s="1">
        <v>5397</v>
      </c>
      <c r="G33" s="1">
        <f t="shared" si="0"/>
        <v>59370</v>
      </c>
      <c r="H33" s="7">
        <v>0.0214</v>
      </c>
      <c r="I33" s="8">
        <f t="shared" si="1"/>
        <v>3.647222222222222</v>
      </c>
      <c r="J33" s="1">
        <f t="shared" si="2"/>
        <v>5055.1003316666665</v>
      </c>
      <c r="K33" s="1">
        <f t="shared" si="3"/>
        <v>59711.89966833333</v>
      </c>
    </row>
    <row r="34" spans="1:11" ht="15">
      <c r="A34" s="5">
        <f t="shared" si="4"/>
        <v>21</v>
      </c>
      <c r="B34" s="1" t="s">
        <v>20</v>
      </c>
      <c r="D34" s="2">
        <v>41455</v>
      </c>
      <c r="E34" s="21">
        <v>3604</v>
      </c>
      <c r="F34" s="1">
        <v>0</v>
      </c>
      <c r="G34" s="1">
        <f t="shared" si="0"/>
        <v>3604</v>
      </c>
      <c r="H34" s="7">
        <v>0.0214</v>
      </c>
      <c r="I34" s="8">
        <f t="shared" si="1"/>
        <v>1.6472222222222221</v>
      </c>
      <c r="J34" s="1">
        <f t="shared" si="2"/>
        <v>127.0430022222222</v>
      </c>
      <c r="K34" s="1">
        <f t="shared" si="3"/>
        <v>3476.956997777778</v>
      </c>
    </row>
    <row r="35" spans="1:11" ht="15">
      <c r="A35" s="5">
        <f t="shared" si="4"/>
        <v>22</v>
      </c>
      <c r="B35" s="1" t="s">
        <v>24</v>
      </c>
      <c r="D35" s="2">
        <v>41455</v>
      </c>
      <c r="E35" s="22">
        <v>553266</v>
      </c>
      <c r="F35" s="13">
        <v>0</v>
      </c>
      <c r="G35" s="13">
        <f t="shared" si="0"/>
        <v>553266</v>
      </c>
      <c r="H35" s="7">
        <v>0.0214</v>
      </c>
      <c r="I35" s="8">
        <f t="shared" si="1"/>
        <v>1.6472222222222221</v>
      </c>
      <c r="J35" s="13">
        <f t="shared" si="2"/>
        <v>19502.933869999997</v>
      </c>
      <c r="K35" s="13">
        <f t="shared" si="3"/>
        <v>533763.06613</v>
      </c>
    </row>
    <row r="36" spans="1:11" ht="15">
      <c r="A36" s="5">
        <f t="shared" si="4"/>
        <v>23</v>
      </c>
      <c r="B36" s="21" t="s">
        <v>24</v>
      </c>
      <c r="C36" s="21"/>
      <c r="D36" s="31">
        <v>41547</v>
      </c>
      <c r="E36" s="22">
        <v>405735</v>
      </c>
      <c r="F36" s="22">
        <v>0</v>
      </c>
      <c r="G36" s="22">
        <f t="shared" si="0"/>
        <v>405735</v>
      </c>
      <c r="H36" s="32">
        <v>0.0214</v>
      </c>
      <c r="I36" s="33">
        <f t="shared" si="1"/>
        <v>1.3972222222222221</v>
      </c>
      <c r="J36" s="22">
        <f t="shared" si="2"/>
        <v>12131.701908333333</v>
      </c>
      <c r="K36" s="22">
        <f t="shared" si="3"/>
        <v>393603.29809166666</v>
      </c>
    </row>
    <row r="37" spans="1:11" ht="15">
      <c r="A37" s="5">
        <f t="shared" si="4"/>
        <v>24</v>
      </c>
      <c r="B37" s="21" t="s">
        <v>24</v>
      </c>
      <c r="C37" s="21"/>
      <c r="D37" s="31">
        <v>41578</v>
      </c>
      <c r="E37" s="22">
        <v>24589</v>
      </c>
      <c r="F37" s="22">
        <v>0</v>
      </c>
      <c r="G37" s="22">
        <f t="shared" si="0"/>
        <v>24589</v>
      </c>
      <c r="H37" s="32">
        <v>0.0214</v>
      </c>
      <c r="I37" s="33">
        <f t="shared" si="1"/>
        <v>1.3138888888888889</v>
      </c>
      <c r="J37" s="22">
        <f t="shared" si="2"/>
        <v>691.3743772222223</v>
      </c>
      <c r="K37" s="22">
        <f t="shared" si="3"/>
        <v>23897.625622777778</v>
      </c>
    </row>
    <row r="38" spans="1:11" ht="15">
      <c r="A38" s="5">
        <f t="shared" si="4"/>
        <v>25</v>
      </c>
      <c r="B38" s="21" t="s">
        <v>24</v>
      </c>
      <c r="C38" s="21"/>
      <c r="D38" s="31">
        <v>41608</v>
      </c>
      <c r="E38" s="23">
        <v>42630</v>
      </c>
      <c r="F38" s="23">
        <v>0</v>
      </c>
      <c r="G38" s="23">
        <f t="shared" si="0"/>
        <v>42630</v>
      </c>
      <c r="H38" s="32">
        <v>0.0214</v>
      </c>
      <c r="I38" s="33">
        <f t="shared" si="1"/>
        <v>1.2305555555555556</v>
      </c>
      <c r="J38" s="23">
        <f t="shared" si="2"/>
        <v>1122.6136833333333</v>
      </c>
      <c r="K38" s="23">
        <f t="shared" si="3"/>
        <v>41507.38631666666</v>
      </c>
    </row>
    <row r="39" spans="1:11" ht="15">
      <c r="A39" s="5">
        <f t="shared" si="4"/>
        <v>26</v>
      </c>
      <c r="B39" s="1" t="s">
        <v>58</v>
      </c>
      <c r="E39" s="1">
        <f>SUM(E14:E38)</f>
        <v>6516022</v>
      </c>
      <c r="F39" s="1">
        <f>SUM(F14:F38)</f>
        <v>3135432</v>
      </c>
      <c r="G39" s="1">
        <f>SUM(G14:G38)</f>
        <v>3380590</v>
      </c>
      <c r="J39" s="1">
        <f>SUM(J14:J38)</f>
        <v>1610996.699737222</v>
      </c>
      <c r="K39" s="1">
        <f>SUM(K14:K38)</f>
        <v>4905025.300262777</v>
      </c>
    </row>
    <row r="40" spans="1:3" ht="15">
      <c r="A40" s="5">
        <f t="shared" si="4"/>
        <v>27</v>
      </c>
      <c r="B40" s="12" t="s">
        <v>25</v>
      </c>
      <c r="C40" s="12"/>
    </row>
    <row r="41" spans="1:11" ht="15">
      <c r="A41" s="5">
        <f t="shared" si="4"/>
        <v>28</v>
      </c>
      <c r="B41" s="1" t="s">
        <v>26</v>
      </c>
      <c r="D41" s="2">
        <v>37073</v>
      </c>
      <c r="E41" s="21">
        <v>11671</v>
      </c>
      <c r="F41" s="1">
        <v>6808</v>
      </c>
      <c r="G41" s="1">
        <f aca="true" t="shared" si="5" ref="G41:G46">E41-F41</f>
        <v>4863</v>
      </c>
      <c r="H41" s="7">
        <v>0.0339</v>
      </c>
      <c r="I41" s="8">
        <f aca="true" t="shared" si="6" ref="I41:I46">YEARFRAC(D41,$E$7)</f>
        <v>13.644444444444444</v>
      </c>
      <c r="J41" s="1">
        <f aca="true" t="shared" si="7" ref="J41:J46">E41*H41*I41</f>
        <v>5398.382146666667</v>
      </c>
      <c r="K41" s="1">
        <f aca="true" t="shared" si="8" ref="K41:K46">E41-J41</f>
        <v>6272.617853333333</v>
      </c>
    </row>
    <row r="42" spans="1:11" ht="15">
      <c r="A42" s="5">
        <f t="shared" si="4"/>
        <v>29</v>
      </c>
      <c r="B42" s="1" t="s">
        <v>27</v>
      </c>
      <c r="D42" s="2">
        <v>37658</v>
      </c>
      <c r="E42" s="21">
        <v>19500</v>
      </c>
      <c r="F42" s="1">
        <v>9831</v>
      </c>
      <c r="G42" s="1">
        <f t="shared" si="5"/>
        <v>9669</v>
      </c>
      <c r="H42" s="7">
        <v>0.0339</v>
      </c>
      <c r="I42" s="8">
        <f t="shared" si="6"/>
        <v>12.047222222222222</v>
      </c>
      <c r="J42" s="1">
        <f t="shared" si="7"/>
        <v>7963.81625</v>
      </c>
      <c r="K42" s="1">
        <f t="shared" si="8"/>
        <v>11536.18375</v>
      </c>
    </row>
    <row r="43" spans="1:11" ht="15">
      <c r="A43" s="5">
        <f t="shared" si="4"/>
        <v>30</v>
      </c>
      <c r="B43" s="1" t="s">
        <v>26</v>
      </c>
      <c r="D43" s="2">
        <v>37621</v>
      </c>
      <c r="E43" s="21">
        <v>132775</v>
      </c>
      <c r="F43" s="1">
        <v>67494</v>
      </c>
      <c r="G43" s="1">
        <f t="shared" si="5"/>
        <v>65281</v>
      </c>
      <c r="H43" s="7">
        <v>0.0339</v>
      </c>
      <c r="I43" s="8">
        <f t="shared" si="6"/>
        <v>12.147222222222222</v>
      </c>
      <c r="J43" s="1">
        <f t="shared" si="7"/>
        <v>54675.52789583334</v>
      </c>
      <c r="K43" s="1">
        <f t="shared" si="8"/>
        <v>78099.47210416666</v>
      </c>
    </row>
    <row r="44" spans="1:11" ht="15">
      <c r="A44" s="5">
        <f t="shared" si="4"/>
        <v>31</v>
      </c>
      <c r="B44" s="1" t="s">
        <v>26</v>
      </c>
      <c r="D44" s="2">
        <v>38168</v>
      </c>
      <c r="E44" s="21">
        <v>119721</v>
      </c>
      <c r="F44" s="1">
        <v>35916</v>
      </c>
      <c r="G44" s="1">
        <f t="shared" si="5"/>
        <v>83805</v>
      </c>
      <c r="H44" s="7">
        <v>0.0339</v>
      </c>
      <c r="I44" s="8">
        <f t="shared" si="6"/>
        <v>10.647222222222222</v>
      </c>
      <c r="J44" s="1">
        <f t="shared" si="7"/>
        <v>43212.1975075</v>
      </c>
      <c r="K44" s="1">
        <f t="shared" si="8"/>
        <v>76508.80249249999</v>
      </c>
    </row>
    <row r="45" spans="1:11" ht="15">
      <c r="A45" s="5">
        <f t="shared" si="4"/>
        <v>32</v>
      </c>
      <c r="B45" s="1" t="s">
        <v>26</v>
      </c>
      <c r="D45" s="2">
        <v>38496</v>
      </c>
      <c r="E45" s="21">
        <v>56450</v>
      </c>
      <c r="F45" s="1">
        <v>15210</v>
      </c>
      <c r="G45" s="1">
        <f t="shared" si="5"/>
        <v>41240</v>
      </c>
      <c r="H45" s="7">
        <v>0.0339</v>
      </c>
      <c r="I45" s="8">
        <f t="shared" si="6"/>
        <v>9.747222222222222</v>
      </c>
      <c r="J45" s="1">
        <f t="shared" si="7"/>
        <v>18652.820541666664</v>
      </c>
      <c r="K45" s="1">
        <f t="shared" si="8"/>
        <v>37797.17945833334</v>
      </c>
    </row>
    <row r="46" spans="1:11" ht="15">
      <c r="A46" s="5">
        <f t="shared" si="4"/>
        <v>33</v>
      </c>
      <c r="B46" s="1" t="s">
        <v>26</v>
      </c>
      <c r="D46" s="2">
        <v>38841</v>
      </c>
      <c r="E46" s="23">
        <v>179667</v>
      </c>
      <c r="F46" s="12">
        <v>61386</v>
      </c>
      <c r="G46" s="12">
        <f t="shared" si="5"/>
        <v>118281</v>
      </c>
      <c r="H46" s="7">
        <v>0.0339</v>
      </c>
      <c r="I46" s="8">
        <f t="shared" si="6"/>
        <v>8.802777777777777</v>
      </c>
      <c r="J46" s="12">
        <f t="shared" si="7"/>
        <v>53615.178082499995</v>
      </c>
      <c r="K46" s="12">
        <f t="shared" si="8"/>
        <v>126051.8219175</v>
      </c>
    </row>
    <row r="47" spans="1:11" ht="15">
      <c r="A47" s="5">
        <f t="shared" si="4"/>
        <v>34</v>
      </c>
      <c r="B47" s="1" t="s">
        <v>58</v>
      </c>
      <c r="E47" s="21">
        <f>SUM(E41:E46)</f>
        <v>519784</v>
      </c>
      <c r="F47" s="1">
        <f>SUM(F41:F46)</f>
        <v>196645</v>
      </c>
      <c r="G47" s="1">
        <f>SUM(G41:G46)</f>
        <v>323139</v>
      </c>
      <c r="J47" s="1">
        <f>SUM(J41:J46)</f>
        <v>183517.92242416667</v>
      </c>
      <c r="K47" s="1">
        <f>SUM(K41:K46)</f>
        <v>336266.0775758333</v>
      </c>
    </row>
    <row r="48" spans="1:5" ht="15">
      <c r="A48" s="5">
        <f t="shared" si="4"/>
        <v>35</v>
      </c>
      <c r="B48" s="12" t="s">
        <v>28</v>
      </c>
      <c r="C48" s="12"/>
      <c r="E48" s="21"/>
    </row>
    <row r="49" spans="1:11" ht="15">
      <c r="A49" s="5">
        <f t="shared" si="4"/>
        <v>36</v>
      </c>
      <c r="B49" s="13" t="s">
        <v>31</v>
      </c>
      <c r="C49" s="13"/>
      <c r="D49" s="2">
        <v>37697</v>
      </c>
      <c r="E49" s="21">
        <v>38830</v>
      </c>
      <c r="F49" s="1">
        <v>19253</v>
      </c>
      <c r="G49" s="1">
        <f aca="true" t="shared" si="9" ref="G49:G56">E49-F49</f>
        <v>19577</v>
      </c>
      <c r="H49" s="7">
        <v>0.0339</v>
      </c>
      <c r="I49" s="8">
        <f aca="true" t="shared" si="10" ref="I49:I56">YEARFRAC(D49,$E$7)</f>
        <v>11.933333333333334</v>
      </c>
      <c r="J49" s="1">
        <f aca="true" t="shared" si="11" ref="J49:J56">E49*H49*I49</f>
        <v>15708.2882</v>
      </c>
      <c r="K49" s="1">
        <f aca="true" t="shared" si="12" ref="K49:K56">E49-J49</f>
        <v>23121.711799999997</v>
      </c>
    </row>
    <row r="50" spans="1:11" ht="15">
      <c r="A50" s="5">
        <f t="shared" si="4"/>
        <v>37</v>
      </c>
      <c r="B50" s="13" t="s">
        <v>31</v>
      </c>
      <c r="C50" s="13"/>
      <c r="D50" s="2">
        <v>37903</v>
      </c>
      <c r="E50" s="21">
        <v>29628</v>
      </c>
      <c r="F50" s="1">
        <v>9629</v>
      </c>
      <c r="G50" s="1">
        <f t="shared" si="9"/>
        <v>19999</v>
      </c>
      <c r="H50" s="7">
        <v>0.0339</v>
      </c>
      <c r="I50" s="8">
        <f t="shared" si="10"/>
        <v>11.372222222222222</v>
      </c>
      <c r="J50" s="1">
        <f t="shared" si="11"/>
        <v>11422.13718</v>
      </c>
      <c r="K50" s="1">
        <f t="shared" si="12"/>
        <v>18205.862820000002</v>
      </c>
    </row>
    <row r="51" spans="1:11" ht="15">
      <c r="A51" s="5">
        <f t="shared" si="4"/>
        <v>38</v>
      </c>
      <c r="B51" s="1" t="s">
        <v>29</v>
      </c>
      <c r="D51" s="2">
        <v>38841</v>
      </c>
      <c r="E51" s="21">
        <v>39400</v>
      </c>
      <c r="F51" s="1">
        <v>13462</v>
      </c>
      <c r="G51" s="1">
        <f t="shared" si="9"/>
        <v>25938</v>
      </c>
      <c r="H51" s="7">
        <v>0.0339</v>
      </c>
      <c r="I51" s="8">
        <f t="shared" si="10"/>
        <v>8.802777777777777</v>
      </c>
      <c r="J51" s="1">
        <f t="shared" si="11"/>
        <v>11757.518166666667</v>
      </c>
      <c r="K51" s="1">
        <f t="shared" si="12"/>
        <v>27642.48183333333</v>
      </c>
    </row>
    <row r="52" spans="1:11" ht="15">
      <c r="A52" s="5">
        <f t="shared" si="4"/>
        <v>39</v>
      </c>
      <c r="B52" s="1" t="s">
        <v>30</v>
      </c>
      <c r="D52" s="2">
        <v>38630</v>
      </c>
      <c r="E52" s="21">
        <v>91267</v>
      </c>
      <c r="F52" s="1">
        <v>33845</v>
      </c>
      <c r="G52" s="1">
        <f t="shared" si="9"/>
        <v>57422</v>
      </c>
      <c r="H52" s="7">
        <v>0.0339</v>
      </c>
      <c r="I52" s="8">
        <f t="shared" si="10"/>
        <v>9.383333333333333</v>
      </c>
      <c r="J52" s="1">
        <f t="shared" si="11"/>
        <v>29031.576365</v>
      </c>
      <c r="K52" s="1">
        <f t="shared" si="12"/>
        <v>62235.423635</v>
      </c>
    </row>
    <row r="53" spans="1:11" ht="15">
      <c r="A53" s="5">
        <f t="shared" si="4"/>
        <v>40</v>
      </c>
      <c r="B53" s="1" t="s">
        <v>32</v>
      </c>
      <c r="D53" s="2">
        <v>38959</v>
      </c>
      <c r="E53" s="21">
        <v>50000</v>
      </c>
      <c r="F53" s="1">
        <v>11389</v>
      </c>
      <c r="G53" s="1">
        <f t="shared" si="9"/>
        <v>38611</v>
      </c>
      <c r="H53" s="7">
        <v>0.0339</v>
      </c>
      <c r="I53" s="8">
        <f t="shared" si="10"/>
        <v>8.480555555555556</v>
      </c>
      <c r="J53" s="1">
        <f t="shared" si="11"/>
        <v>14374.541666666668</v>
      </c>
      <c r="K53" s="1">
        <f t="shared" si="12"/>
        <v>35625.45833333333</v>
      </c>
    </row>
    <row r="54" spans="1:11" ht="15">
      <c r="A54" s="5">
        <f t="shared" si="4"/>
        <v>41</v>
      </c>
      <c r="B54" s="1" t="s">
        <v>32</v>
      </c>
      <c r="D54" s="2">
        <v>39263</v>
      </c>
      <c r="E54" s="21">
        <v>1427</v>
      </c>
      <c r="F54" s="1">
        <v>285</v>
      </c>
      <c r="G54" s="1">
        <f t="shared" si="9"/>
        <v>1142</v>
      </c>
      <c r="H54" s="7">
        <v>0.0339</v>
      </c>
      <c r="I54" s="8">
        <f t="shared" si="10"/>
        <v>7.647222222222222</v>
      </c>
      <c r="J54" s="1">
        <f t="shared" si="11"/>
        <v>369.93666916666666</v>
      </c>
      <c r="K54" s="1">
        <f t="shared" si="12"/>
        <v>1057.0633308333333</v>
      </c>
    </row>
    <row r="55" spans="1:11" ht="15">
      <c r="A55" s="5">
        <f t="shared" si="4"/>
        <v>42</v>
      </c>
      <c r="B55" s="1" t="s">
        <v>32</v>
      </c>
      <c r="D55" s="2">
        <v>39263</v>
      </c>
      <c r="E55" s="21">
        <v>1990</v>
      </c>
      <c r="F55" s="1">
        <v>398</v>
      </c>
      <c r="G55" s="1">
        <f t="shared" si="9"/>
        <v>1592</v>
      </c>
      <c r="H55" s="7">
        <v>0.0339</v>
      </c>
      <c r="I55" s="8">
        <f t="shared" si="10"/>
        <v>7.647222222222222</v>
      </c>
      <c r="J55" s="1">
        <f t="shared" si="11"/>
        <v>515.8892583333334</v>
      </c>
      <c r="K55" s="1">
        <f t="shared" si="12"/>
        <v>1474.1107416666666</v>
      </c>
    </row>
    <row r="56" spans="1:11" ht="15">
      <c r="A56" s="5">
        <f t="shared" si="4"/>
        <v>43</v>
      </c>
      <c r="B56" s="1" t="s">
        <v>33</v>
      </c>
      <c r="D56" s="2">
        <v>41090</v>
      </c>
      <c r="E56" s="23">
        <v>25462</v>
      </c>
      <c r="F56" s="12">
        <v>849</v>
      </c>
      <c r="G56" s="12">
        <f t="shared" si="9"/>
        <v>24613</v>
      </c>
      <c r="H56" s="7">
        <v>0.0339</v>
      </c>
      <c r="I56" s="8">
        <f t="shared" si="10"/>
        <v>2.647222222222222</v>
      </c>
      <c r="J56" s="12">
        <f t="shared" si="11"/>
        <v>2284.981098333333</v>
      </c>
      <c r="K56" s="12">
        <f t="shared" si="12"/>
        <v>23177.018901666666</v>
      </c>
    </row>
    <row r="57" spans="1:11" ht="15">
      <c r="A57" s="5">
        <f t="shared" si="4"/>
        <v>44</v>
      </c>
      <c r="B57" s="1" t="s">
        <v>58</v>
      </c>
      <c r="E57" s="21">
        <f>SUM(E49:E56)</f>
        <v>278004</v>
      </c>
      <c r="F57" s="1">
        <f>SUM(F49:F56)</f>
        <v>89110</v>
      </c>
      <c r="G57" s="1">
        <f>SUM(G49:G56)</f>
        <v>188894</v>
      </c>
      <c r="J57" s="1">
        <f>SUM(J49:J56)</f>
        <v>85464.86860416667</v>
      </c>
      <c r="K57" s="1">
        <f>SUM(K49:K56)</f>
        <v>192539.13139583328</v>
      </c>
    </row>
    <row r="58" spans="1:5" ht="15">
      <c r="A58" s="5">
        <f t="shared" si="4"/>
        <v>45</v>
      </c>
      <c r="B58" s="12" t="s">
        <v>34</v>
      </c>
      <c r="C58" s="12"/>
      <c r="E58" s="21"/>
    </row>
    <row r="59" spans="1:11" ht="15">
      <c r="A59" s="5">
        <f t="shared" si="4"/>
        <v>46</v>
      </c>
      <c r="B59" s="1" t="s">
        <v>35</v>
      </c>
      <c r="D59" s="2">
        <v>37621</v>
      </c>
      <c r="E59" s="21">
        <v>110671</v>
      </c>
      <c r="F59" s="1">
        <v>56258</v>
      </c>
      <c r="G59" s="1">
        <f>E59-F59</f>
        <v>54413</v>
      </c>
      <c r="H59" s="7">
        <v>0.0667</v>
      </c>
      <c r="I59" s="8">
        <f>YEARFRAC(D59,$E$7)</f>
        <v>12.147222222222222</v>
      </c>
      <c r="J59" s="1">
        <f>E59*H59*I59</f>
        <v>89667.82687805555</v>
      </c>
      <c r="K59" s="1">
        <f>E59-J59</f>
        <v>21003.17312194445</v>
      </c>
    </row>
    <row r="60" spans="1:11" ht="15">
      <c r="A60" s="5">
        <f t="shared" si="4"/>
        <v>47</v>
      </c>
      <c r="B60" s="1" t="s">
        <v>36</v>
      </c>
      <c r="D60" s="2">
        <v>37574</v>
      </c>
      <c r="E60" s="21">
        <v>5112</v>
      </c>
      <c r="F60" s="1">
        <v>2641</v>
      </c>
      <c r="G60" s="1">
        <f>E60-F60</f>
        <v>2471</v>
      </c>
      <c r="H60" s="7">
        <v>0.0667</v>
      </c>
      <c r="I60" s="8">
        <f>YEARFRAC(D60,$E$7)</f>
        <v>12.275</v>
      </c>
      <c r="J60" s="1">
        <f>E60*H60*I60</f>
        <v>4185.41166</v>
      </c>
      <c r="K60" s="1">
        <f>E60-J60</f>
        <v>926.5883400000002</v>
      </c>
    </row>
    <row r="61" spans="1:11" ht="15">
      <c r="A61" s="5">
        <f t="shared" si="4"/>
        <v>48</v>
      </c>
      <c r="B61" s="1" t="s">
        <v>36</v>
      </c>
      <c r="D61" s="2">
        <v>37658</v>
      </c>
      <c r="E61" s="21">
        <v>8446</v>
      </c>
      <c r="F61" s="1">
        <v>4258</v>
      </c>
      <c r="G61" s="1">
        <f>E61-F61</f>
        <v>4188</v>
      </c>
      <c r="H61" s="7">
        <v>0.0667</v>
      </c>
      <c r="I61" s="8">
        <f>YEARFRAC(D61,$E$7)</f>
        <v>12.047222222222222</v>
      </c>
      <c r="J61" s="1">
        <f>E61*H61*I61</f>
        <v>6786.780953888888</v>
      </c>
      <c r="K61" s="1">
        <f>E61-J61</f>
        <v>1659.2190461111122</v>
      </c>
    </row>
    <row r="62" spans="1:11" ht="15">
      <c r="A62" s="5">
        <f t="shared" si="4"/>
        <v>49</v>
      </c>
      <c r="B62" s="1" t="s">
        <v>36</v>
      </c>
      <c r="D62" s="2">
        <v>37804</v>
      </c>
      <c r="E62" s="21">
        <v>11650</v>
      </c>
      <c r="F62" s="1">
        <v>3883</v>
      </c>
      <c r="G62" s="1">
        <f>E62-F62</f>
        <v>7767</v>
      </c>
      <c r="H62" s="7">
        <v>0.0667</v>
      </c>
      <c r="I62" s="8">
        <f>YEARFRAC(D62,$E$7)</f>
        <v>11.641666666666667</v>
      </c>
      <c r="J62" s="1">
        <f>E62*H62*I62</f>
        <v>9046.215291666667</v>
      </c>
      <c r="K62" s="1">
        <f>E62-J62</f>
        <v>2603.7847083333327</v>
      </c>
    </row>
    <row r="63" spans="1:11" ht="15">
      <c r="A63" s="5">
        <f t="shared" si="4"/>
        <v>50</v>
      </c>
      <c r="B63" s="1" t="s">
        <v>37</v>
      </c>
      <c r="D63" s="2">
        <v>39819</v>
      </c>
      <c r="E63" s="23">
        <v>13837</v>
      </c>
      <c r="F63" s="12">
        <v>12453</v>
      </c>
      <c r="G63" s="12">
        <f>E63-F63</f>
        <v>1384</v>
      </c>
      <c r="H63" s="7">
        <v>0.0667</v>
      </c>
      <c r="I63" s="8">
        <f>YEARFRAC(D63,$E$7)</f>
        <v>6.1305555555555555</v>
      </c>
      <c r="J63" s="12">
        <f>E63*H63*I63</f>
        <v>5658.060764722221</v>
      </c>
      <c r="K63" s="12">
        <f>E63-J63</f>
        <v>8178.939235277779</v>
      </c>
    </row>
    <row r="64" spans="1:11" ht="15">
      <c r="A64" s="5">
        <f t="shared" si="4"/>
        <v>51</v>
      </c>
      <c r="B64" s="1" t="s">
        <v>58</v>
      </c>
      <c r="E64" s="21">
        <f>SUM(E59:E63)</f>
        <v>149716</v>
      </c>
      <c r="F64" s="1">
        <f>SUM(F59:F63)</f>
        <v>79493</v>
      </c>
      <c r="G64" s="1">
        <f>SUM(G59:G63)</f>
        <v>70223</v>
      </c>
      <c r="J64" s="1">
        <f>SUM(J59:J63)</f>
        <v>115344.29554833332</v>
      </c>
      <c r="K64" s="1">
        <f>SUM(K59:K63)</f>
        <v>34371.70445166667</v>
      </c>
    </row>
    <row r="65" spans="1:5" ht="15">
      <c r="A65" s="5">
        <f t="shared" si="4"/>
        <v>52</v>
      </c>
      <c r="B65" s="12" t="s">
        <v>38</v>
      </c>
      <c r="C65" s="12"/>
      <c r="E65" s="21"/>
    </row>
    <row r="66" spans="1:11" ht="15">
      <c r="A66" s="5">
        <f t="shared" si="4"/>
        <v>53</v>
      </c>
      <c r="B66" s="1" t="s">
        <v>39</v>
      </c>
      <c r="D66" s="2">
        <v>36160</v>
      </c>
      <c r="E66" s="21">
        <v>86864</v>
      </c>
      <c r="F66" s="1">
        <v>0</v>
      </c>
      <c r="G66" s="1">
        <f>E66-F66</f>
        <v>86864</v>
      </c>
      <c r="H66" s="7">
        <v>0.0133</v>
      </c>
      <c r="I66" s="8">
        <f>YEARFRAC(D66,$E$7)</f>
        <v>16.147222222222222</v>
      </c>
      <c r="J66" s="1">
        <f>E66*H66*I66</f>
        <v>18654.743737777775</v>
      </c>
      <c r="K66" s="1">
        <f>E66-J66</f>
        <v>68209.25626222222</v>
      </c>
    </row>
    <row r="67" spans="1:11" ht="15">
      <c r="A67" s="5">
        <f t="shared" si="4"/>
        <v>54</v>
      </c>
      <c r="B67" s="1" t="s">
        <v>40</v>
      </c>
      <c r="D67" s="2">
        <v>40724</v>
      </c>
      <c r="E67" s="23">
        <v>119157</v>
      </c>
      <c r="F67" s="12">
        <v>0</v>
      </c>
      <c r="G67" s="12">
        <f>E67-F67</f>
        <v>119157</v>
      </c>
      <c r="H67" s="7">
        <v>0.0133</v>
      </c>
      <c r="I67" s="8">
        <f>YEARFRAC(D67,$E$7)</f>
        <v>3.647222222222222</v>
      </c>
      <c r="J67" s="12">
        <f>E67*H67*I67</f>
        <v>5780.074375833333</v>
      </c>
      <c r="K67" s="12">
        <f>E67-J67</f>
        <v>113376.92562416667</v>
      </c>
    </row>
    <row r="68" spans="1:11" ht="15">
      <c r="A68" s="5">
        <f t="shared" si="4"/>
        <v>55</v>
      </c>
      <c r="B68" s="1" t="s">
        <v>58</v>
      </c>
      <c r="E68" s="24">
        <f>SUM(E66:E67)</f>
        <v>206021</v>
      </c>
      <c r="F68" s="14">
        <f>SUM(F66:F67)</f>
        <v>0</v>
      </c>
      <c r="G68" s="14">
        <f>SUM(G66:G67)</f>
        <v>206021</v>
      </c>
      <c r="J68" s="14">
        <f>SUM(J66:J67)</f>
        <v>24434.81811361111</v>
      </c>
      <c r="K68" s="14">
        <f>SUM(K66:K67)</f>
        <v>181586.1818863889</v>
      </c>
    </row>
    <row r="69" spans="1:2" ht="15">
      <c r="A69" s="5">
        <f t="shared" si="4"/>
        <v>56</v>
      </c>
      <c r="B69" s="1" t="s">
        <v>42</v>
      </c>
    </row>
    <row r="70" spans="1:11" ht="15.75" thickBot="1">
      <c r="A70" s="5">
        <f t="shared" si="4"/>
        <v>57</v>
      </c>
      <c r="B70" s="1" t="s">
        <v>41</v>
      </c>
      <c r="E70" s="25">
        <f>E39+E47+E57+E64+E68</f>
        <v>7669547</v>
      </c>
      <c r="F70" s="25">
        <f>F39+F47+F57+F64+F68</f>
        <v>3500680</v>
      </c>
      <c r="G70" s="25">
        <f>G39+G47+G57+G64+G68</f>
        <v>4168867</v>
      </c>
      <c r="H70" s="21"/>
      <c r="I70" s="21"/>
      <c r="J70" s="25">
        <f>J39+J47+J57+J64+J68</f>
        <v>2019758.6044274997</v>
      </c>
      <c r="K70" s="25">
        <f>K39+K47+K57+K64+K68</f>
        <v>5649788.395572499</v>
      </c>
    </row>
    <row r="71" spans="1:11" ht="15.75" thickTop="1">
      <c r="A71" s="5"/>
      <c r="E71" s="22"/>
      <c r="F71" s="22"/>
      <c r="G71" s="22"/>
      <c r="H71" s="21"/>
      <c r="I71" s="21"/>
      <c r="J71" s="22"/>
      <c r="K71" s="22"/>
    </row>
    <row r="72" spans="2:11" ht="15">
      <c r="B72" s="39" t="s">
        <v>79</v>
      </c>
      <c r="C72" s="39" t="s">
        <v>80</v>
      </c>
      <c r="D72" s="39" t="s">
        <v>81</v>
      </c>
      <c r="E72" s="39" t="s">
        <v>82</v>
      </c>
      <c r="F72" s="39" t="s">
        <v>83</v>
      </c>
      <c r="G72" s="39" t="s">
        <v>84</v>
      </c>
      <c r="H72" s="39" t="s">
        <v>85</v>
      </c>
      <c r="I72" s="39" t="s">
        <v>86</v>
      </c>
      <c r="J72" s="39"/>
      <c r="K72" s="39"/>
    </row>
    <row r="73" ht="15">
      <c r="B73" s="48" t="s">
        <v>43</v>
      </c>
    </row>
    <row r="75" spans="4:5" ht="15">
      <c r="D75" s="49" t="s">
        <v>45</v>
      </c>
      <c r="E75" s="45" t="s">
        <v>46</v>
      </c>
    </row>
    <row r="76" spans="1:5" ht="15">
      <c r="A76" s="1">
        <f>+A70+1</f>
        <v>58</v>
      </c>
      <c r="B76" s="16">
        <v>2001</v>
      </c>
      <c r="C76" s="1" t="s">
        <v>44</v>
      </c>
      <c r="D76" s="1">
        <v>1496</v>
      </c>
      <c r="E76" s="1">
        <f>D76</f>
        <v>1496</v>
      </c>
    </row>
    <row r="77" spans="1:5" ht="15">
      <c r="A77" s="1">
        <f>+A76+1</f>
        <v>59</v>
      </c>
      <c r="B77" s="16">
        <v>2002</v>
      </c>
      <c r="D77" s="1">
        <v>349</v>
      </c>
      <c r="E77" s="1">
        <f>D77+E76</f>
        <v>1845</v>
      </c>
    </row>
    <row r="78" spans="1:5" ht="15">
      <c r="A78" s="1">
        <f aca="true" t="shared" si="13" ref="A78:A89">+A77+1</f>
        <v>60</v>
      </c>
      <c r="B78" s="16">
        <v>2003</v>
      </c>
      <c r="D78" s="1">
        <v>340</v>
      </c>
      <c r="E78" s="1">
        <f aca="true" t="shared" si="14" ref="E78:E89">D78+E77</f>
        <v>2185</v>
      </c>
    </row>
    <row r="79" spans="1:5" ht="15">
      <c r="A79" s="1">
        <f t="shared" si="13"/>
        <v>61</v>
      </c>
      <c r="B79" s="16">
        <v>2004</v>
      </c>
      <c r="D79" s="1">
        <v>416</v>
      </c>
      <c r="E79" s="1">
        <f t="shared" si="14"/>
        <v>2601</v>
      </c>
    </row>
    <row r="80" spans="1:5" ht="15">
      <c r="A80" s="1">
        <f t="shared" si="13"/>
        <v>62</v>
      </c>
      <c r="B80" s="16">
        <v>2005</v>
      </c>
      <c r="D80" s="1">
        <v>536</v>
      </c>
      <c r="E80" s="1">
        <f t="shared" si="14"/>
        <v>3137</v>
      </c>
    </row>
    <row r="81" spans="1:5" ht="15">
      <c r="A81" s="1">
        <f t="shared" si="13"/>
        <v>63</v>
      </c>
      <c r="B81" s="16">
        <v>2006</v>
      </c>
      <c r="D81" s="1">
        <v>800</v>
      </c>
      <c r="E81" s="1">
        <f t="shared" si="14"/>
        <v>3937</v>
      </c>
    </row>
    <row r="82" spans="1:5" ht="15">
      <c r="A82" s="1">
        <f t="shared" si="13"/>
        <v>64</v>
      </c>
      <c r="B82" s="16">
        <v>2007</v>
      </c>
      <c r="D82" s="1">
        <v>865</v>
      </c>
      <c r="E82" s="1">
        <f t="shared" si="14"/>
        <v>4802</v>
      </c>
    </row>
    <row r="83" spans="1:5" ht="15">
      <c r="A83" s="1">
        <f t="shared" si="13"/>
        <v>65</v>
      </c>
      <c r="B83" s="16">
        <v>2008</v>
      </c>
      <c r="D83" s="1">
        <v>231</v>
      </c>
      <c r="E83" s="1">
        <f t="shared" si="14"/>
        <v>5033</v>
      </c>
    </row>
    <row r="84" spans="1:5" ht="15">
      <c r="A84" s="1">
        <f t="shared" si="13"/>
        <v>66</v>
      </c>
      <c r="B84" s="16">
        <v>2009</v>
      </c>
      <c r="D84" s="1">
        <v>274</v>
      </c>
      <c r="E84" s="1">
        <f t="shared" si="14"/>
        <v>5307</v>
      </c>
    </row>
    <row r="85" spans="1:5" ht="15">
      <c r="A85" s="1">
        <f t="shared" si="13"/>
        <v>67</v>
      </c>
      <c r="B85" s="16">
        <v>2010</v>
      </c>
      <c r="D85" s="1">
        <v>278</v>
      </c>
      <c r="E85" s="1">
        <f t="shared" si="14"/>
        <v>5585</v>
      </c>
    </row>
    <row r="86" spans="1:5" ht="15">
      <c r="A86" s="1">
        <f t="shared" si="13"/>
        <v>68</v>
      </c>
      <c r="B86" s="16">
        <v>2011</v>
      </c>
      <c r="D86" s="1">
        <v>109</v>
      </c>
      <c r="E86" s="1">
        <f t="shared" si="14"/>
        <v>5694</v>
      </c>
    </row>
    <row r="87" spans="1:5" ht="15">
      <c r="A87" s="1">
        <f t="shared" si="13"/>
        <v>69</v>
      </c>
      <c r="B87" s="16">
        <v>2012</v>
      </c>
      <c r="D87" s="1">
        <v>185</v>
      </c>
      <c r="E87" s="1">
        <f t="shared" si="14"/>
        <v>5879</v>
      </c>
    </row>
    <row r="88" spans="1:5" ht="15">
      <c r="A88" s="1">
        <f t="shared" si="13"/>
        <v>70</v>
      </c>
      <c r="B88" s="16">
        <v>2013</v>
      </c>
      <c r="D88" s="1">
        <v>342</v>
      </c>
      <c r="E88" s="1">
        <f t="shared" si="14"/>
        <v>6221</v>
      </c>
    </row>
    <row r="89" spans="1:5" ht="15">
      <c r="A89" s="1">
        <f t="shared" si="13"/>
        <v>71</v>
      </c>
      <c r="B89" s="16">
        <v>2014</v>
      </c>
      <c r="D89" s="1">
        <v>276</v>
      </c>
      <c r="E89" s="1">
        <f t="shared" si="14"/>
        <v>6497</v>
      </c>
    </row>
    <row r="90" ht="15">
      <c r="D90" s="1"/>
    </row>
    <row r="91" ht="15">
      <c r="B91" s="48" t="s">
        <v>47</v>
      </c>
    </row>
    <row r="93" spans="3:9" ht="15">
      <c r="C93" s="56" t="s">
        <v>62</v>
      </c>
      <c r="D93" s="56"/>
      <c r="E93" s="56"/>
      <c r="F93" s="56"/>
      <c r="G93" s="56"/>
      <c r="H93" s="56"/>
      <c r="I93" s="3"/>
    </row>
    <row r="94" spans="3:9" ht="15">
      <c r="C94" s="39" t="s">
        <v>48</v>
      </c>
      <c r="D94" s="39" t="s">
        <v>50</v>
      </c>
      <c r="E94" s="39" t="s">
        <v>52</v>
      </c>
      <c r="F94" s="39" t="s">
        <v>54</v>
      </c>
      <c r="G94" s="39"/>
      <c r="H94" s="39" t="s">
        <v>56</v>
      </c>
      <c r="I94" s="47" t="s">
        <v>60</v>
      </c>
    </row>
    <row r="95" spans="3:9" ht="15">
      <c r="C95" s="45" t="s">
        <v>49</v>
      </c>
      <c r="D95" s="45" t="s">
        <v>51</v>
      </c>
      <c r="E95" s="45" t="s">
        <v>53</v>
      </c>
      <c r="F95" s="45" t="s">
        <v>19</v>
      </c>
      <c r="G95" s="45" t="s">
        <v>55</v>
      </c>
      <c r="H95" s="45" t="s">
        <v>57</v>
      </c>
      <c r="I95" s="45" t="s">
        <v>61</v>
      </c>
    </row>
    <row r="96" spans="1:10" ht="15">
      <c r="A96" s="1">
        <f>+A89+1</f>
        <v>72</v>
      </c>
      <c r="B96" s="16">
        <v>1999</v>
      </c>
      <c r="C96" s="17">
        <v>1</v>
      </c>
      <c r="D96" s="17">
        <v>0.6</v>
      </c>
      <c r="E96" s="17">
        <v>0.9</v>
      </c>
      <c r="F96" s="17">
        <f>($D$76/$E$89)/3</f>
        <v>0.07675337335180339</v>
      </c>
      <c r="G96" s="17">
        <f>($D$76/$E$89)/3</f>
        <v>0.07675337335180339</v>
      </c>
      <c r="H96" s="17">
        <f>($D$76/$E$89)/3</f>
        <v>0.07675337335180339</v>
      </c>
      <c r="I96" s="13">
        <v>167</v>
      </c>
      <c r="J96" s="19"/>
    </row>
    <row r="97" spans="1:10" ht="15">
      <c r="A97" s="1">
        <f>+A96+1</f>
        <v>73</v>
      </c>
      <c r="B97" s="16">
        <v>2000</v>
      </c>
      <c r="C97" s="17"/>
      <c r="D97" s="17"/>
      <c r="E97" s="17"/>
      <c r="F97" s="17">
        <f aca="true" t="shared" si="15" ref="F97:H98">($D$76/$E$89)/3</f>
        <v>0.07675337335180339</v>
      </c>
      <c r="G97" s="17">
        <f t="shared" si="15"/>
        <v>0.07675337335180339</v>
      </c>
      <c r="H97" s="17">
        <f t="shared" si="15"/>
        <v>0.07675337335180339</v>
      </c>
      <c r="I97" s="13">
        <v>172</v>
      </c>
      <c r="J97" s="19"/>
    </row>
    <row r="98" spans="1:10" ht="15">
      <c r="A98" s="1">
        <f aca="true" t="shared" si="16" ref="A98:A113">+A97+1</f>
        <v>74</v>
      </c>
      <c r="B98" s="16">
        <v>2001</v>
      </c>
      <c r="C98" s="17"/>
      <c r="D98" s="17"/>
      <c r="E98" s="17"/>
      <c r="F98" s="17">
        <f t="shared" si="15"/>
        <v>0.07675337335180339</v>
      </c>
      <c r="G98" s="17">
        <f t="shared" si="15"/>
        <v>0.07675337335180339</v>
      </c>
      <c r="H98" s="17">
        <f t="shared" si="15"/>
        <v>0.07675337335180339</v>
      </c>
      <c r="I98" s="13">
        <v>177</v>
      </c>
      <c r="J98" s="19"/>
    </row>
    <row r="99" spans="1:10" ht="15">
      <c r="A99" s="1">
        <f t="shared" si="16"/>
        <v>75</v>
      </c>
      <c r="B99" s="16">
        <v>2002</v>
      </c>
      <c r="C99" s="17"/>
      <c r="D99" s="17"/>
      <c r="E99" s="17"/>
      <c r="F99" s="17">
        <f>$D$77/$E$89</f>
        <v>0.05371710020009235</v>
      </c>
      <c r="G99" s="17">
        <f>$D$77/$E$89</f>
        <v>0.05371710020009235</v>
      </c>
      <c r="H99" s="17">
        <f>$D$77/$E$89</f>
        <v>0.05371710020009235</v>
      </c>
      <c r="I99" s="13">
        <v>180</v>
      </c>
      <c r="J99" s="19"/>
    </row>
    <row r="100" spans="1:10" ht="15">
      <c r="A100" s="1">
        <f t="shared" si="16"/>
        <v>76</v>
      </c>
      <c r="B100" s="16">
        <v>2003</v>
      </c>
      <c r="C100" s="17"/>
      <c r="D100" s="17">
        <v>0.2</v>
      </c>
      <c r="E100" s="17"/>
      <c r="F100" s="17">
        <f>$D$78/$E$89</f>
        <v>0.05233184546713868</v>
      </c>
      <c r="G100" s="17">
        <f>$D$78/$E$89</f>
        <v>0.05233184546713868</v>
      </c>
      <c r="H100" s="17">
        <f>$D$78/$E$89</f>
        <v>0.05233184546713868</v>
      </c>
      <c r="I100" s="13">
        <v>184</v>
      </c>
      <c r="J100" s="19"/>
    </row>
    <row r="101" spans="1:10" ht="15">
      <c r="A101" s="1">
        <f t="shared" si="16"/>
        <v>77</v>
      </c>
      <c r="B101" s="16">
        <v>2004</v>
      </c>
      <c r="C101" s="17"/>
      <c r="D101" s="17"/>
      <c r="E101" s="17"/>
      <c r="F101" s="17">
        <f>$D$79/$E$89</f>
        <v>0.06402955210096968</v>
      </c>
      <c r="G101" s="17">
        <f>$D$79/$E$89</f>
        <v>0.06402955210096968</v>
      </c>
      <c r="H101" s="17">
        <f>$D$79/$E$89</f>
        <v>0.06402955210096968</v>
      </c>
      <c r="I101" s="13">
        <v>189</v>
      </c>
      <c r="J101" s="19"/>
    </row>
    <row r="102" spans="1:10" ht="15">
      <c r="A102" s="1">
        <f t="shared" si="16"/>
        <v>78</v>
      </c>
      <c r="B102" s="16">
        <v>2005</v>
      </c>
      <c r="C102" s="17"/>
      <c r="D102" s="17"/>
      <c r="E102" s="17"/>
      <c r="F102" s="17">
        <f>$D$80/$E$89</f>
        <v>0.08249961520701862</v>
      </c>
      <c r="G102" s="17">
        <f>$D$80/$E$89</f>
        <v>0.08249961520701862</v>
      </c>
      <c r="H102" s="17">
        <f>$D$80/$E$89</f>
        <v>0.08249961520701862</v>
      </c>
      <c r="I102" s="13">
        <v>195</v>
      </c>
      <c r="J102" s="19"/>
    </row>
    <row r="103" spans="1:10" ht="15">
      <c r="A103" s="1">
        <f t="shared" si="16"/>
        <v>79</v>
      </c>
      <c r="B103" s="16">
        <v>2006</v>
      </c>
      <c r="C103" s="17"/>
      <c r="D103" s="17">
        <v>0.2</v>
      </c>
      <c r="E103" s="17"/>
      <c r="F103" s="17">
        <f>$D$81/$E$89</f>
        <v>0.12313375404032631</v>
      </c>
      <c r="G103" s="17">
        <f>$D$81/$E$89</f>
        <v>0.12313375404032631</v>
      </c>
      <c r="H103" s="17">
        <f>$D$81/$E$89</f>
        <v>0.12313375404032631</v>
      </c>
      <c r="I103" s="13">
        <v>202</v>
      </c>
      <c r="J103" s="19"/>
    </row>
    <row r="104" spans="1:10" ht="15">
      <c r="A104" s="1">
        <f t="shared" si="16"/>
        <v>80</v>
      </c>
      <c r="B104" s="16">
        <v>2007</v>
      </c>
      <c r="C104" s="17"/>
      <c r="D104" s="17"/>
      <c r="E104" s="17"/>
      <c r="F104" s="17">
        <f>$D$82/$E$89</f>
        <v>0.1331383715561028</v>
      </c>
      <c r="G104" s="17">
        <f>$D$82/$E$89</f>
        <v>0.1331383715561028</v>
      </c>
      <c r="H104" s="17">
        <f>$D$82/$E$89</f>
        <v>0.1331383715561028</v>
      </c>
      <c r="I104" s="13">
        <v>207</v>
      </c>
      <c r="J104" s="19"/>
    </row>
    <row r="105" spans="1:10" ht="15">
      <c r="A105" s="1">
        <f t="shared" si="16"/>
        <v>81</v>
      </c>
      <c r="B105" s="16">
        <v>2008</v>
      </c>
      <c r="C105" s="17"/>
      <c r="D105" s="17"/>
      <c r="E105" s="17"/>
      <c r="F105" s="17">
        <f>$D$83/$E$89</f>
        <v>0.03555487147914422</v>
      </c>
      <c r="G105" s="17">
        <f>$D$83/$E$89</f>
        <v>0.03555487147914422</v>
      </c>
      <c r="H105" s="17">
        <f>$D$83/$E$89</f>
        <v>0.03555487147914422</v>
      </c>
      <c r="I105" s="13">
        <v>215</v>
      </c>
      <c r="J105" s="19"/>
    </row>
    <row r="106" spans="1:10" ht="15">
      <c r="A106" s="1">
        <f t="shared" si="16"/>
        <v>82</v>
      </c>
      <c r="B106" s="16">
        <v>2009</v>
      </c>
      <c r="C106" s="17"/>
      <c r="D106" s="17"/>
      <c r="E106" s="17"/>
      <c r="F106" s="17">
        <f>$D$84/$E$89</f>
        <v>0.04217331075881176</v>
      </c>
      <c r="G106" s="17">
        <f>$D$84/$E$89</f>
        <v>0.04217331075881176</v>
      </c>
      <c r="H106" s="17">
        <f>$D$84/$E$89</f>
        <v>0.04217331075881176</v>
      </c>
      <c r="I106" s="13">
        <v>215</v>
      </c>
      <c r="J106" s="19"/>
    </row>
    <row r="107" spans="1:10" ht="15">
      <c r="A107" s="1">
        <f t="shared" si="16"/>
        <v>83</v>
      </c>
      <c r="B107" s="16">
        <v>2010</v>
      </c>
      <c r="C107" s="17"/>
      <c r="D107" s="17"/>
      <c r="E107" s="17"/>
      <c r="F107" s="17">
        <f>$D$85/$E$89</f>
        <v>0.04278897952901339</v>
      </c>
      <c r="G107" s="17">
        <f>$D$85/$E$89</f>
        <v>0.04278897952901339</v>
      </c>
      <c r="H107" s="17">
        <f>$D$85/$E$89</f>
        <v>0.04278897952901339</v>
      </c>
      <c r="I107" s="13">
        <v>218</v>
      </c>
      <c r="J107" s="19"/>
    </row>
    <row r="108" spans="1:10" ht="15">
      <c r="A108" s="1">
        <f t="shared" si="16"/>
        <v>84</v>
      </c>
      <c r="B108" s="16">
        <v>2011</v>
      </c>
      <c r="C108" s="17"/>
      <c r="D108" s="17"/>
      <c r="E108" s="17"/>
      <c r="F108" s="17">
        <f>$D$86/$E$89</f>
        <v>0.016776973987994458</v>
      </c>
      <c r="G108" s="17">
        <f>$D$86/$E$89</f>
        <v>0.016776973987994458</v>
      </c>
      <c r="H108" s="17">
        <f>$D$86/$E$89</f>
        <v>0.016776973987994458</v>
      </c>
      <c r="I108" s="13">
        <v>225</v>
      </c>
      <c r="J108" s="19"/>
    </row>
    <row r="109" spans="1:10" ht="15">
      <c r="A109" s="1">
        <f t="shared" si="16"/>
        <v>85</v>
      </c>
      <c r="B109" s="16">
        <v>2012</v>
      </c>
      <c r="C109" s="17"/>
      <c r="D109" s="17"/>
      <c r="E109" s="17"/>
      <c r="F109" s="17">
        <f>$D$87/$E$89</f>
        <v>0.028474680621825458</v>
      </c>
      <c r="G109" s="17">
        <f>$D$87/$E$89</f>
        <v>0.028474680621825458</v>
      </c>
      <c r="H109" s="17">
        <f>$D$87/$E$89</f>
        <v>0.028474680621825458</v>
      </c>
      <c r="I109" s="13">
        <v>230</v>
      </c>
      <c r="J109" s="19"/>
    </row>
    <row r="110" spans="1:10" ht="15">
      <c r="A110" s="1">
        <f t="shared" si="16"/>
        <v>86</v>
      </c>
      <c r="B110" s="16">
        <v>2013</v>
      </c>
      <c r="C110" s="27"/>
      <c r="D110" s="27"/>
      <c r="E110" s="27"/>
      <c r="F110" s="27">
        <f>$D$88/$E$89</f>
        <v>0.052639679852239496</v>
      </c>
      <c r="G110" s="27">
        <f>$D$88/$E$89</f>
        <v>0.052639679852239496</v>
      </c>
      <c r="H110" s="27">
        <f>$D$88/$E$89</f>
        <v>0.052639679852239496</v>
      </c>
      <c r="I110" s="13">
        <v>232</v>
      </c>
      <c r="J110" s="19"/>
    </row>
    <row r="111" spans="1:10" ht="15">
      <c r="A111" s="1">
        <f t="shared" si="16"/>
        <v>87</v>
      </c>
      <c r="B111" s="16">
        <v>2014</v>
      </c>
      <c r="C111" s="27"/>
      <c r="D111" s="27"/>
      <c r="E111" s="27">
        <v>0.1</v>
      </c>
      <c r="F111" s="27">
        <f>$D$89/$E$89</f>
        <v>0.042481145143912574</v>
      </c>
      <c r="G111" s="27">
        <f>$D$89/$E$89</f>
        <v>0.042481145143912574</v>
      </c>
      <c r="H111" s="27">
        <f>$D$89/$E$89</f>
        <v>0.042481145143912574</v>
      </c>
      <c r="I111" s="13">
        <v>238</v>
      </c>
      <c r="J111" s="19"/>
    </row>
    <row r="112" spans="1:10" ht="15">
      <c r="A112" s="1">
        <f t="shared" si="16"/>
        <v>88</v>
      </c>
      <c r="B112" s="16">
        <v>2015</v>
      </c>
      <c r="C112" s="27"/>
      <c r="D112" s="27"/>
      <c r="E112" s="27"/>
      <c r="F112" s="27"/>
      <c r="G112" s="27"/>
      <c r="H112" s="27"/>
      <c r="I112" s="13"/>
      <c r="J112" s="19"/>
    </row>
    <row r="113" spans="1:10" ht="15">
      <c r="A113" s="1">
        <f t="shared" si="16"/>
        <v>89</v>
      </c>
      <c r="B113" s="1" t="s">
        <v>58</v>
      </c>
      <c r="C113" s="28">
        <f aca="true" t="shared" si="17" ref="C113:H113">SUM(C96:C111)</f>
        <v>1</v>
      </c>
      <c r="D113" s="28">
        <f t="shared" si="17"/>
        <v>1</v>
      </c>
      <c r="E113" s="28">
        <f t="shared" si="17"/>
        <v>1</v>
      </c>
      <c r="F113" s="28">
        <f t="shared" si="17"/>
        <v>1.0000000000000002</v>
      </c>
      <c r="G113" s="28">
        <f t="shared" si="17"/>
        <v>1.0000000000000002</v>
      </c>
      <c r="H113" s="28">
        <f t="shared" si="17"/>
        <v>1.0000000000000002</v>
      </c>
      <c r="I113" s="17"/>
      <c r="J113" s="13"/>
    </row>
    <row r="115" spans="1:8" ht="15">
      <c r="A115" s="1">
        <f>+A113+1</f>
        <v>90</v>
      </c>
      <c r="B115" s="3" t="s">
        <v>59</v>
      </c>
      <c r="C115" s="5"/>
      <c r="D115" s="5"/>
      <c r="E115" s="5"/>
      <c r="F115" s="6"/>
      <c r="G115" s="6"/>
      <c r="H115" s="6"/>
    </row>
    <row r="116" spans="1:9" ht="15.75" thickBot="1">
      <c r="A116" s="1">
        <f>+A115+1</f>
        <v>91</v>
      </c>
      <c r="B116" s="3" t="s">
        <v>5</v>
      </c>
      <c r="C116" s="25">
        <v>500000</v>
      </c>
      <c r="D116" s="25">
        <v>375000</v>
      </c>
      <c r="E116" s="25">
        <v>5962000</v>
      </c>
      <c r="F116" s="25">
        <v>7781000</v>
      </c>
      <c r="G116" s="25">
        <v>4827000</v>
      </c>
      <c r="H116" s="25">
        <v>1604000</v>
      </c>
      <c r="I116" s="15">
        <f>SUM(C116:H116)</f>
        <v>21049000</v>
      </c>
    </row>
    <row r="117" ht="15.75" thickTop="1"/>
    <row r="118" spans="3:9" ht="15">
      <c r="C118" s="56" t="s">
        <v>63</v>
      </c>
      <c r="D118" s="56"/>
      <c r="E118" s="56"/>
      <c r="F118" s="56"/>
      <c r="G118" s="56"/>
      <c r="H118" s="56"/>
      <c r="I118" s="56"/>
    </row>
    <row r="119" spans="3:9" ht="15">
      <c r="C119" s="39" t="s">
        <v>48</v>
      </c>
      <c r="D119" s="39" t="s">
        <v>50</v>
      </c>
      <c r="E119" s="39" t="s">
        <v>52</v>
      </c>
      <c r="F119" s="39" t="s">
        <v>54</v>
      </c>
      <c r="G119" s="39"/>
      <c r="H119" s="39" t="s">
        <v>56</v>
      </c>
      <c r="I119" s="39"/>
    </row>
    <row r="120" spans="3:9" ht="15">
      <c r="C120" s="45" t="s">
        <v>49</v>
      </c>
      <c r="D120" s="45" t="s">
        <v>51</v>
      </c>
      <c r="E120" s="45" t="s">
        <v>53</v>
      </c>
      <c r="F120" s="45" t="s">
        <v>19</v>
      </c>
      <c r="G120" s="45" t="s">
        <v>55</v>
      </c>
      <c r="H120" s="45" t="s">
        <v>57</v>
      </c>
      <c r="I120" s="45" t="s">
        <v>58</v>
      </c>
    </row>
    <row r="121" spans="1:9" ht="15">
      <c r="A121" s="1">
        <f>+A116+1</f>
        <v>92</v>
      </c>
      <c r="B121" s="16">
        <v>1999</v>
      </c>
      <c r="C121" s="1">
        <f aca="true" t="shared" si="18" ref="C121:H130">C$116*C96*($I96/$I$111)</f>
        <v>350840.33613445377</v>
      </c>
      <c r="D121" s="1">
        <f t="shared" si="18"/>
        <v>157878.15126050418</v>
      </c>
      <c r="E121" s="1">
        <f t="shared" si="18"/>
        <v>3765078.151260504</v>
      </c>
      <c r="F121" s="1">
        <f t="shared" si="18"/>
        <v>419056.3263630833</v>
      </c>
      <c r="G121" s="1">
        <f t="shared" si="18"/>
        <v>259964.64302205408</v>
      </c>
      <c r="H121" s="1">
        <f t="shared" si="18"/>
        <v>86385.59921428937</v>
      </c>
      <c r="I121" s="1">
        <f>SUM(C121:H121)</f>
        <v>5039203.2072548885</v>
      </c>
    </row>
    <row r="122" spans="1:9" ht="15">
      <c r="A122" s="1">
        <f>+A121+1</f>
        <v>93</v>
      </c>
      <c r="B122" s="16">
        <v>2000</v>
      </c>
      <c r="C122" s="1">
        <f t="shared" si="18"/>
        <v>0</v>
      </c>
      <c r="D122" s="1">
        <f t="shared" si="18"/>
        <v>0</v>
      </c>
      <c r="E122" s="1">
        <f t="shared" si="18"/>
        <v>0</v>
      </c>
      <c r="F122" s="1">
        <f t="shared" si="18"/>
        <v>431602.92296078044</v>
      </c>
      <c r="G122" s="1">
        <f t="shared" si="18"/>
        <v>267748.0155676246</v>
      </c>
      <c r="H122" s="1">
        <f t="shared" si="18"/>
        <v>88971.99440034594</v>
      </c>
      <c r="I122" s="1">
        <f aca="true" t="shared" si="19" ref="I122:I137">SUM(C122:H122)</f>
        <v>788322.932928751</v>
      </c>
    </row>
    <row r="123" spans="1:9" ht="15">
      <c r="A123" s="1">
        <f aca="true" t="shared" si="20" ref="A123:A138">+A122+1</f>
        <v>94</v>
      </c>
      <c r="B123" s="16">
        <v>2001</v>
      </c>
      <c r="C123" s="1">
        <f t="shared" si="18"/>
        <v>0</v>
      </c>
      <c r="D123" s="1">
        <f t="shared" si="18"/>
        <v>0</v>
      </c>
      <c r="E123" s="1">
        <f t="shared" si="18"/>
        <v>0</v>
      </c>
      <c r="F123" s="1">
        <f t="shared" si="18"/>
        <v>444149.51955847756</v>
      </c>
      <c r="G123" s="1">
        <f t="shared" si="18"/>
        <v>275531.3881131951</v>
      </c>
      <c r="H123" s="1">
        <f t="shared" si="18"/>
        <v>91558.38958640251</v>
      </c>
      <c r="I123" s="1">
        <f t="shared" si="19"/>
        <v>811239.2972580751</v>
      </c>
    </row>
    <row r="124" spans="1:9" ht="15">
      <c r="A124" s="1">
        <f t="shared" si="20"/>
        <v>95</v>
      </c>
      <c r="B124" s="16">
        <v>2002</v>
      </c>
      <c r="C124" s="1">
        <f t="shared" si="18"/>
        <v>0</v>
      </c>
      <c r="D124" s="1">
        <f t="shared" si="18"/>
        <v>0</v>
      </c>
      <c r="E124" s="1">
        <f t="shared" si="18"/>
        <v>0</v>
      </c>
      <c r="F124" s="1">
        <f t="shared" si="18"/>
        <v>316113.8495724594</v>
      </c>
      <c r="G124" s="1">
        <f t="shared" si="18"/>
        <v>196103.52806660603</v>
      </c>
      <c r="H124" s="1">
        <f t="shared" si="18"/>
        <v>65164.71079735573</v>
      </c>
      <c r="I124" s="1">
        <f t="shared" si="19"/>
        <v>577382.0884364211</v>
      </c>
    </row>
    <row r="125" spans="1:9" ht="15">
      <c r="A125" s="1">
        <f t="shared" si="20"/>
        <v>96</v>
      </c>
      <c r="B125" s="16">
        <v>2003</v>
      </c>
      <c r="C125" s="1">
        <f t="shared" si="18"/>
        <v>0</v>
      </c>
      <c r="D125" s="1">
        <f t="shared" si="18"/>
        <v>57983.19327731093</v>
      </c>
      <c r="E125" s="1">
        <f t="shared" si="18"/>
        <v>0</v>
      </c>
      <c r="F125" s="1">
        <f t="shared" si="18"/>
        <v>314805.5146331274</v>
      </c>
      <c r="G125" s="1">
        <f t="shared" si="18"/>
        <v>195291.89296158665</v>
      </c>
      <c r="H125" s="1">
        <f t="shared" si="18"/>
        <v>64895.006486510254</v>
      </c>
      <c r="I125" s="1">
        <f t="shared" si="19"/>
        <v>632975.6073585352</v>
      </c>
    </row>
    <row r="126" spans="1:9" ht="15">
      <c r="A126" s="1">
        <f t="shared" si="20"/>
        <v>97</v>
      </c>
      <c r="B126" s="16">
        <v>2004</v>
      </c>
      <c r="C126" s="1">
        <f t="shared" si="18"/>
        <v>0</v>
      </c>
      <c r="D126" s="1">
        <f t="shared" si="18"/>
        <v>0</v>
      </c>
      <c r="E126" s="1">
        <f t="shared" si="18"/>
        <v>0</v>
      </c>
      <c r="F126" s="1">
        <f t="shared" si="18"/>
        <v>395640.48565401224</v>
      </c>
      <c r="G126" s="1">
        <f t="shared" si="18"/>
        <v>245438.45575786108</v>
      </c>
      <c r="H126" s="1">
        <f t="shared" si="18"/>
        <v>81558.58359967044</v>
      </c>
      <c r="I126" s="1">
        <f t="shared" si="19"/>
        <v>722637.5250115438</v>
      </c>
    </row>
    <row r="127" spans="1:9" ht="15">
      <c r="A127" s="1">
        <f t="shared" si="20"/>
        <v>98</v>
      </c>
      <c r="B127" s="16">
        <v>2005</v>
      </c>
      <c r="C127" s="1">
        <f t="shared" si="18"/>
        <v>0</v>
      </c>
      <c r="D127" s="1">
        <f t="shared" si="18"/>
        <v>0</v>
      </c>
      <c r="E127" s="1">
        <f t="shared" si="18"/>
        <v>0</v>
      </c>
      <c r="F127" s="1">
        <f t="shared" si="18"/>
        <v>525950.6456114845</v>
      </c>
      <c r="G127" s="1">
        <f t="shared" si="18"/>
        <v>326277.3122177915</v>
      </c>
      <c r="H127" s="1">
        <f t="shared" si="18"/>
        <v>108421.13295987935</v>
      </c>
      <c r="I127" s="1">
        <f t="shared" si="19"/>
        <v>960649.0907891555</v>
      </c>
    </row>
    <row r="128" spans="1:9" ht="15">
      <c r="A128" s="1">
        <f t="shared" si="20"/>
        <v>99</v>
      </c>
      <c r="B128" s="16">
        <v>2006</v>
      </c>
      <c r="C128" s="1">
        <f t="shared" si="18"/>
        <v>0</v>
      </c>
      <c r="D128" s="1">
        <f t="shared" si="18"/>
        <v>63655.46218487395</v>
      </c>
      <c r="E128" s="1">
        <f t="shared" si="18"/>
        <v>0</v>
      </c>
      <c r="F128" s="1">
        <f t="shared" si="18"/>
        <v>813180.4853694595</v>
      </c>
      <c r="G128" s="1">
        <f t="shared" si="18"/>
        <v>504462.4345043543</v>
      </c>
      <c r="H128" s="1">
        <f t="shared" si="18"/>
        <v>167631.60243318506</v>
      </c>
      <c r="I128" s="1">
        <f t="shared" si="19"/>
        <v>1548929.9844918728</v>
      </c>
    </row>
    <row r="129" spans="1:9" ht="15">
      <c r="A129" s="1">
        <f t="shared" si="20"/>
        <v>100</v>
      </c>
      <c r="B129" s="16">
        <v>2007</v>
      </c>
      <c r="C129" s="1">
        <f t="shared" si="18"/>
        <v>0</v>
      </c>
      <c r="D129" s="1">
        <f t="shared" si="18"/>
        <v>0</v>
      </c>
      <c r="E129" s="1">
        <f t="shared" si="18"/>
        <v>0</v>
      </c>
      <c r="F129" s="1">
        <f t="shared" si="18"/>
        <v>901015.0483157708</v>
      </c>
      <c r="G129" s="1">
        <f t="shared" si="18"/>
        <v>558951.2451124823</v>
      </c>
      <c r="H129" s="1">
        <f t="shared" si="18"/>
        <v>185738.0976093685</v>
      </c>
      <c r="I129" s="1">
        <f t="shared" si="19"/>
        <v>1645704.3910376215</v>
      </c>
    </row>
    <row r="130" spans="1:9" ht="15">
      <c r="A130" s="1">
        <f t="shared" si="20"/>
        <v>101</v>
      </c>
      <c r="B130" s="16">
        <v>2008</v>
      </c>
      <c r="C130" s="1">
        <f t="shared" si="18"/>
        <v>0</v>
      </c>
      <c r="D130" s="1">
        <f t="shared" si="18"/>
        <v>0</v>
      </c>
      <c r="E130" s="1">
        <f t="shared" si="18"/>
        <v>0</v>
      </c>
      <c r="F130" s="1">
        <f t="shared" si="18"/>
        <v>249917.1336997166</v>
      </c>
      <c r="G130" s="1">
        <f t="shared" si="18"/>
        <v>155037.91342610618</v>
      </c>
      <c r="H130" s="1">
        <f t="shared" si="18"/>
        <v>51518.709992847376</v>
      </c>
      <c r="I130" s="1">
        <f t="shared" si="19"/>
        <v>456473.75711867015</v>
      </c>
    </row>
    <row r="131" spans="1:9" ht="15">
      <c r="A131" s="1">
        <f t="shared" si="20"/>
        <v>102</v>
      </c>
      <c r="B131" s="16">
        <v>2009</v>
      </c>
      <c r="C131" s="1">
        <f aca="true" t="shared" si="21" ref="C131:H137">C$116*C106*($I106/$I$111)</f>
        <v>0</v>
      </c>
      <c r="D131" s="1">
        <f t="shared" si="21"/>
        <v>0</v>
      </c>
      <c r="E131" s="1">
        <f t="shared" si="21"/>
        <v>0</v>
      </c>
      <c r="F131" s="1">
        <f t="shared" si="21"/>
        <v>296438.504907889</v>
      </c>
      <c r="G131" s="1">
        <f t="shared" si="21"/>
        <v>183897.7847565069</v>
      </c>
      <c r="H131" s="1">
        <f t="shared" si="21"/>
        <v>61108.772891948836</v>
      </c>
      <c r="I131" s="1">
        <f t="shared" si="19"/>
        <v>541445.0625563448</v>
      </c>
    </row>
    <row r="132" spans="1:9" ht="15">
      <c r="A132" s="1">
        <f t="shared" si="20"/>
        <v>103</v>
      </c>
      <c r="B132" s="16">
        <v>2010</v>
      </c>
      <c r="C132" s="1">
        <f t="shared" si="21"/>
        <v>0</v>
      </c>
      <c r="D132" s="1">
        <f t="shared" si="21"/>
        <v>0</v>
      </c>
      <c r="E132" s="1">
        <f t="shared" si="21"/>
        <v>0</v>
      </c>
      <c r="F132" s="1">
        <f t="shared" si="21"/>
        <v>304962.8102433832</v>
      </c>
      <c r="G132" s="1">
        <f t="shared" si="21"/>
        <v>189185.89963305625</v>
      </c>
      <c r="H132" s="1">
        <f t="shared" si="21"/>
        <v>62866.00020953434</v>
      </c>
      <c r="I132" s="1">
        <f t="shared" si="19"/>
        <v>557014.7100859738</v>
      </c>
    </row>
    <row r="133" spans="1:9" ht="15">
      <c r="A133" s="1">
        <f t="shared" si="20"/>
        <v>104</v>
      </c>
      <c r="B133" s="16">
        <v>2011</v>
      </c>
      <c r="C133" s="1">
        <f t="shared" si="21"/>
        <v>0</v>
      </c>
      <c r="D133" s="1">
        <f t="shared" si="21"/>
        <v>0</v>
      </c>
      <c r="E133" s="1">
        <f t="shared" si="21"/>
        <v>0</v>
      </c>
      <c r="F133" s="1">
        <f t="shared" si="21"/>
        <v>123411.20918122519</v>
      </c>
      <c r="G133" s="1">
        <f t="shared" si="21"/>
        <v>76559.0421176936</v>
      </c>
      <c r="H133" s="1">
        <f t="shared" si="21"/>
        <v>25440.377782635293</v>
      </c>
      <c r="I133" s="1">
        <f t="shared" si="19"/>
        <v>225410.6290815541</v>
      </c>
    </row>
    <row r="134" spans="1:9" ht="15">
      <c r="A134" s="1">
        <f t="shared" si="20"/>
        <v>105</v>
      </c>
      <c r="B134" s="16">
        <v>2012</v>
      </c>
      <c r="C134" s="1">
        <f t="shared" si="21"/>
        <v>0</v>
      </c>
      <c r="D134" s="1">
        <f t="shared" si="21"/>
        <v>0</v>
      </c>
      <c r="E134" s="1">
        <f t="shared" si="21"/>
        <v>0</v>
      </c>
      <c r="F134" s="1">
        <f t="shared" si="21"/>
        <v>214114.04487914912</v>
      </c>
      <c r="G134" s="1">
        <f t="shared" si="21"/>
        <v>132827.2066099027</v>
      </c>
      <c r="H134" s="1">
        <f t="shared" si="21"/>
        <v>44138.147794133816</v>
      </c>
      <c r="I134" s="1">
        <f t="shared" si="19"/>
        <v>391079.39928318566</v>
      </c>
    </row>
    <row r="135" spans="1:9" ht="15">
      <c r="A135" s="1">
        <f t="shared" si="20"/>
        <v>106</v>
      </c>
      <c r="B135" s="16">
        <v>2013</v>
      </c>
      <c r="C135" s="1">
        <f t="shared" si="21"/>
        <v>0</v>
      </c>
      <c r="D135" s="1">
        <f t="shared" si="21"/>
        <v>0</v>
      </c>
      <c r="E135" s="1">
        <f t="shared" si="21"/>
        <v>0</v>
      </c>
      <c r="F135" s="1">
        <f t="shared" si="21"/>
        <v>399263.56702447025</v>
      </c>
      <c r="G135" s="1">
        <f t="shared" si="21"/>
        <v>247686.06066406862</v>
      </c>
      <c r="H135" s="1">
        <f t="shared" si="21"/>
        <v>82305.45707585789</v>
      </c>
      <c r="I135" s="1">
        <f t="shared" si="19"/>
        <v>729255.0847643968</v>
      </c>
    </row>
    <row r="136" spans="1:9" ht="15">
      <c r="A136" s="1">
        <f t="shared" si="20"/>
        <v>107</v>
      </c>
      <c r="B136" s="16">
        <v>2014</v>
      </c>
      <c r="C136" s="22">
        <f t="shared" si="21"/>
        <v>0</v>
      </c>
      <c r="D136" s="22">
        <f t="shared" si="21"/>
        <v>0</v>
      </c>
      <c r="E136" s="22">
        <f t="shared" si="21"/>
        <v>596200</v>
      </c>
      <c r="F136" s="22">
        <f t="shared" si="21"/>
        <v>330545.7903647837</v>
      </c>
      <c r="G136" s="22">
        <f t="shared" si="21"/>
        <v>205056.487609666</v>
      </c>
      <c r="H136" s="22">
        <f t="shared" si="21"/>
        <v>68139.75681083577</v>
      </c>
      <c r="I136" s="13">
        <f t="shared" si="19"/>
        <v>1199942.0347852856</v>
      </c>
    </row>
    <row r="137" spans="1:9" ht="15">
      <c r="A137" s="1">
        <f t="shared" si="20"/>
        <v>108</v>
      </c>
      <c r="B137" s="16">
        <v>2015</v>
      </c>
      <c r="C137" s="22">
        <f t="shared" si="21"/>
        <v>0</v>
      </c>
      <c r="D137" s="22">
        <f t="shared" si="21"/>
        <v>0</v>
      </c>
      <c r="E137" s="22">
        <f t="shared" si="21"/>
        <v>0</v>
      </c>
      <c r="F137" s="22">
        <f t="shared" si="21"/>
        <v>0</v>
      </c>
      <c r="G137" s="22">
        <f t="shared" si="21"/>
        <v>0</v>
      </c>
      <c r="H137" s="22">
        <f t="shared" si="21"/>
        <v>0</v>
      </c>
      <c r="I137" s="13">
        <f t="shared" si="19"/>
        <v>0</v>
      </c>
    </row>
    <row r="138" spans="1:9" ht="15.75" thickBot="1">
      <c r="A138" s="1">
        <f t="shared" si="20"/>
        <v>109</v>
      </c>
      <c r="B138" s="1" t="s">
        <v>58</v>
      </c>
      <c r="C138" s="26">
        <f aca="true" t="shared" si="22" ref="C138:I138">SUM(C121:C137)</f>
        <v>350840.33613445377</v>
      </c>
      <c r="D138" s="26">
        <f t="shared" si="22"/>
        <v>279516.80672268907</v>
      </c>
      <c r="E138" s="26">
        <f t="shared" si="22"/>
        <v>4361278.1512605045</v>
      </c>
      <c r="F138" s="26">
        <f t="shared" si="22"/>
        <v>6480167.858339272</v>
      </c>
      <c r="G138" s="26">
        <f t="shared" si="22"/>
        <v>4020019.310140556</v>
      </c>
      <c r="H138" s="26">
        <f t="shared" si="22"/>
        <v>1335842.3396448004</v>
      </c>
      <c r="I138" s="26">
        <f t="shared" si="22"/>
        <v>16827664.802242275</v>
      </c>
    </row>
    <row r="139" spans="3:9" ht="15.75" thickTop="1">
      <c r="C139" s="19"/>
      <c r="D139" s="19"/>
      <c r="E139" s="19"/>
      <c r="F139" s="19"/>
      <c r="G139" s="19"/>
      <c r="H139" s="19"/>
      <c r="I139" s="19"/>
    </row>
    <row r="140" spans="2:11" ht="15">
      <c r="B140" s="39" t="s">
        <v>79</v>
      </c>
      <c r="C140" s="39" t="s">
        <v>80</v>
      </c>
      <c r="D140" s="39" t="s">
        <v>81</v>
      </c>
      <c r="E140" s="39" t="s">
        <v>82</v>
      </c>
      <c r="F140" s="39" t="s">
        <v>83</v>
      </c>
      <c r="G140" s="39" t="s">
        <v>84</v>
      </c>
      <c r="H140" s="39" t="s">
        <v>85</v>
      </c>
      <c r="I140" s="39" t="s">
        <v>86</v>
      </c>
      <c r="J140" s="39"/>
      <c r="K140" s="39"/>
    </row>
    <row r="141" spans="3:9" ht="15">
      <c r="C141" s="56" t="s">
        <v>64</v>
      </c>
      <c r="D141" s="56"/>
      <c r="E141" s="56"/>
      <c r="F141" s="56"/>
      <c r="G141" s="56"/>
      <c r="H141" s="56"/>
      <c r="I141" s="56"/>
    </row>
    <row r="142" spans="3:9" ht="15">
      <c r="C142" s="39" t="s">
        <v>48</v>
      </c>
      <c r="D142" s="39" t="s">
        <v>50</v>
      </c>
      <c r="E142" s="39" t="s">
        <v>52</v>
      </c>
      <c r="F142" s="39" t="s">
        <v>54</v>
      </c>
      <c r="G142" s="39"/>
      <c r="H142" s="39" t="s">
        <v>56</v>
      </c>
      <c r="I142" s="39"/>
    </row>
    <row r="143" spans="3:9" ht="15">
      <c r="C143" s="45" t="s">
        <v>49</v>
      </c>
      <c r="D143" s="45" t="s">
        <v>51</v>
      </c>
      <c r="E143" s="45" t="s">
        <v>53</v>
      </c>
      <c r="F143" s="45" t="s">
        <v>19</v>
      </c>
      <c r="G143" s="45" t="s">
        <v>55</v>
      </c>
      <c r="H143" s="45" t="s">
        <v>57</v>
      </c>
      <c r="I143" s="45" t="s">
        <v>58</v>
      </c>
    </row>
    <row r="144" spans="1:9" ht="15">
      <c r="A144" s="1">
        <f>+A138+1</f>
        <v>110</v>
      </c>
      <c r="B144" s="3" t="s">
        <v>15</v>
      </c>
      <c r="C144" s="46">
        <v>0.0339</v>
      </c>
      <c r="D144" s="46">
        <v>0.0339</v>
      </c>
      <c r="E144" s="46">
        <v>0.0214</v>
      </c>
      <c r="F144" s="46">
        <v>0.0214</v>
      </c>
      <c r="G144" s="46">
        <v>0.0342</v>
      </c>
      <c r="H144" s="46">
        <v>0.0339</v>
      </c>
      <c r="I144" s="46"/>
    </row>
    <row r="145" spans="1:10" ht="15">
      <c r="A145" s="1">
        <f>+A144+1</f>
        <v>111</v>
      </c>
      <c r="B145" s="16">
        <v>1999</v>
      </c>
      <c r="C145" s="21">
        <f aca="true" t="shared" si="23" ref="C145:H147">C121*C$144*(($B$160-$B145)+((6+2)/12))</f>
        <v>186331.3025210084</v>
      </c>
      <c r="D145" s="21">
        <f t="shared" si="23"/>
        <v>83849.08613445377</v>
      </c>
      <c r="E145" s="21">
        <f t="shared" si="23"/>
        <v>1262305.201512605</v>
      </c>
      <c r="F145" s="21">
        <f t="shared" si="23"/>
        <v>140495.61768532972</v>
      </c>
      <c r="G145" s="21">
        <f t="shared" si="23"/>
        <v>139289.05573121656</v>
      </c>
      <c r="H145" s="21">
        <f t="shared" si="23"/>
        <v>45879.391742709086</v>
      </c>
      <c r="I145" s="21">
        <f>SUM(C145:H145)</f>
        <v>1858149.6553273224</v>
      </c>
      <c r="J145" s="19"/>
    </row>
    <row r="146" spans="1:10" ht="15">
      <c r="A146" s="1">
        <f aca="true" t="shared" si="24" ref="A146:A162">+A145+1</f>
        <v>112</v>
      </c>
      <c r="B146" s="16">
        <v>2000</v>
      </c>
      <c r="C146" s="21">
        <f t="shared" si="23"/>
        <v>0</v>
      </c>
      <c r="D146" s="21">
        <f t="shared" si="23"/>
        <v>0</v>
      </c>
      <c r="E146" s="21">
        <f t="shared" si="23"/>
        <v>0</v>
      </c>
      <c r="F146" s="21">
        <f t="shared" si="23"/>
        <v>135465.77075329027</v>
      </c>
      <c r="G146" s="21">
        <f t="shared" si="23"/>
        <v>134302.40460872048</v>
      </c>
      <c r="H146" s="21">
        <f t="shared" si="23"/>
        <v>44236.875615852</v>
      </c>
      <c r="I146" s="21">
        <f>SUM(C146:H146)</f>
        <v>314005.05097786273</v>
      </c>
      <c r="J146" s="19"/>
    </row>
    <row r="147" spans="1:10" ht="15">
      <c r="A147" s="1">
        <f t="shared" si="24"/>
        <v>113</v>
      </c>
      <c r="B147" s="16">
        <v>2001</v>
      </c>
      <c r="C147" s="21">
        <f t="shared" si="23"/>
        <v>0</v>
      </c>
      <c r="D147" s="21">
        <f t="shared" si="23"/>
        <v>0</v>
      </c>
      <c r="E147" s="21">
        <f t="shared" si="23"/>
        <v>0</v>
      </c>
      <c r="F147" s="21">
        <f t="shared" si="23"/>
        <v>129898.9294868694</v>
      </c>
      <c r="G147" s="21">
        <f t="shared" si="23"/>
        <v>128783.37080410737</v>
      </c>
      <c r="H147" s="21">
        <f t="shared" si="23"/>
        <v>42419.00189538028</v>
      </c>
      <c r="I147" s="21">
        <f aca="true" t="shared" si="25" ref="I147:I161">SUM(C147:H147)</f>
        <v>301101.30218635703</v>
      </c>
      <c r="J147" s="19"/>
    </row>
    <row r="148" spans="1:10" ht="15">
      <c r="A148" s="1">
        <f t="shared" si="24"/>
        <v>114</v>
      </c>
      <c r="B148" s="16">
        <v>2002</v>
      </c>
      <c r="C148" s="21">
        <f aca="true" t="shared" si="26" ref="C148:H148">C124*C$144*(($B$160-$B148)+((6+2)/12))</f>
        <v>0</v>
      </c>
      <c r="D148" s="21">
        <f t="shared" si="26"/>
        <v>0</v>
      </c>
      <c r="E148" s="21">
        <f t="shared" si="26"/>
        <v>0</v>
      </c>
      <c r="F148" s="21">
        <f t="shared" si="26"/>
        <v>85687.92749077466</v>
      </c>
      <c r="G148" s="21">
        <f t="shared" si="26"/>
        <v>84952.04835845373</v>
      </c>
      <c r="H148" s="21">
        <f t="shared" si="26"/>
        <v>27981.726816384547</v>
      </c>
      <c r="I148" s="21">
        <f t="shared" si="25"/>
        <v>198621.70266561295</v>
      </c>
      <c r="J148" s="19"/>
    </row>
    <row r="149" spans="1:10" ht="15">
      <c r="A149" s="1">
        <f t="shared" si="24"/>
        <v>115</v>
      </c>
      <c r="B149" s="16">
        <v>2003</v>
      </c>
      <c r="C149" s="21">
        <f aca="true" t="shared" si="27" ref="C149:H149">C125*C$144*(($B$160-$B149)+((6+2)/12))</f>
        <v>0</v>
      </c>
      <c r="D149" s="21">
        <f t="shared" si="27"/>
        <v>22932.35294117647</v>
      </c>
      <c r="E149" s="21">
        <f t="shared" si="27"/>
        <v>0</v>
      </c>
      <c r="F149" s="21">
        <f t="shared" si="27"/>
        <v>78596.44348673747</v>
      </c>
      <c r="G149" s="21">
        <f t="shared" si="27"/>
        <v>77921.46529167307</v>
      </c>
      <c r="H149" s="21">
        <f t="shared" si="27"/>
        <v>25665.9750654148</v>
      </c>
      <c r="I149" s="21">
        <f t="shared" si="25"/>
        <v>205116.23678500182</v>
      </c>
      <c r="J149" s="19"/>
    </row>
    <row r="150" spans="1:10" ht="15">
      <c r="A150" s="1">
        <f t="shared" si="24"/>
        <v>116</v>
      </c>
      <c r="B150" s="16">
        <v>2004</v>
      </c>
      <c r="C150" s="21">
        <f aca="true" t="shared" si="28" ref="C150:H150">C126*C$144*(($B$160-$B150)+((6+2)/12))</f>
        <v>0</v>
      </c>
      <c r="D150" s="21">
        <f t="shared" si="28"/>
        <v>0</v>
      </c>
      <c r="E150" s="21">
        <f t="shared" si="28"/>
        <v>0</v>
      </c>
      <c r="F150" s="21">
        <f t="shared" si="28"/>
        <v>90311.53485862253</v>
      </c>
      <c r="G150" s="21">
        <f t="shared" si="28"/>
        <v>89535.94866046772</v>
      </c>
      <c r="H150" s="21">
        <f t="shared" si="28"/>
        <v>29491.583829640833</v>
      </c>
      <c r="I150" s="21">
        <f t="shared" si="25"/>
        <v>209339.0673487311</v>
      </c>
      <c r="J150" s="19"/>
    </row>
    <row r="151" spans="1:10" ht="15">
      <c r="A151" s="1">
        <f t="shared" si="24"/>
        <v>117</v>
      </c>
      <c r="B151" s="16">
        <v>2005</v>
      </c>
      <c r="C151" s="21">
        <f aca="true" t="shared" si="29" ref="C151:H151">C127*C$144*(($B$160-$B151)+((6+2)/12))</f>
        <v>0</v>
      </c>
      <c r="D151" s="21">
        <f t="shared" si="29"/>
        <v>0</v>
      </c>
      <c r="E151" s="21">
        <f t="shared" si="29"/>
        <v>0</v>
      </c>
      <c r="F151" s="21">
        <f t="shared" si="29"/>
        <v>108801.65688882908</v>
      </c>
      <c r="G151" s="21">
        <f t="shared" si="29"/>
        <v>107867.27941920186</v>
      </c>
      <c r="H151" s="21">
        <f t="shared" si="29"/>
        <v>35529.60527095246</v>
      </c>
      <c r="I151" s="21">
        <f t="shared" si="25"/>
        <v>252198.5415789834</v>
      </c>
      <c r="J151" s="19"/>
    </row>
    <row r="152" spans="1:10" ht="15">
      <c r="A152" s="1">
        <f t="shared" si="24"/>
        <v>118</v>
      </c>
      <c r="B152" s="16">
        <v>2006</v>
      </c>
      <c r="C152" s="21">
        <f aca="true" t="shared" si="30" ref="C152:H152">C128*C$144*(($B$160-$B152)+((6+2)/12))</f>
        <v>0</v>
      </c>
      <c r="D152" s="21">
        <f t="shared" si="30"/>
        <v>18701.974789915963</v>
      </c>
      <c r="E152" s="21">
        <f t="shared" si="30"/>
        <v>0</v>
      </c>
      <c r="F152" s="21">
        <f t="shared" si="30"/>
        <v>150817.87401985575</v>
      </c>
      <c r="G152" s="21">
        <f t="shared" si="30"/>
        <v>149522.66558709063</v>
      </c>
      <c r="H152" s="21">
        <f t="shared" si="30"/>
        <v>49250.164794869765</v>
      </c>
      <c r="I152" s="21">
        <f t="shared" si="25"/>
        <v>368292.67919173214</v>
      </c>
      <c r="J152" s="19"/>
    </row>
    <row r="153" spans="1:10" ht="15">
      <c r="A153" s="1">
        <f t="shared" si="24"/>
        <v>119</v>
      </c>
      <c r="B153" s="16">
        <v>2007</v>
      </c>
      <c r="C153" s="21">
        <f aca="true" t="shared" si="31" ref="C153:H153">C129*C$144*(($B$160-$B153)+((6+2)/12))</f>
        <v>0</v>
      </c>
      <c r="D153" s="21">
        <f t="shared" si="31"/>
        <v>0</v>
      </c>
      <c r="E153" s="21">
        <f t="shared" si="31"/>
        <v>0</v>
      </c>
      <c r="F153" s="21">
        <f t="shared" si="31"/>
        <v>147826.53559367414</v>
      </c>
      <c r="G153" s="21">
        <f t="shared" si="31"/>
        <v>146557.0164684929</v>
      </c>
      <c r="H153" s="21">
        <f t="shared" si="31"/>
        <v>48273.331568674876</v>
      </c>
      <c r="I153" s="21">
        <f t="shared" si="25"/>
        <v>342656.8836308419</v>
      </c>
      <c r="J153" s="19"/>
    </row>
    <row r="154" spans="1:10" ht="15">
      <c r="A154" s="1">
        <f t="shared" si="24"/>
        <v>120</v>
      </c>
      <c r="B154" s="16">
        <v>2008</v>
      </c>
      <c r="C154" s="21">
        <f aca="true" t="shared" si="32" ref="C154:H154">C130*C$144*(($B$160-$B154)+((6+2)/12))</f>
        <v>0</v>
      </c>
      <c r="D154" s="21">
        <f t="shared" si="32"/>
        <v>0</v>
      </c>
      <c r="E154" s="21">
        <f t="shared" si="32"/>
        <v>0</v>
      </c>
      <c r="F154" s="21">
        <f t="shared" si="32"/>
        <v>35654.84440782623</v>
      </c>
      <c r="G154" s="21">
        <f t="shared" si="32"/>
        <v>35348.644261152214</v>
      </c>
      <c r="H154" s="21">
        <f t="shared" si="32"/>
        <v>11643.228458383508</v>
      </c>
      <c r="I154" s="21">
        <f t="shared" si="25"/>
        <v>82646.71712736196</v>
      </c>
      <c r="J154" s="19"/>
    </row>
    <row r="155" spans="1:10" ht="15">
      <c r="A155" s="1">
        <f t="shared" si="24"/>
        <v>121</v>
      </c>
      <c r="B155" s="16">
        <v>2009</v>
      </c>
      <c r="C155" s="21">
        <f aca="true" t="shared" si="33" ref="C155:H155">C131*C$144*(($B$160-$B155)+((6+2)/12))</f>
        <v>0</v>
      </c>
      <c r="D155" s="21">
        <f t="shared" si="33"/>
        <v>0</v>
      </c>
      <c r="E155" s="21">
        <f t="shared" si="33"/>
        <v>0</v>
      </c>
      <c r="F155" s="21">
        <f t="shared" si="33"/>
        <v>35948.10936183001</v>
      </c>
      <c r="G155" s="21">
        <f t="shared" si="33"/>
        <v>35639.39068581104</v>
      </c>
      <c r="H155" s="21">
        <f t="shared" si="33"/>
        <v>11738.99527254337</v>
      </c>
      <c r="I155" s="21">
        <f t="shared" si="25"/>
        <v>83326.49532018442</v>
      </c>
      <c r="J155" s="19"/>
    </row>
    <row r="156" spans="1:10" ht="15">
      <c r="A156" s="1">
        <f t="shared" si="24"/>
        <v>122</v>
      </c>
      <c r="B156" s="16">
        <v>2010</v>
      </c>
      <c r="C156" s="21">
        <f aca="true" t="shared" si="34" ref="C156:H156">C132*C$144*(($B$160-$B156)+((6+2)/12))</f>
        <v>0</v>
      </c>
      <c r="D156" s="21">
        <f t="shared" si="34"/>
        <v>0</v>
      </c>
      <c r="E156" s="21">
        <f t="shared" si="34"/>
        <v>0</v>
      </c>
      <c r="F156" s="21">
        <f t="shared" si="34"/>
        <v>30455.619316305874</v>
      </c>
      <c r="G156" s="21">
        <f t="shared" si="34"/>
        <v>30194.069581435782</v>
      </c>
      <c r="H156" s="21">
        <f t="shared" si="34"/>
        <v>9945.401233148334</v>
      </c>
      <c r="I156" s="21">
        <f t="shared" si="25"/>
        <v>70595.09013088999</v>
      </c>
      <c r="J156" s="19"/>
    </row>
    <row r="157" spans="1:10" ht="15">
      <c r="A157" s="1">
        <f t="shared" si="24"/>
        <v>123</v>
      </c>
      <c r="B157" s="16">
        <v>2011</v>
      </c>
      <c r="C157" s="21">
        <f aca="true" t="shared" si="35" ref="C157:H157">C133*C$144*(($B$160-$B157)+((6+2)/12))</f>
        <v>0</v>
      </c>
      <c r="D157" s="21">
        <f t="shared" si="35"/>
        <v>0</v>
      </c>
      <c r="E157" s="21">
        <f t="shared" si="35"/>
        <v>0</v>
      </c>
      <c r="F157" s="21">
        <f t="shared" si="35"/>
        <v>9683.66621375347</v>
      </c>
      <c r="G157" s="21">
        <f t="shared" si="35"/>
        <v>9600.503881558778</v>
      </c>
      <c r="H157" s="21">
        <f t="shared" si="35"/>
        <v>3162.2389583815666</v>
      </c>
      <c r="I157" s="21">
        <f t="shared" si="25"/>
        <v>22446.409053693817</v>
      </c>
      <c r="J157" s="19"/>
    </row>
    <row r="158" spans="1:10" ht="15">
      <c r="A158" s="1">
        <f t="shared" si="24"/>
        <v>124</v>
      </c>
      <c r="B158" s="16">
        <v>2012</v>
      </c>
      <c r="C158" s="21">
        <f aca="true" t="shared" si="36" ref="C158:H158">C134*C$144*(($B$160-$B158)+((6+2)/12))</f>
        <v>0</v>
      </c>
      <c r="D158" s="21">
        <f t="shared" si="36"/>
        <v>0</v>
      </c>
      <c r="E158" s="21">
        <f t="shared" si="36"/>
        <v>0</v>
      </c>
      <c r="F158" s="21">
        <f t="shared" si="36"/>
        <v>12218.77482777011</v>
      </c>
      <c r="G158" s="21">
        <f t="shared" si="36"/>
        <v>12113.841242823126</v>
      </c>
      <c r="H158" s="21">
        <f t="shared" si="36"/>
        <v>3990.088560589697</v>
      </c>
      <c r="I158" s="21">
        <f t="shared" si="25"/>
        <v>28322.704631182933</v>
      </c>
      <c r="J158" s="19"/>
    </row>
    <row r="159" spans="1:10" ht="15">
      <c r="A159" s="1">
        <f t="shared" si="24"/>
        <v>125</v>
      </c>
      <c r="B159" s="16">
        <v>2013</v>
      </c>
      <c r="C159" s="21">
        <f aca="true" t="shared" si="37" ref="C159:H159">C135*C$144*(($B$160-$B159)+((6+2)/12))</f>
        <v>0</v>
      </c>
      <c r="D159" s="21">
        <f t="shared" si="37"/>
        <v>0</v>
      </c>
      <c r="E159" s="21">
        <f t="shared" si="37"/>
        <v>0</v>
      </c>
      <c r="F159" s="21">
        <f t="shared" si="37"/>
        <v>14240.400557206105</v>
      </c>
      <c r="G159" s="21">
        <f t="shared" si="37"/>
        <v>14118.105457851912</v>
      </c>
      <c r="H159" s="21">
        <f t="shared" si="37"/>
        <v>4650.25832478597</v>
      </c>
      <c r="I159" s="21">
        <f t="shared" si="25"/>
        <v>33008.76433984399</v>
      </c>
      <c r="J159" s="19"/>
    </row>
    <row r="160" spans="1:10" ht="15">
      <c r="A160" s="1">
        <f t="shared" si="24"/>
        <v>126</v>
      </c>
      <c r="B160" s="16">
        <v>2014</v>
      </c>
      <c r="C160" s="22">
        <f aca="true" t="shared" si="38" ref="C160:H160">C136*C$144*((0.5)+2/12)</f>
        <v>0</v>
      </c>
      <c r="D160" s="22">
        <f t="shared" si="38"/>
        <v>0</v>
      </c>
      <c r="E160" s="22">
        <f t="shared" si="38"/>
        <v>8505.786666666665</v>
      </c>
      <c r="F160" s="22">
        <f t="shared" si="38"/>
        <v>4715.786609204248</v>
      </c>
      <c r="G160" s="22">
        <f t="shared" si="38"/>
        <v>4675.2879175003845</v>
      </c>
      <c r="H160" s="22">
        <f t="shared" si="38"/>
        <v>1539.9585039248882</v>
      </c>
      <c r="I160" s="22">
        <f>SUM(C160:H160)</f>
        <v>19436.819697296185</v>
      </c>
      <c r="J160" s="19"/>
    </row>
    <row r="161" spans="1:10" ht="15">
      <c r="A161" s="1">
        <f t="shared" si="24"/>
        <v>127</v>
      </c>
      <c r="B161" s="16">
        <v>2015</v>
      </c>
      <c r="C161" s="23">
        <f aca="true" t="shared" si="39" ref="C161:H161">C137*C$144*(2/12)</f>
        <v>0</v>
      </c>
      <c r="D161" s="23">
        <f t="shared" si="39"/>
        <v>0</v>
      </c>
      <c r="E161" s="23">
        <f t="shared" si="39"/>
        <v>0</v>
      </c>
      <c r="F161" s="23">
        <f t="shared" si="39"/>
        <v>0</v>
      </c>
      <c r="G161" s="23">
        <f t="shared" si="39"/>
        <v>0</v>
      </c>
      <c r="H161" s="23">
        <f t="shared" si="39"/>
        <v>0</v>
      </c>
      <c r="I161" s="21">
        <f t="shared" si="25"/>
        <v>0</v>
      </c>
      <c r="J161" s="19"/>
    </row>
    <row r="162" spans="1:10" ht="15.75" thickBot="1">
      <c r="A162" s="1">
        <f t="shared" si="24"/>
        <v>128</v>
      </c>
      <c r="B162" s="1" t="s">
        <v>58</v>
      </c>
      <c r="C162" s="26">
        <f>SUM(C145:C161)</f>
        <v>186331.3025210084</v>
      </c>
      <c r="D162" s="26">
        <f aca="true" t="shared" si="40" ref="D162:I162">SUM(D145:D161)</f>
        <v>125483.4138655462</v>
      </c>
      <c r="E162" s="26">
        <f t="shared" si="40"/>
        <v>1270810.9881792716</v>
      </c>
      <c r="F162" s="26">
        <f t="shared" si="40"/>
        <v>1210819.491557879</v>
      </c>
      <c r="G162" s="26">
        <f t="shared" si="40"/>
        <v>1200421.0979575573</v>
      </c>
      <c r="H162" s="26">
        <f t="shared" si="40"/>
        <v>395397.8259116361</v>
      </c>
      <c r="I162" s="26">
        <f t="shared" si="40"/>
        <v>4389264.119992899</v>
      </c>
      <c r="J162" s="20"/>
    </row>
    <row r="163" spans="3:9" ht="15.75" thickTop="1">
      <c r="C163" s="21"/>
      <c r="D163" s="31"/>
      <c r="E163" s="21"/>
      <c r="F163" s="21"/>
      <c r="G163" s="21"/>
      <c r="H163" s="21"/>
      <c r="I163" s="21"/>
    </row>
    <row r="164" spans="3:9" ht="15">
      <c r="C164" s="57" t="s">
        <v>65</v>
      </c>
      <c r="D164" s="57"/>
      <c r="E164" s="57"/>
      <c r="F164" s="57"/>
      <c r="G164" s="57"/>
      <c r="H164" s="57"/>
      <c r="I164" s="57"/>
    </row>
    <row r="165" spans="3:9" ht="15">
      <c r="C165" s="42" t="s">
        <v>48</v>
      </c>
      <c r="D165" s="42" t="s">
        <v>50</v>
      </c>
      <c r="E165" s="42" t="s">
        <v>52</v>
      </c>
      <c r="F165" s="42" t="s">
        <v>54</v>
      </c>
      <c r="G165" s="42"/>
      <c r="H165" s="42" t="s">
        <v>56</v>
      </c>
      <c r="I165" s="42"/>
    </row>
    <row r="166" spans="3:9" ht="15">
      <c r="C166" s="44" t="s">
        <v>49</v>
      </c>
      <c r="D166" s="44" t="s">
        <v>51</v>
      </c>
      <c r="E166" s="44" t="s">
        <v>53</v>
      </c>
      <c r="F166" s="44" t="s">
        <v>19</v>
      </c>
      <c r="G166" s="44" t="s">
        <v>55</v>
      </c>
      <c r="H166" s="44" t="s">
        <v>57</v>
      </c>
      <c r="I166" s="44" t="s">
        <v>58</v>
      </c>
    </row>
    <row r="167" spans="1:9" ht="15">
      <c r="A167" s="1">
        <f>+A162+1</f>
        <v>129</v>
      </c>
      <c r="B167" s="16">
        <v>1999</v>
      </c>
      <c r="C167" s="21">
        <f aca="true" t="shared" si="41" ref="C167:H176">C121-C145</f>
        <v>164509.03361344538</v>
      </c>
      <c r="D167" s="21">
        <f t="shared" si="41"/>
        <v>74029.06512605041</v>
      </c>
      <c r="E167" s="21">
        <f t="shared" si="41"/>
        <v>2502772.949747899</v>
      </c>
      <c r="F167" s="21">
        <f t="shared" si="41"/>
        <v>278560.7086777536</v>
      </c>
      <c r="G167" s="21">
        <f t="shared" si="41"/>
        <v>120675.58729083752</v>
      </c>
      <c r="H167" s="21">
        <f t="shared" si="41"/>
        <v>40506.20747158028</v>
      </c>
      <c r="I167" s="21">
        <f>SUM(C167:H167)</f>
        <v>3181053.5519275665</v>
      </c>
    </row>
    <row r="168" spans="1:9" ht="15">
      <c r="A168" s="1">
        <f>+A167+1</f>
        <v>130</v>
      </c>
      <c r="B168" s="16">
        <v>2000</v>
      </c>
      <c r="C168" s="21">
        <f t="shared" si="41"/>
        <v>0</v>
      </c>
      <c r="D168" s="21">
        <f t="shared" si="41"/>
        <v>0</v>
      </c>
      <c r="E168" s="21">
        <f t="shared" si="41"/>
        <v>0</v>
      </c>
      <c r="F168" s="21">
        <f t="shared" si="41"/>
        <v>296137.1522074902</v>
      </c>
      <c r="G168" s="21">
        <f t="shared" si="41"/>
        <v>133445.61095890412</v>
      </c>
      <c r="H168" s="21">
        <f t="shared" si="41"/>
        <v>44735.11878449394</v>
      </c>
      <c r="I168" s="21">
        <f aca="true" t="shared" si="42" ref="I168:I182">SUM(C168:H168)</f>
        <v>474317.88195088826</v>
      </c>
    </row>
    <row r="169" spans="1:9" ht="15">
      <c r="A169" s="1">
        <f aca="true" t="shared" si="43" ref="A169:A184">+A168+1</f>
        <v>131</v>
      </c>
      <c r="B169" s="16">
        <v>2001</v>
      </c>
      <c r="C169" s="21">
        <f t="shared" si="41"/>
        <v>0</v>
      </c>
      <c r="D169" s="21">
        <f t="shared" si="41"/>
        <v>0</v>
      </c>
      <c r="E169" s="21">
        <f t="shared" si="41"/>
        <v>0</v>
      </c>
      <c r="F169" s="21">
        <f t="shared" si="41"/>
        <v>314250.5900716082</v>
      </c>
      <c r="G169" s="21">
        <f t="shared" si="41"/>
        <v>146748.0173090877</v>
      </c>
      <c r="H169" s="21">
        <f t="shared" si="41"/>
        <v>49139.38769102223</v>
      </c>
      <c r="I169" s="21">
        <f t="shared" si="42"/>
        <v>510137.9950717181</v>
      </c>
    </row>
    <row r="170" spans="1:9" ht="15">
      <c r="A170" s="1">
        <f t="shared" si="43"/>
        <v>132</v>
      </c>
      <c r="B170" s="16">
        <v>2002</v>
      </c>
      <c r="C170" s="21">
        <f t="shared" si="41"/>
        <v>0</v>
      </c>
      <c r="D170" s="21">
        <f t="shared" si="41"/>
        <v>0</v>
      </c>
      <c r="E170" s="21">
        <f t="shared" si="41"/>
        <v>0</v>
      </c>
      <c r="F170" s="21">
        <f t="shared" si="41"/>
        <v>230425.92208168475</v>
      </c>
      <c r="G170" s="21">
        <f t="shared" si="41"/>
        <v>111151.4797081523</v>
      </c>
      <c r="H170" s="21">
        <f t="shared" si="41"/>
        <v>37182.983980971185</v>
      </c>
      <c r="I170" s="21">
        <f t="shared" si="42"/>
        <v>378760.3857708082</v>
      </c>
    </row>
    <row r="171" spans="1:9" ht="15">
      <c r="A171" s="1">
        <f t="shared" si="43"/>
        <v>133</v>
      </c>
      <c r="B171" s="16">
        <v>2003</v>
      </c>
      <c r="C171" s="21">
        <f t="shared" si="41"/>
        <v>0</v>
      </c>
      <c r="D171" s="21">
        <f t="shared" si="41"/>
        <v>35050.84033613446</v>
      </c>
      <c r="E171" s="21">
        <f t="shared" si="41"/>
        <v>0</v>
      </c>
      <c r="F171" s="21">
        <f t="shared" si="41"/>
        <v>236209.0711463899</v>
      </c>
      <c r="G171" s="21">
        <f t="shared" si="41"/>
        <v>117370.42766991358</v>
      </c>
      <c r="H171" s="21">
        <f t="shared" si="41"/>
        <v>39229.03142109545</v>
      </c>
      <c r="I171" s="21">
        <f t="shared" si="42"/>
        <v>427859.37057353335</v>
      </c>
    </row>
    <row r="172" spans="1:9" ht="15">
      <c r="A172" s="1">
        <f t="shared" si="43"/>
        <v>134</v>
      </c>
      <c r="B172" s="16">
        <v>2004</v>
      </c>
      <c r="C172" s="21">
        <f t="shared" si="41"/>
        <v>0</v>
      </c>
      <c r="D172" s="21">
        <f t="shared" si="41"/>
        <v>0</v>
      </c>
      <c r="E172" s="21">
        <f t="shared" si="41"/>
        <v>0</v>
      </c>
      <c r="F172" s="21">
        <f t="shared" si="41"/>
        <v>305328.9507953897</v>
      </c>
      <c r="G172" s="21">
        <f t="shared" si="41"/>
        <v>155902.50709739336</v>
      </c>
      <c r="H172" s="21">
        <f t="shared" si="41"/>
        <v>52066.99977002961</v>
      </c>
      <c r="I172" s="21">
        <f t="shared" si="42"/>
        <v>513298.4576628127</v>
      </c>
    </row>
    <row r="173" spans="1:9" ht="15">
      <c r="A173" s="1">
        <f t="shared" si="43"/>
        <v>135</v>
      </c>
      <c r="B173" s="16">
        <v>2005</v>
      </c>
      <c r="C173" s="21">
        <f t="shared" si="41"/>
        <v>0</v>
      </c>
      <c r="D173" s="21">
        <f t="shared" si="41"/>
        <v>0</v>
      </c>
      <c r="E173" s="21">
        <f t="shared" si="41"/>
        <v>0</v>
      </c>
      <c r="F173" s="21">
        <f t="shared" si="41"/>
        <v>417148.98872265546</v>
      </c>
      <c r="G173" s="21">
        <f t="shared" si="41"/>
        <v>218410.03279858964</v>
      </c>
      <c r="H173" s="21">
        <f t="shared" si="41"/>
        <v>72891.5276889269</v>
      </c>
      <c r="I173" s="21">
        <f t="shared" si="42"/>
        <v>708450.549210172</v>
      </c>
    </row>
    <row r="174" spans="1:9" ht="15">
      <c r="A174" s="1">
        <f t="shared" si="43"/>
        <v>136</v>
      </c>
      <c r="B174" s="16">
        <v>2006</v>
      </c>
      <c r="C174" s="21">
        <f t="shared" si="41"/>
        <v>0</v>
      </c>
      <c r="D174" s="21">
        <f t="shared" si="41"/>
        <v>44953.487394957985</v>
      </c>
      <c r="E174" s="21">
        <f t="shared" si="41"/>
        <v>0</v>
      </c>
      <c r="F174" s="21">
        <f t="shared" si="41"/>
        <v>662362.6113496037</v>
      </c>
      <c r="G174" s="21">
        <f t="shared" si="41"/>
        <v>354939.7689172637</v>
      </c>
      <c r="H174" s="21">
        <f t="shared" si="41"/>
        <v>118381.4376383153</v>
      </c>
      <c r="I174" s="21">
        <f t="shared" si="42"/>
        <v>1180637.3053001408</v>
      </c>
    </row>
    <row r="175" spans="1:9" ht="15">
      <c r="A175" s="1">
        <f t="shared" si="43"/>
        <v>137</v>
      </c>
      <c r="B175" s="16">
        <v>2007</v>
      </c>
      <c r="C175" s="21">
        <f t="shared" si="41"/>
        <v>0</v>
      </c>
      <c r="D175" s="21">
        <f t="shared" si="41"/>
        <v>0</v>
      </c>
      <c r="E175" s="21">
        <f t="shared" si="41"/>
        <v>0</v>
      </c>
      <c r="F175" s="21">
        <f t="shared" si="41"/>
        <v>753188.5127220966</v>
      </c>
      <c r="G175" s="21">
        <f t="shared" si="41"/>
        <v>412394.2286439894</v>
      </c>
      <c r="H175" s="21">
        <f t="shared" si="41"/>
        <v>137464.76604069362</v>
      </c>
      <c r="I175" s="21">
        <f t="shared" si="42"/>
        <v>1303047.5074067796</v>
      </c>
    </row>
    <row r="176" spans="1:9" ht="15">
      <c r="A176" s="1">
        <f t="shared" si="43"/>
        <v>138</v>
      </c>
      <c r="B176" s="16">
        <v>2008</v>
      </c>
      <c r="C176" s="21">
        <f t="shared" si="41"/>
        <v>0</v>
      </c>
      <c r="D176" s="21">
        <f t="shared" si="41"/>
        <v>0</v>
      </c>
      <c r="E176" s="21">
        <f t="shared" si="41"/>
        <v>0</v>
      </c>
      <c r="F176" s="21">
        <f t="shared" si="41"/>
        <v>214262.28929189037</v>
      </c>
      <c r="G176" s="21">
        <f t="shared" si="41"/>
        <v>119689.26916495396</v>
      </c>
      <c r="H176" s="21">
        <f t="shared" si="41"/>
        <v>39875.48153446387</v>
      </c>
      <c r="I176" s="21">
        <f t="shared" si="42"/>
        <v>373827.0399913082</v>
      </c>
    </row>
    <row r="177" spans="1:9" ht="15">
      <c r="A177" s="1">
        <f t="shared" si="43"/>
        <v>139</v>
      </c>
      <c r="B177" s="16">
        <v>2009</v>
      </c>
      <c r="C177" s="21">
        <f aca="true" t="shared" si="44" ref="C177:H183">C131-C155</f>
        <v>0</v>
      </c>
      <c r="D177" s="21">
        <f t="shared" si="44"/>
        <v>0</v>
      </c>
      <c r="E177" s="21">
        <f t="shared" si="44"/>
        <v>0</v>
      </c>
      <c r="F177" s="21">
        <f t="shared" si="44"/>
        <v>260490.395546059</v>
      </c>
      <c r="G177" s="21">
        <f t="shared" si="44"/>
        <v>148258.39407069585</v>
      </c>
      <c r="H177" s="21">
        <f t="shared" si="44"/>
        <v>49369.77761940547</v>
      </c>
      <c r="I177" s="21">
        <f t="shared" si="42"/>
        <v>458118.56723616034</v>
      </c>
    </row>
    <row r="178" spans="1:9" ht="15">
      <c r="A178" s="1">
        <f t="shared" si="43"/>
        <v>140</v>
      </c>
      <c r="B178" s="16">
        <v>2010</v>
      </c>
      <c r="C178" s="21">
        <f t="shared" si="44"/>
        <v>0</v>
      </c>
      <c r="D178" s="21">
        <f t="shared" si="44"/>
        <v>0</v>
      </c>
      <c r="E178" s="21">
        <f t="shared" si="44"/>
        <v>0</v>
      </c>
      <c r="F178" s="21">
        <f t="shared" si="44"/>
        <v>274507.1909270774</v>
      </c>
      <c r="G178" s="21">
        <f t="shared" si="44"/>
        <v>158991.83005162046</v>
      </c>
      <c r="H178" s="21">
        <f t="shared" si="44"/>
        <v>52920.598976386005</v>
      </c>
      <c r="I178" s="21">
        <f t="shared" si="42"/>
        <v>486419.6199550838</v>
      </c>
    </row>
    <row r="179" spans="1:9" ht="15">
      <c r="A179" s="1">
        <f t="shared" si="43"/>
        <v>141</v>
      </c>
      <c r="B179" s="16">
        <v>2011</v>
      </c>
      <c r="C179" s="21">
        <f t="shared" si="44"/>
        <v>0</v>
      </c>
      <c r="D179" s="21">
        <f t="shared" si="44"/>
        <v>0</v>
      </c>
      <c r="E179" s="21">
        <f t="shared" si="44"/>
        <v>0</v>
      </c>
      <c r="F179" s="21">
        <f t="shared" si="44"/>
        <v>113727.54296747172</v>
      </c>
      <c r="G179" s="21">
        <f t="shared" si="44"/>
        <v>66958.53823613483</v>
      </c>
      <c r="H179" s="21">
        <f t="shared" si="44"/>
        <v>22278.138824253725</v>
      </c>
      <c r="I179" s="21">
        <f t="shared" si="42"/>
        <v>202964.22002786028</v>
      </c>
    </row>
    <row r="180" spans="1:9" ht="15">
      <c r="A180" s="1">
        <f t="shared" si="43"/>
        <v>142</v>
      </c>
      <c r="B180" s="16">
        <v>2012</v>
      </c>
      <c r="C180" s="21">
        <f t="shared" si="44"/>
        <v>0</v>
      </c>
      <c r="D180" s="21">
        <f t="shared" si="44"/>
        <v>0</v>
      </c>
      <c r="E180" s="21">
        <f t="shared" si="44"/>
        <v>0</v>
      </c>
      <c r="F180" s="21">
        <f t="shared" si="44"/>
        <v>201895.27005137902</v>
      </c>
      <c r="G180" s="21">
        <f t="shared" si="44"/>
        <v>120713.36536707958</v>
      </c>
      <c r="H180" s="21">
        <f t="shared" si="44"/>
        <v>40148.05923354412</v>
      </c>
      <c r="I180" s="21">
        <f t="shared" si="42"/>
        <v>362756.6946520027</v>
      </c>
    </row>
    <row r="181" spans="1:9" ht="15">
      <c r="A181" s="1">
        <f t="shared" si="43"/>
        <v>143</v>
      </c>
      <c r="B181" s="16">
        <v>2013</v>
      </c>
      <c r="C181" s="21">
        <f t="shared" si="44"/>
        <v>0</v>
      </c>
      <c r="D181" s="21">
        <f t="shared" si="44"/>
        <v>0</v>
      </c>
      <c r="E181" s="21">
        <f t="shared" si="44"/>
        <v>0</v>
      </c>
      <c r="F181" s="21">
        <f t="shared" si="44"/>
        <v>385023.1664672641</v>
      </c>
      <c r="G181" s="21">
        <f t="shared" si="44"/>
        <v>233567.9552062167</v>
      </c>
      <c r="H181" s="21">
        <f t="shared" si="44"/>
        <v>77655.19875107192</v>
      </c>
      <c r="I181" s="21">
        <f t="shared" si="42"/>
        <v>696246.3204245528</v>
      </c>
    </row>
    <row r="182" spans="1:9" ht="15">
      <c r="A182" s="1">
        <f t="shared" si="43"/>
        <v>144</v>
      </c>
      <c r="B182" s="16">
        <v>2014</v>
      </c>
      <c r="C182" s="21">
        <f t="shared" si="44"/>
        <v>0</v>
      </c>
      <c r="D182" s="21">
        <f t="shared" si="44"/>
        <v>0</v>
      </c>
      <c r="E182" s="21">
        <f t="shared" si="44"/>
        <v>587694.2133333334</v>
      </c>
      <c r="F182" s="21">
        <f t="shared" si="44"/>
        <v>325830.00375557947</v>
      </c>
      <c r="G182" s="21">
        <f t="shared" si="44"/>
        <v>200381.1996921656</v>
      </c>
      <c r="H182" s="21">
        <f t="shared" si="44"/>
        <v>66599.79830691087</v>
      </c>
      <c r="I182" s="21">
        <f t="shared" si="42"/>
        <v>1180505.2150879893</v>
      </c>
    </row>
    <row r="183" spans="1:9" ht="15">
      <c r="A183" s="1">
        <f t="shared" si="43"/>
        <v>145</v>
      </c>
      <c r="B183" s="16">
        <v>2015</v>
      </c>
      <c r="C183" s="21">
        <f t="shared" si="44"/>
        <v>0</v>
      </c>
      <c r="D183" s="21">
        <f t="shared" si="44"/>
        <v>0</v>
      </c>
      <c r="E183" s="21">
        <f t="shared" si="44"/>
        <v>0</v>
      </c>
      <c r="F183" s="21">
        <f t="shared" si="44"/>
        <v>0</v>
      </c>
      <c r="G183" s="21">
        <f t="shared" si="44"/>
        <v>0</v>
      </c>
      <c r="H183" s="21">
        <f t="shared" si="44"/>
        <v>0</v>
      </c>
      <c r="I183" s="21">
        <f>I137-I161</f>
        <v>0</v>
      </c>
    </row>
    <row r="184" spans="1:9" ht="15.75" thickBot="1">
      <c r="A184" s="1">
        <f t="shared" si="43"/>
        <v>146</v>
      </c>
      <c r="B184" s="1" t="s">
        <v>58</v>
      </c>
      <c r="C184" s="26">
        <f>SUM(C167:C183)</f>
        <v>164509.03361344538</v>
      </c>
      <c r="D184" s="26">
        <f aca="true" t="shared" si="45" ref="D184:I184">SUM(D167:D183)</f>
        <v>154033.39285714284</v>
      </c>
      <c r="E184" s="26">
        <f t="shared" si="45"/>
        <v>3090467.1630812325</v>
      </c>
      <c r="F184" s="26">
        <f t="shared" si="45"/>
        <v>5269348.366781393</v>
      </c>
      <c r="G184" s="26">
        <f t="shared" si="45"/>
        <v>2819598.212182998</v>
      </c>
      <c r="H184" s="26">
        <f t="shared" si="45"/>
        <v>940444.5137331644</v>
      </c>
      <c r="I184" s="26">
        <f t="shared" si="45"/>
        <v>12438400.682249377</v>
      </c>
    </row>
    <row r="185" spans="3:9" ht="15.75" thickTop="1">
      <c r="C185" s="21"/>
      <c r="D185" s="31"/>
      <c r="E185" s="21"/>
      <c r="F185" s="21"/>
      <c r="G185" s="21"/>
      <c r="H185" s="21"/>
      <c r="I185" s="21"/>
    </row>
    <row r="186" spans="2:9" ht="15">
      <c r="B186" s="38" t="s">
        <v>66</v>
      </c>
      <c r="C186" s="21"/>
      <c r="D186" s="31"/>
      <c r="E186" s="21"/>
      <c r="F186" s="21"/>
      <c r="G186" s="21"/>
      <c r="H186" s="21"/>
      <c r="I186" s="21"/>
    </row>
    <row r="187" spans="1:9" ht="15">
      <c r="A187" s="1">
        <f>+A184+1</f>
        <v>147</v>
      </c>
      <c r="B187" s="21" t="s">
        <v>74</v>
      </c>
      <c r="C187" s="21"/>
      <c r="D187" s="31"/>
      <c r="E187" s="21"/>
      <c r="F187" s="34">
        <v>11400000</v>
      </c>
      <c r="G187" s="21"/>
      <c r="H187" s="21"/>
      <c r="I187" s="21"/>
    </row>
    <row r="188" spans="1:9" ht="15">
      <c r="A188" s="1">
        <f>+A187+1</f>
        <v>148</v>
      </c>
      <c r="B188" s="21" t="s">
        <v>88</v>
      </c>
      <c r="C188" s="21"/>
      <c r="D188" s="31"/>
      <c r="E188" s="21"/>
      <c r="F188" s="21">
        <v>198000</v>
      </c>
      <c r="G188" s="21"/>
      <c r="H188" s="21"/>
      <c r="I188" s="21"/>
    </row>
    <row r="189" spans="1:9" ht="15">
      <c r="A189" s="1">
        <f>+A188+1</f>
        <v>149</v>
      </c>
      <c r="B189" s="21" t="s">
        <v>75</v>
      </c>
      <c r="C189" s="21"/>
      <c r="D189" s="31"/>
      <c r="E189" s="21"/>
      <c r="F189" s="35">
        <f>+F187-F188</f>
        <v>11202000</v>
      </c>
      <c r="G189" s="21"/>
      <c r="H189" s="21"/>
      <c r="I189" s="21"/>
    </row>
    <row r="190" spans="2:9" ht="15">
      <c r="B190" s="21"/>
      <c r="C190" s="21"/>
      <c r="D190" s="31"/>
      <c r="E190" s="21"/>
      <c r="F190" s="40"/>
      <c r="G190" s="21"/>
      <c r="H190" s="21"/>
      <c r="I190" s="21"/>
    </row>
    <row r="191" spans="3:9" ht="15">
      <c r="C191" s="21"/>
      <c r="E191" s="41"/>
      <c r="F191" s="42" t="s">
        <v>8</v>
      </c>
      <c r="G191" s="43"/>
      <c r="H191" s="42" t="s">
        <v>96</v>
      </c>
      <c r="I191" s="21"/>
    </row>
    <row r="192" spans="3:9" ht="15">
      <c r="C192" s="21"/>
      <c r="E192" s="41"/>
      <c r="F192" s="42" t="s">
        <v>71</v>
      </c>
      <c r="G192" s="43"/>
      <c r="H192" s="42" t="s">
        <v>76</v>
      </c>
      <c r="I192" s="21"/>
    </row>
    <row r="193" spans="3:9" ht="15">
      <c r="C193" s="21"/>
      <c r="E193" s="41"/>
      <c r="F193" s="42" t="s">
        <v>72</v>
      </c>
      <c r="G193" s="42" t="s">
        <v>73</v>
      </c>
      <c r="H193" s="42" t="s">
        <v>7</v>
      </c>
      <c r="I193" s="21"/>
    </row>
    <row r="194" spans="3:9" ht="15">
      <c r="C194" s="21"/>
      <c r="E194" s="53" t="s">
        <v>90</v>
      </c>
      <c r="F194" s="44" t="s">
        <v>5</v>
      </c>
      <c r="G194" s="44" t="s">
        <v>5</v>
      </c>
      <c r="H194" s="44" t="s">
        <v>77</v>
      </c>
      <c r="I194" s="21"/>
    </row>
    <row r="195" spans="1:9" ht="15">
      <c r="A195" s="1">
        <f>+A189+1</f>
        <v>150</v>
      </c>
      <c r="B195" s="1" t="s">
        <v>68</v>
      </c>
      <c r="C195" s="21"/>
      <c r="E195" s="55" t="s">
        <v>91</v>
      </c>
      <c r="F195" s="29">
        <f>C184</f>
        <v>164509.03361344538</v>
      </c>
      <c r="G195" s="29">
        <f aca="true" t="shared" si="46" ref="G195:G201">ROUND(F195*($G$202/$F$202),-3)</f>
        <v>146000</v>
      </c>
      <c r="H195" s="21">
        <f>+G195*C144</f>
        <v>4949.4</v>
      </c>
      <c r="I195" s="21"/>
    </row>
    <row r="196" spans="1:9" ht="15">
      <c r="A196" s="1">
        <f aca="true" t="shared" si="47" ref="A196:A202">+A195+1</f>
        <v>151</v>
      </c>
      <c r="B196" s="1" t="s">
        <v>67</v>
      </c>
      <c r="C196" s="21"/>
      <c r="E196" s="55" t="s">
        <v>91</v>
      </c>
      <c r="F196" s="21">
        <f>D184</f>
        <v>154033.39285714284</v>
      </c>
      <c r="G196" s="29">
        <f t="shared" si="46"/>
        <v>137000</v>
      </c>
      <c r="H196" s="21">
        <f>+G196*D144</f>
        <v>4644.3</v>
      </c>
      <c r="I196" s="21"/>
    </row>
    <row r="197" spans="1:9" ht="15">
      <c r="A197" s="1">
        <f t="shared" si="47"/>
        <v>152</v>
      </c>
      <c r="B197" s="1" t="s">
        <v>69</v>
      </c>
      <c r="C197" s="21"/>
      <c r="E197" s="55" t="s">
        <v>92</v>
      </c>
      <c r="F197" s="21">
        <f>E184</f>
        <v>3090467.1630812325</v>
      </c>
      <c r="G197" s="29">
        <f t="shared" si="46"/>
        <v>2743000</v>
      </c>
      <c r="H197" s="21">
        <f>+G197*E144</f>
        <v>58700.2</v>
      </c>
      <c r="I197" s="21"/>
    </row>
    <row r="198" spans="1:9" ht="15">
      <c r="A198" s="1">
        <f t="shared" si="47"/>
        <v>153</v>
      </c>
      <c r="B198" s="1" t="s">
        <v>19</v>
      </c>
      <c r="C198" s="21"/>
      <c r="E198" s="55" t="s">
        <v>92</v>
      </c>
      <c r="F198" s="21">
        <f>F184</f>
        <v>5269348.366781393</v>
      </c>
      <c r="G198" s="29">
        <f t="shared" si="46"/>
        <v>4677000</v>
      </c>
      <c r="H198" s="21">
        <f>+G198*F144</f>
        <v>100087.79999999999</v>
      </c>
      <c r="I198" s="21"/>
    </row>
    <row r="199" spans="1:9" ht="15">
      <c r="A199" s="1">
        <f t="shared" si="47"/>
        <v>154</v>
      </c>
      <c r="B199" s="1" t="s">
        <v>55</v>
      </c>
      <c r="C199" s="21"/>
      <c r="E199" s="55" t="s">
        <v>93</v>
      </c>
      <c r="F199" s="21">
        <f>G184</f>
        <v>2819598.212182998</v>
      </c>
      <c r="G199" s="29">
        <f t="shared" si="46"/>
        <v>2503000</v>
      </c>
      <c r="H199" s="21">
        <f>+G199*G144</f>
        <v>85602.6</v>
      </c>
      <c r="I199" s="21"/>
    </row>
    <row r="200" spans="1:9" ht="15">
      <c r="A200" s="1">
        <f t="shared" si="47"/>
        <v>155</v>
      </c>
      <c r="B200" s="1" t="s">
        <v>70</v>
      </c>
      <c r="C200" s="21"/>
      <c r="E200" s="55" t="s">
        <v>94</v>
      </c>
      <c r="F200" s="21">
        <f>H184</f>
        <v>940444.5137331644</v>
      </c>
      <c r="G200" s="29">
        <f t="shared" si="46"/>
        <v>835000</v>
      </c>
      <c r="H200" s="21">
        <f>+G200*H144</f>
        <v>28306.5</v>
      </c>
      <c r="I200" s="21"/>
    </row>
    <row r="201" spans="1:9" ht="15">
      <c r="A201" s="1">
        <f t="shared" si="47"/>
        <v>156</v>
      </c>
      <c r="B201" s="1" t="s">
        <v>89</v>
      </c>
      <c r="C201" s="21"/>
      <c r="E201" s="55" t="s">
        <v>95</v>
      </c>
      <c r="F201" s="23">
        <f>K68</f>
        <v>181586.1818863889</v>
      </c>
      <c r="G201" s="29">
        <f t="shared" si="46"/>
        <v>161000</v>
      </c>
      <c r="H201" s="21">
        <f>+G201*H66</f>
        <v>2141.2999999999997</v>
      </c>
      <c r="I201" s="21"/>
    </row>
    <row r="202" spans="1:9" ht="15.75" thickBot="1">
      <c r="A202" s="1">
        <f t="shared" si="47"/>
        <v>157</v>
      </c>
      <c r="B202" s="1" t="s">
        <v>58</v>
      </c>
      <c r="C202" s="21"/>
      <c r="E202" s="54"/>
      <c r="F202" s="36">
        <f>SUM(F195:F201)</f>
        <v>12619986.864135763</v>
      </c>
      <c r="G202" s="30">
        <f>+F189</f>
        <v>11202000</v>
      </c>
      <c r="H202" s="36">
        <f>SUM(H195:H201)</f>
        <v>284432.1</v>
      </c>
      <c r="I202" s="21"/>
    </row>
    <row r="203" spans="3:9" ht="15.75" thickTop="1">
      <c r="C203" s="21"/>
      <c r="D203" s="31"/>
      <c r="E203" s="21"/>
      <c r="F203" s="21"/>
      <c r="G203" s="21"/>
      <c r="H203" s="21"/>
      <c r="I203" s="21"/>
    </row>
    <row r="204" spans="3:9" ht="15">
      <c r="C204" s="21"/>
      <c r="D204" s="31"/>
      <c r="E204" s="37"/>
      <c r="F204" s="21"/>
      <c r="G204" s="21"/>
      <c r="H204" s="21"/>
      <c r="I204" s="21"/>
    </row>
    <row r="205" spans="3:9" ht="15">
      <c r="C205" s="21"/>
      <c r="D205" s="31"/>
      <c r="E205" s="21"/>
      <c r="F205" s="21"/>
      <c r="G205" s="21"/>
      <c r="H205" s="21"/>
      <c r="I205" s="21"/>
    </row>
    <row r="206" spans="3:9" ht="15">
      <c r="C206" s="21"/>
      <c r="D206" s="31"/>
      <c r="E206" s="21"/>
      <c r="F206" s="21"/>
      <c r="G206" s="21"/>
      <c r="H206" s="21"/>
      <c r="I206" s="21"/>
    </row>
    <row r="207" spans="3:9" ht="15">
      <c r="C207" s="21"/>
      <c r="D207" s="31"/>
      <c r="E207" s="21"/>
      <c r="F207" s="21"/>
      <c r="G207" s="21"/>
      <c r="H207" s="21"/>
      <c r="I207" s="21"/>
    </row>
    <row r="208" spans="3:9" ht="15">
      <c r="C208" s="21"/>
      <c r="D208" s="31"/>
      <c r="E208" s="21"/>
      <c r="F208" s="21"/>
      <c r="G208" s="21"/>
      <c r="H208" s="21"/>
      <c r="I208" s="21"/>
    </row>
    <row r="209" spans="3:9" ht="15">
      <c r="C209" s="21"/>
      <c r="D209" s="31"/>
      <c r="E209" s="21"/>
      <c r="F209" s="21"/>
      <c r="G209" s="21"/>
      <c r="H209" s="21"/>
      <c r="I209" s="21"/>
    </row>
    <row r="210" spans="3:9" ht="15">
      <c r="C210" s="21"/>
      <c r="D210" s="31"/>
      <c r="E210" s="21"/>
      <c r="F210" s="21"/>
      <c r="G210" s="21"/>
      <c r="H210" s="21"/>
      <c r="I210" s="21"/>
    </row>
  </sheetData>
  <sheetProtection/>
  <mergeCells count="5">
    <mergeCell ref="B12:C12"/>
    <mergeCell ref="C93:H93"/>
    <mergeCell ref="C118:I118"/>
    <mergeCell ref="C141:I141"/>
    <mergeCell ref="C164:I164"/>
  </mergeCells>
  <printOptions/>
  <pageMargins left="0.7" right="0.7" top="0.75" bottom="0.75" header="0.3" footer="0.3"/>
  <pageSetup horizontalDpi="600" verticalDpi="600" orientation="portrait" scale="65" r:id="rId1"/>
  <headerFooter>
    <oddHeader>&amp;RAttachment 1
Page &amp;P of &amp;N</oddHeader>
    <oddFooter>&amp;R&amp;Z&amp;F</oddFooter>
  </headerFooter>
  <rowBreaks count="1" manualBreakCount="1"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Curtis</dc:creator>
  <cp:keywords/>
  <dc:description/>
  <cp:lastModifiedBy>laurieharris</cp:lastModifiedBy>
  <cp:lastPrinted>2015-01-21T20:19:16Z</cp:lastPrinted>
  <dcterms:created xsi:type="dcterms:W3CDTF">2014-11-19T15:48:44Z</dcterms:created>
  <dcterms:modified xsi:type="dcterms:W3CDTF">2015-01-23T21:53:59Z</dcterms:modified>
  <cp:category/>
  <cp:version/>
  <cp:contentType/>
  <cp:contentStatus/>
</cp:coreProperties>
</file>