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03\"/>
    </mc:Choice>
  </mc:AlternateContent>
  <bookViews>
    <workbookView xWindow="480" yWindow="195" windowWidth="28320" windowHeight="14430"/>
  </bookViews>
  <sheets>
    <sheet name="Timp &amp; Dimp" sheetId="2" r:id="rId1"/>
  </sheets>
  <definedNames>
    <definedName name="NvsASD">"V2014-03-31"</definedName>
    <definedName name="NvsAutoDrillOk">"VN"</definedName>
    <definedName name="NvsElapsedTime">0</definedName>
    <definedName name="NvsEndTime">41758.6107060185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"V1998-06-30"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SheetType">"M"</definedName>
    <definedName name="NvsTransLed">"VN"</definedName>
    <definedName name="NvsTree.QGCACCTS" localSheetId="0">"YYYNN"</definedName>
    <definedName name="NvsTreeASD">"V2014-03-31"</definedName>
    <definedName name="NvsValTbl.ACCOUNT">"GL_ACCOUNT_TBL"</definedName>
    <definedName name="NvsValTbl.AFFILIATE">"AFFILIATE_VW"</definedName>
    <definedName name="NvsValTbl.CURRENCY_CD">"CURRENCY_CD_TBL"</definedName>
    <definedName name="NvsValTbl.LOCATION_QRS">"LOCATIONQRS_TBL"</definedName>
    <definedName name="NvsValTbl.OPERATING_UNIT">"OPERUNIT_ALL_VW"</definedName>
    <definedName name="NvsValTbl.PRODUCT">"PRODUCT_TBL"</definedName>
    <definedName name="NvsValTbl.STATISTICS_CODE">"STAT_TBL"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B46" i="2" l="1"/>
  <c r="B44" i="2"/>
  <c r="B38" i="2"/>
  <c r="B39" i="2" s="1"/>
  <c r="B41" i="2" s="1"/>
  <c r="B42" i="2" s="1"/>
  <c r="B36" i="2"/>
  <c r="B35" i="2"/>
  <c r="L33" i="2" l="1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K33" i="2"/>
  <c r="AE12" i="2"/>
  <c r="K8" i="2"/>
  <c r="L8" i="2"/>
  <c r="M8" i="2"/>
  <c r="N8" i="2"/>
  <c r="K12" i="2"/>
  <c r="L12" i="2"/>
  <c r="M12" i="2"/>
  <c r="M20" i="2" s="1"/>
  <c r="M44" i="2" s="1"/>
  <c r="N12" i="2"/>
  <c r="N20" i="2" s="1"/>
  <c r="N44" i="2" s="1"/>
  <c r="K13" i="2"/>
  <c r="L13" i="2"/>
  <c r="M13" i="2"/>
  <c r="K15" i="2"/>
  <c r="L15" i="2"/>
  <c r="M15" i="2"/>
  <c r="N15" i="2"/>
  <c r="L16" i="2"/>
  <c r="M16" i="2"/>
  <c r="N16" i="2"/>
  <c r="K17" i="2"/>
  <c r="L17" i="2"/>
  <c r="M17" i="2"/>
  <c r="N17" i="2"/>
  <c r="K18" i="2"/>
  <c r="L18" i="2"/>
  <c r="M18" i="2"/>
  <c r="N18" i="2"/>
  <c r="K19" i="2"/>
  <c r="L19" i="2"/>
  <c r="M19" i="2"/>
  <c r="N19" i="2"/>
  <c r="K20" i="2"/>
  <c r="K44" i="2" s="1"/>
  <c r="L20" i="2"/>
  <c r="L44" i="2" s="1"/>
  <c r="N25" i="2"/>
  <c r="N27" i="2"/>
  <c r="L28" i="2"/>
  <c r="M28" i="2"/>
  <c r="M31" i="2" s="1"/>
  <c r="N28" i="2"/>
  <c r="N31" i="2" s="1"/>
  <c r="M30" i="2"/>
  <c r="K31" i="2"/>
  <c r="L31" i="2"/>
  <c r="M41" i="2"/>
  <c r="T38" i="2" l="1"/>
  <c r="T31" i="2"/>
  <c r="T20" i="2"/>
  <c r="S38" i="2" l="1"/>
  <c r="S31" i="2"/>
  <c r="S20" i="2"/>
  <c r="R38" i="2" l="1"/>
  <c r="R31" i="2"/>
  <c r="R20" i="2"/>
  <c r="Q8" i="2"/>
  <c r="Q31" i="2"/>
  <c r="Q20" i="2"/>
  <c r="Q44" i="2" l="1"/>
  <c r="P8" i="2" l="1"/>
  <c r="AD42" i="2" l="1"/>
  <c r="AE42" i="2" s="1"/>
  <c r="AD41" i="2"/>
  <c r="AE41" i="2" s="1"/>
  <c r="AD39" i="2"/>
  <c r="AD38" i="2"/>
  <c r="AE38" i="2" s="1"/>
  <c r="AD35" i="2"/>
  <c r="AE35" i="2" s="1"/>
  <c r="AD24" i="2"/>
  <c r="AE24" i="2" s="1"/>
  <c r="AD25" i="2"/>
  <c r="AE25" i="2" s="1"/>
  <c r="AD26" i="2"/>
  <c r="AE26" i="2" s="1"/>
  <c r="AD27" i="2"/>
  <c r="AE27" i="2" s="1"/>
  <c r="AD28" i="2"/>
  <c r="AD29" i="2"/>
  <c r="AE29" i="2" s="1"/>
  <c r="AD30" i="2"/>
  <c r="AD14" i="2"/>
  <c r="AD15" i="2"/>
  <c r="AD16" i="2"/>
  <c r="AD17" i="2"/>
  <c r="AD18" i="2"/>
  <c r="AD19" i="2"/>
  <c r="AD23" i="2"/>
  <c r="AD13" i="2"/>
  <c r="AD12" i="2"/>
  <c r="AC44" i="2" l="1"/>
  <c r="AB44" i="2" l="1"/>
  <c r="AB46" i="2" s="1"/>
  <c r="AC46" i="2" s="1"/>
  <c r="AA44" i="2" l="1"/>
  <c r="Z44" i="2" l="1"/>
  <c r="Z46" i="2" s="1"/>
  <c r="AA46" i="2" s="1"/>
  <c r="AD20" i="2"/>
  <c r="Y44" i="2" l="1"/>
  <c r="X44" i="2" l="1"/>
  <c r="X46" i="2" s="1"/>
  <c r="Y46" i="2" s="1"/>
  <c r="O8" i="2"/>
  <c r="J8" i="2"/>
  <c r="I8" i="2"/>
  <c r="H8" i="2"/>
  <c r="G8" i="2"/>
  <c r="F8" i="2"/>
  <c r="W44" i="2" l="1"/>
  <c r="V44" i="2" l="1"/>
  <c r="V46" i="2" s="1"/>
  <c r="W46" i="2" s="1"/>
  <c r="O19" i="2"/>
  <c r="O18" i="2"/>
  <c r="O17" i="2"/>
  <c r="O15" i="2"/>
  <c r="O13" i="2"/>
  <c r="O12" i="2"/>
  <c r="J19" i="2"/>
  <c r="J18" i="2"/>
  <c r="J17" i="2"/>
  <c r="J15" i="2"/>
  <c r="J14" i="2"/>
  <c r="J16" i="2"/>
  <c r="J13" i="2"/>
  <c r="J12" i="2"/>
  <c r="I19" i="2"/>
  <c r="I18" i="2"/>
  <c r="I17" i="2"/>
  <c r="I15" i="2"/>
  <c r="I16" i="2"/>
  <c r="I14" i="2"/>
  <c r="I13" i="2"/>
  <c r="I12" i="2"/>
  <c r="H19" i="2"/>
  <c r="H18" i="2"/>
  <c r="H17" i="2"/>
  <c r="H15" i="2"/>
  <c r="H16" i="2"/>
  <c r="H14" i="2"/>
  <c r="H13" i="2"/>
  <c r="AE13" i="2" s="1"/>
  <c r="H12" i="2"/>
  <c r="G17" i="2"/>
  <c r="F17" i="2"/>
  <c r="F19" i="2"/>
  <c r="AE14" i="2" l="1"/>
  <c r="AE19" i="2"/>
  <c r="AE18" i="2"/>
  <c r="AE17" i="2"/>
  <c r="AE16" i="2"/>
  <c r="AE15" i="2"/>
  <c r="F20" i="2"/>
  <c r="G20" i="2"/>
  <c r="H20" i="2"/>
  <c r="I20" i="2"/>
  <c r="J20" i="2"/>
  <c r="O20" i="2"/>
  <c r="F31" i="2"/>
  <c r="G31" i="2"/>
  <c r="H31" i="2"/>
  <c r="I31" i="2"/>
  <c r="J31" i="2"/>
  <c r="I39" i="2"/>
  <c r="AE39" i="2" s="1"/>
  <c r="O30" i="2"/>
  <c r="AE30" i="2" s="1"/>
  <c r="O28" i="2"/>
  <c r="AE28" i="2" s="1"/>
  <c r="O23" i="2"/>
  <c r="AE23" i="2" s="1"/>
  <c r="U44" i="2"/>
  <c r="T44" i="2" l="1"/>
  <c r="S44" i="2"/>
  <c r="O31" i="2"/>
  <c r="O44" i="2" s="1"/>
  <c r="R44" i="2"/>
  <c r="AD31" i="2"/>
  <c r="AD44" i="2" s="1"/>
  <c r="H44" i="2"/>
  <c r="J44" i="2"/>
  <c r="F44" i="2"/>
  <c r="F46" i="2" s="1"/>
  <c r="I44" i="2"/>
  <c r="G44" i="2"/>
  <c r="G46" i="2" s="1"/>
  <c r="AE20" i="2"/>
  <c r="H46" i="2" l="1"/>
  <c r="I46" i="2"/>
  <c r="J46" i="2" s="1"/>
  <c r="AE31" i="2"/>
  <c r="AE46" i="2" s="1"/>
  <c r="K46" i="2" l="1"/>
  <c r="L46" i="2" s="1"/>
  <c r="M46" i="2" s="1"/>
  <c r="N46" i="2" s="1"/>
  <c r="O46" i="2" s="1"/>
  <c r="P46" i="2" s="1"/>
  <c r="Q46" i="2" s="1"/>
  <c r="R46" i="2" s="1"/>
  <c r="S46" i="2" s="1"/>
  <c r="T46" i="2" s="1"/>
  <c r="U46" i="2" s="1"/>
</calcChain>
</file>

<file path=xl/comments1.xml><?xml version="1.0" encoding="utf-8"?>
<comments xmlns="http://schemas.openxmlformats.org/spreadsheetml/2006/main">
  <authors>
    <author>Rosalie Cowley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Per Jeff Hansen:  Report is filed once per year with PHMSA (Pipeline Safety) - March 15th. 
 (Note: on 4/16/2015 Stephen Read sent QGC and Chad Wilding sent QPC.)
Will only need to update once each year.
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Per Jeff Hansen:  This is calculated by 1 minus QPC HCA divided by QGC HCA plus QPC HCA
</t>
        </r>
      </text>
    </comment>
  </commentList>
</comments>
</file>

<file path=xl/sharedStrings.xml><?xml version="1.0" encoding="utf-8"?>
<sst xmlns="http://schemas.openxmlformats.org/spreadsheetml/2006/main" count="96" uniqueCount="54">
  <si>
    <t>TOTAL DIMP</t>
  </si>
  <si>
    <t>TOTAL TIMP</t>
  </si>
  <si>
    <t>Travel/Training</t>
  </si>
  <si>
    <t>Supplies</t>
  </si>
  <si>
    <t>Meals</t>
  </si>
  <si>
    <t>Fees</t>
  </si>
  <si>
    <t>Outside Services</t>
  </si>
  <si>
    <t>Internal Labor and Overhead</t>
  </si>
  <si>
    <t>Vehicle</t>
  </si>
  <si>
    <t>Warehouse</t>
  </si>
  <si>
    <t>DIMP</t>
  </si>
  <si>
    <t>TIMP</t>
  </si>
  <si>
    <t>QUESTAR GAS COMPANY</t>
  </si>
  <si>
    <t>INTEGRITY MANAGEMENT ACCOUNTS</t>
  </si>
  <si>
    <t>Trans Codes</t>
  </si>
  <si>
    <t>410, 413</t>
  </si>
  <si>
    <t>414, 416</t>
  </si>
  <si>
    <t>628, 635, 641</t>
  </si>
  <si>
    <t>460, 969</t>
  </si>
  <si>
    <t>482, 546</t>
  </si>
  <si>
    <t>459, 461, 629</t>
  </si>
  <si>
    <t>562, 850, 927, 949</t>
  </si>
  <si>
    <t>400, 560, 561, 920</t>
  </si>
  <si>
    <t>HCA Factor Calculation</t>
  </si>
  <si>
    <t>Miles QGC HCA</t>
  </si>
  <si>
    <t>Miles QPC HCA</t>
  </si>
  <si>
    <t>HCA Factor</t>
  </si>
  <si>
    <t>BALANCE</t>
  </si>
  <si>
    <t>January</t>
  </si>
  <si>
    <t>February</t>
  </si>
  <si>
    <t>March</t>
  </si>
  <si>
    <t>TOTAL</t>
  </si>
  <si>
    <t>Balance</t>
  </si>
  <si>
    <t>Ending</t>
  </si>
  <si>
    <t>TIMP (182313 Account)</t>
  </si>
  <si>
    <t>Current Period Expense</t>
  </si>
  <si>
    <t>Prior Period Expense</t>
  </si>
  <si>
    <t>Interest Accrual</t>
  </si>
  <si>
    <t>Reimbursements</t>
  </si>
  <si>
    <t>(Billed to UTA)</t>
  </si>
  <si>
    <t>April</t>
  </si>
  <si>
    <t>Forward</t>
  </si>
  <si>
    <t>May</t>
  </si>
  <si>
    <t>June</t>
  </si>
  <si>
    <t>July</t>
  </si>
  <si>
    <t>DIMP (182314 Account)</t>
  </si>
  <si>
    <t>August</t>
  </si>
  <si>
    <t>September</t>
  </si>
  <si>
    <t>October</t>
  </si>
  <si>
    <t>November</t>
  </si>
  <si>
    <t>December</t>
  </si>
  <si>
    <t>As of MARCH 2016</t>
  </si>
  <si>
    <t>NET COST</t>
  </si>
  <si>
    <t>TOTAL TIMP &amp; DIMP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</si>
</sst>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9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Fill="1"/>
    <xf numFmtId="43" fontId="2" fillId="0" borderId="0" xfId="1" applyFont="1" applyFill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43" fontId="2" fillId="0" borderId="0" xfId="1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/>
    <xf numFmtId="0" fontId="3" fillId="0" borderId="0" xfId="0" quotePrefix="1" applyFont="1" applyFill="1" applyBorder="1" applyAlignment="1">
      <alignment horizontal="center"/>
    </xf>
    <xf numFmtId="0" fontId="4" fillId="0" borderId="1" xfId="0" applyFont="1" applyFill="1" applyBorder="1" applyAlignment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9" fontId="4" fillId="0" borderId="0" xfId="1" quotePrefix="1" applyNumberFormat="1" applyFont="1" applyFill="1" applyBorder="1" applyAlignment="1"/>
    <xf numFmtId="39" fontId="2" fillId="0" borderId="0" xfId="1" applyNumberFormat="1" applyFont="1" applyFill="1" applyAlignment="1"/>
    <xf numFmtId="0" fontId="2" fillId="0" borderId="1" xfId="0" applyFont="1" applyFill="1" applyBorder="1"/>
    <xf numFmtId="0" fontId="3" fillId="0" borderId="0" xfId="0" quotePrefix="1" applyFont="1" applyFill="1" applyBorder="1" applyAlignment="1">
      <alignment horizontal="left"/>
    </xf>
    <xf numFmtId="0" fontId="4" fillId="0" borderId="0" xfId="0" applyFont="1" applyFill="1" applyAlignment="1"/>
    <xf numFmtId="40" fontId="4" fillId="0" borderId="0" xfId="1" applyNumberFormat="1" applyFont="1" applyFill="1" applyAlignment="1"/>
    <xf numFmtId="40" fontId="4" fillId="0" borderId="0" xfId="0" applyNumberFormat="1" applyFont="1" applyFill="1" applyBorder="1" applyAlignment="1"/>
    <xf numFmtId="40" fontId="4" fillId="0" borderId="0" xfId="0" applyNumberFormat="1" applyFont="1" applyFill="1"/>
    <xf numFmtId="0" fontId="5" fillId="0" borderId="0" xfId="0" applyFont="1" applyFill="1" applyAlignment="1">
      <alignment horizontal="left"/>
    </xf>
    <xf numFmtId="40" fontId="4" fillId="0" borderId="1" xfId="0" applyNumberFormat="1" applyFont="1" applyFill="1" applyBorder="1" applyAlignment="1"/>
    <xf numFmtId="40" fontId="4" fillId="0" borderId="0" xfId="1" applyNumberFormat="1" applyFont="1" applyFill="1"/>
    <xf numFmtId="40" fontId="4" fillId="0" borderId="0" xfId="1" quotePrefix="1" applyNumberFormat="1" applyFont="1" applyFill="1" applyBorder="1" applyAlignment="1"/>
    <xf numFmtId="0" fontId="2" fillId="0" borderId="2" xfId="0" applyFont="1" applyFill="1" applyBorder="1" applyAlignment="1"/>
    <xf numFmtId="164" fontId="3" fillId="0" borderId="0" xfId="1" quotePrefix="1" applyNumberFormat="1" applyFont="1" applyFill="1" applyBorder="1" applyAlignment="1">
      <alignment horizontal="center"/>
    </xf>
    <xf numFmtId="39" fontId="3" fillId="0" borderId="6" xfId="1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40" fontId="3" fillId="0" borderId="2" xfId="1" applyNumberFormat="1" applyFont="1" applyFill="1" applyBorder="1" applyAlignment="1"/>
    <xf numFmtId="0" fontId="6" fillId="0" borderId="0" xfId="0" applyFont="1" applyFill="1" applyBorder="1"/>
    <xf numFmtId="40" fontId="4" fillId="0" borderId="3" xfId="0" applyNumberFormat="1" applyFont="1" applyFill="1" applyBorder="1" applyAlignment="1"/>
    <xf numFmtId="0" fontId="3" fillId="0" borderId="7" xfId="0" quotePrefix="1" applyFont="1" applyFill="1" applyBorder="1" applyAlignment="1">
      <alignment horizontal="center"/>
    </xf>
    <xf numFmtId="0" fontId="3" fillId="0" borderId="9" xfId="0" quotePrefix="1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164" fontId="3" fillId="0" borderId="3" xfId="0" quotePrefix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39" fontId="4" fillId="0" borderId="3" xfId="0" applyNumberFormat="1" applyFont="1" applyFill="1" applyBorder="1" applyAlignment="1"/>
    <xf numFmtId="39" fontId="4" fillId="0" borderId="4" xfId="0" applyNumberFormat="1" applyFont="1" applyFill="1" applyBorder="1" applyAlignment="1"/>
    <xf numFmtId="39" fontId="2" fillId="0" borderId="3" xfId="1" applyNumberFormat="1" applyFont="1" applyFill="1" applyBorder="1" applyAlignment="1"/>
    <xf numFmtId="40" fontId="4" fillId="0" borderId="3" xfId="1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6" xfId="0" quotePrefix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" fontId="3" fillId="0" borderId="6" xfId="0" quotePrefix="1" applyNumberFormat="1" applyFont="1" applyFill="1" applyBorder="1" applyAlignment="1">
      <alignment horizontal="left"/>
    </xf>
    <xf numFmtId="0" fontId="4" fillId="0" borderId="11" xfId="0" applyFont="1" applyFill="1" applyBorder="1" applyAlignment="1"/>
    <xf numFmtId="0" fontId="3" fillId="0" borderId="6" xfId="0" quotePrefix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39" fontId="2" fillId="0" borderId="6" xfId="1" applyNumberFormat="1" applyFont="1" applyFill="1" applyBorder="1" applyAlignment="1"/>
    <xf numFmtId="39" fontId="2" fillId="0" borderId="0" xfId="1" applyNumberFormat="1" applyFont="1" applyFill="1" applyBorder="1" applyAlignment="1"/>
    <xf numFmtId="0" fontId="3" fillId="0" borderId="1" xfId="0" quotePrefix="1" applyFont="1" applyFill="1" applyBorder="1" applyAlignment="1">
      <alignment horizontal="centerContinuous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right"/>
    </xf>
    <xf numFmtId="0" fontId="3" fillId="0" borderId="8" xfId="0" quotePrefix="1" applyFont="1" applyFill="1" applyBorder="1" applyAlignment="1">
      <alignment horizontal="center"/>
    </xf>
    <xf numFmtId="14" fontId="3" fillId="0" borderId="8" xfId="0" quotePrefix="1" applyNumberFormat="1" applyFont="1" applyFill="1" applyBorder="1" applyAlignment="1">
      <alignment horizontal="center"/>
    </xf>
    <xf numFmtId="39" fontId="4" fillId="0" borderId="8" xfId="0" applyNumberFormat="1" applyFont="1" applyFill="1" applyBorder="1" applyAlignment="1"/>
    <xf numFmtId="14" fontId="3" fillId="0" borderId="9" xfId="0" quotePrefix="1" applyNumberFormat="1" applyFont="1" applyFill="1" applyBorder="1" applyAlignment="1">
      <alignment horizontal="center"/>
    </xf>
    <xf numFmtId="39" fontId="2" fillId="0" borderId="9" xfId="1" applyNumberFormat="1" applyFont="1" applyFill="1" applyBorder="1" applyAlignment="1"/>
    <xf numFmtId="40" fontId="4" fillId="0" borderId="5" xfId="1" applyNumberFormat="1" applyFont="1" applyFill="1" applyBorder="1" applyAlignment="1"/>
    <xf numFmtId="39" fontId="4" fillId="0" borderId="5" xfId="0" applyNumberFormat="1" applyFont="1" applyFill="1" applyBorder="1" applyAlignment="1"/>
    <xf numFmtId="14" fontId="4" fillId="0" borderId="5" xfId="0" quotePrefix="1" applyNumberFormat="1" applyFont="1" applyFill="1" applyBorder="1" applyAlignment="1">
      <alignment horizontal="center"/>
    </xf>
    <xf numFmtId="14" fontId="4" fillId="0" borderId="12" xfId="0" quotePrefix="1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right"/>
    </xf>
    <xf numFmtId="2" fontId="4" fillId="0" borderId="3" xfId="0" quotePrefix="1" applyNumberFormat="1" applyFont="1" applyFill="1" applyBorder="1" applyAlignment="1">
      <alignment horizontal="right"/>
    </xf>
    <xf numFmtId="2" fontId="4" fillId="0" borderId="8" xfId="0" quotePrefix="1" applyNumberFormat="1" applyFont="1" applyFill="1" applyBorder="1" applyAlignment="1">
      <alignment horizontal="right"/>
    </xf>
    <xf numFmtId="2" fontId="4" fillId="0" borderId="0" xfId="0" quotePrefix="1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64" fontId="3" fillId="0" borderId="8" xfId="0" quotePrefix="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4" fillId="0" borderId="8" xfId="0" quotePrefix="1" applyFont="1" applyFill="1" applyBorder="1" applyAlignment="1">
      <alignment horizontal="right"/>
    </xf>
    <xf numFmtId="39" fontId="4" fillId="0" borderId="15" xfId="0" applyNumberFormat="1" applyFont="1" applyFill="1" applyBorder="1" applyAlignment="1"/>
    <xf numFmtId="39" fontId="2" fillId="0" borderId="8" xfId="1" applyNumberFormat="1" applyFont="1" applyFill="1" applyBorder="1" applyAlignment="1"/>
    <xf numFmtId="40" fontId="4" fillId="0" borderId="8" xfId="1" applyNumberFormat="1" applyFont="1" applyFill="1" applyBorder="1" applyAlignment="1"/>
    <xf numFmtId="40" fontId="4" fillId="0" borderId="8" xfId="0" applyNumberFormat="1" applyFont="1" applyFill="1" applyBorder="1" applyAlignment="1"/>
    <xf numFmtId="0" fontId="3" fillId="0" borderId="16" xfId="0" quotePrefix="1" applyFont="1" applyFill="1" applyBorder="1" applyAlignment="1">
      <alignment horizontal="centerContinuous"/>
    </xf>
    <xf numFmtId="164" fontId="3" fillId="0" borderId="17" xfId="1" quotePrefix="1" applyNumberFormat="1" applyFont="1" applyFill="1" applyBorder="1" applyAlignment="1">
      <alignment horizontal="center"/>
    </xf>
    <xf numFmtId="39" fontId="3" fillId="0" borderId="18" xfId="1" applyNumberFormat="1" applyFont="1" applyFill="1" applyBorder="1" applyAlignment="1">
      <alignment horizontal="center"/>
    </xf>
    <xf numFmtId="0" fontId="3" fillId="0" borderId="19" xfId="0" quotePrefix="1" applyFont="1" applyFill="1" applyBorder="1" applyAlignment="1">
      <alignment horizontal="center"/>
    </xf>
    <xf numFmtId="0" fontId="4" fillId="0" borderId="17" xfId="0" quotePrefix="1" applyFont="1" applyFill="1" applyBorder="1" applyAlignment="1">
      <alignment horizontal="center"/>
    </xf>
    <xf numFmtId="0" fontId="4" fillId="0" borderId="17" xfId="0" quotePrefix="1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right"/>
    </xf>
    <xf numFmtId="39" fontId="2" fillId="0" borderId="18" xfId="1" applyNumberFormat="1" applyFont="1" applyFill="1" applyBorder="1" applyAlignment="1"/>
    <xf numFmtId="39" fontId="2" fillId="0" borderId="17" xfId="1" applyNumberFormat="1" applyFont="1" applyFill="1" applyBorder="1" applyAlignment="1"/>
    <xf numFmtId="39" fontId="4" fillId="0" borderId="17" xfId="1" quotePrefix="1" applyNumberFormat="1" applyFont="1" applyFill="1" applyBorder="1" applyAlignment="1"/>
    <xf numFmtId="40" fontId="4" fillId="0" borderId="17" xfId="0" applyNumberFormat="1" applyFont="1" applyFill="1" applyBorder="1" applyAlignment="1"/>
    <xf numFmtId="40" fontId="4" fillId="0" borderId="16" xfId="0" applyNumberFormat="1" applyFont="1" applyFill="1" applyBorder="1" applyAlignment="1"/>
    <xf numFmtId="40" fontId="4" fillId="0" borderId="17" xfId="1" applyNumberFormat="1" applyFont="1" applyFill="1" applyBorder="1" applyAlignment="1"/>
    <xf numFmtId="40" fontId="4" fillId="0" borderId="17" xfId="1" quotePrefix="1" applyNumberFormat="1" applyFont="1" applyFill="1" applyBorder="1" applyAlignment="1"/>
    <xf numFmtId="40" fontId="4" fillId="0" borderId="17" xfId="0" applyNumberFormat="1" applyFont="1" applyFill="1" applyBorder="1"/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/>
    <xf numFmtId="0" fontId="4" fillId="0" borderId="10" xfId="0" applyFont="1" applyFill="1" applyBorder="1" applyAlignment="1"/>
    <xf numFmtId="39" fontId="4" fillId="0" borderId="14" xfId="0" applyNumberFormat="1" applyFont="1" applyFill="1" applyBorder="1"/>
    <xf numFmtId="39" fontId="4" fillId="0" borderId="13" xfId="0" applyNumberFormat="1" applyFont="1" applyFill="1" applyBorder="1"/>
    <xf numFmtId="0" fontId="4" fillId="0" borderId="14" xfId="0" applyFont="1" applyFill="1" applyBorder="1"/>
    <xf numFmtId="40" fontId="4" fillId="0" borderId="14" xfId="0" applyNumberFormat="1" applyFont="1" applyFill="1" applyBorder="1"/>
    <xf numFmtId="40" fontId="3" fillId="0" borderId="20" xfId="1" applyNumberFormat="1" applyFont="1" applyFill="1" applyBorder="1" applyAlignment="1"/>
    <xf numFmtId="0" fontId="3" fillId="0" borderId="21" xfId="0" quotePrefix="1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"/>
    </xf>
    <xf numFmtId="43" fontId="3" fillId="0" borderId="23" xfId="1" applyFont="1" applyFill="1" applyBorder="1" applyAlignment="1">
      <alignment horizontal="center"/>
    </xf>
    <xf numFmtId="0" fontId="3" fillId="0" borderId="22" xfId="0" quotePrefix="1" applyFont="1" applyFill="1" applyBorder="1" applyAlignment="1">
      <alignment horizontal="center"/>
    </xf>
    <xf numFmtId="0" fontId="3" fillId="0" borderId="24" xfId="0" quotePrefix="1" applyFont="1" applyFill="1" applyBorder="1" applyAlignment="1">
      <alignment horizontal="center"/>
    </xf>
    <xf numFmtId="0" fontId="4" fillId="0" borderId="24" xfId="0" applyFont="1" applyFill="1" applyBorder="1" applyAlignment="1"/>
    <xf numFmtId="43" fontId="2" fillId="0" borderId="23" xfId="1" applyFont="1" applyFill="1" applyBorder="1" applyAlignment="1"/>
    <xf numFmtId="43" fontId="2" fillId="0" borderId="24" xfId="1" applyFont="1" applyFill="1" applyBorder="1" applyAlignment="1"/>
    <xf numFmtId="40" fontId="4" fillId="0" borderId="24" xfId="0" applyNumberFormat="1" applyFont="1" applyFill="1" applyBorder="1" applyAlignment="1"/>
    <xf numFmtId="40" fontId="4" fillId="0" borderId="24" xfId="0" applyNumberFormat="1" applyFont="1" applyFill="1" applyBorder="1"/>
    <xf numFmtId="40" fontId="4" fillId="0" borderId="25" xfId="0" applyNumberFormat="1" applyFont="1" applyFill="1" applyBorder="1"/>
    <xf numFmtId="40" fontId="4" fillId="0" borderId="24" xfId="1" applyNumberFormat="1" applyFont="1" applyFill="1" applyBorder="1"/>
    <xf numFmtId="0" fontId="3" fillId="0" borderId="24" xfId="0" applyFont="1" applyFill="1" applyBorder="1" applyAlignment="1">
      <alignment horizontal="center"/>
    </xf>
    <xf numFmtId="0" fontId="3" fillId="0" borderId="22" xfId="0" quotePrefix="1" applyFont="1" applyFill="1" applyBorder="1" applyAlignment="1">
      <alignment horizontal="centerContinuous"/>
    </xf>
    <xf numFmtId="0" fontId="4" fillId="0" borderId="24" xfId="0" quotePrefix="1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 horizontal="right"/>
    </xf>
    <xf numFmtId="0" fontId="2" fillId="0" borderId="26" xfId="0" applyFont="1" applyFill="1" applyBorder="1" applyAlignment="1"/>
    <xf numFmtId="40" fontId="3" fillId="0" borderId="9" xfId="1" applyNumberFormat="1" applyFont="1" applyFill="1" applyBorder="1" applyAlignment="1"/>
    <xf numFmtId="40" fontId="3" fillId="0" borderId="7" xfId="1" applyNumberFormat="1" applyFont="1" applyFill="1" applyBorder="1" applyAlignment="1"/>
    <xf numFmtId="40" fontId="3" fillId="0" borderId="22" xfId="1" applyNumberFormat="1" applyFont="1" applyFill="1" applyBorder="1" applyAlignment="1"/>
    <xf numFmtId="40" fontId="3" fillId="0" borderId="19" xfId="1" applyNumberFormat="1" applyFont="1" applyFill="1" applyBorder="1" applyAlignment="1"/>
    <xf numFmtId="40" fontId="3" fillId="0" borderId="26" xfId="1" applyNumberFormat="1" applyFont="1" applyFill="1" applyBorder="1" applyAlignment="1"/>
    <xf numFmtId="40" fontId="3" fillId="0" borderId="11" xfId="1" applyNumberFormat="1" applyFont="1" applyFill="1" applyBorder="1" applyAlignment="1"/>
    <xf numFmtId="0" fontId="4" fillId="0" borderId="2" xfId="0" applyFont="1" applyFill="1" applyBorder="1"/>
    <xf numFmtId="40" fontId="4" fillId="0" borderId="2" xfId="1" applyNumberFormat="1" applyFont="1" applyFill="1" applyBorder="1" applyAlignment="1"/>
    <xf numFmtId="40" fontId="4" fillId="0" borderId="2" xfId="1" applyNumberFormat="1" applyFont="1" applyFill="1" applyBorder="1"/>
    <xf numFmtId="0" fontId="3" fillId="0" borderId="26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0" xfId="0" applyFont="1" applyFill="1" applyBorder="1"/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1100073</xdr:colOff>
      <xdr:row>44</xdr:row>
      <xdr:rowOff>56668</xdr:rowOff>
    </xdr:from>
    <xdr:ext cx="937757" cy="2272224"/>
    <xdr:sp macro="" textlink="">
      <xdr:nvSpPr>
        <xdr:cNvPr id="2" name="TextBox 1"/>
        <xdr:cNvSpPr txBox="1"/>
      </xdr:nvSpPr>
      <xdr:spPr>
        <a:xfrm rot="5400000">
          <a:off x="17984240" y="9118601"/>
          <a:ext cx="2272224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800"/>
            <a:t>Questar Gas Company</a:t>
          </a:r>
        </a:p>
        <a:p>
          <a:pPr algn="r"/>
          <a:r>
            <a:rPr lang="en-US" sz="1800"/>
            <a:t>Docket No. 16-057-03</a:t>
          </a:r>
        </a:p>
        <a:p>
          <a:pPr algn="r"/>
          <a:r>
            <a:rPr lang="en-US" sz="1800"/>
            <a:t>QGC</a:t>
          </a:r>
          <a:r>
            <a:rPr lang="en-US" sz="1800" baseline="0"/>
            <a:t> Exhibit 3.28</a:t>
          </a:r>
          <a:endParaRPr lang="en-US" sz="18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tabSelected="1" view="pageBreakPreview" topLeftCell="B1" zoomScale="60" zoomScaleNormal="75" workbookViewId="0">
      <pane xSplit="3240" topLeftCell="J1" activePane="topRight"/>
      <selection activeCell="B46" sqref="B46"/>
      <selection pane="topRight" activeCell="R33" sqref="R33"/>
    </sheetView>
  </sheetViews>
  <sheetFormatPr defaultRowHeight="15" x14ac:dyDescent="0.2"/>
  <cols>
    <col min="1" max="1" width="17.75" style="1" hidden="1" customWidth="1"/>
    <col min="2" max="2" width="17.75" style="1" customWidth="1"/>
    <col min="3" max="3" width="5.625" style="4" customWidth="1"/>
    <col min="4" max="4" width="3.875" style="4" customWidth="1"/>
    <col min="5" max="5" width="29.75" style="1" customWidth="1"/>
    <col min="6" max="6" width="18" style="6" bestFit="1" customWidth="1"/>
    <col min="7" max="10" width="18.5" style="6" bestFit="1" customWidth="1"/>
    <col min="11" max="11" width="18.875" style="6" bestFit="1" customWidth="1"/>
    <col min="12" max="12" width="18.5" style="6" bestFit="1" customWidth="1"/>
    <col min="13" max="13" width="18" style="6" bestFit="1" customWidth="1"/>
    <col min="14" max="14" width="18.5" style="6" bestFit="1" customWidth="1"/>
    <col min="15" max="15" width="18" style="6" bestFit="1" customWidth="1"/>
    <col min="16" max="16" width="18.875" style="6" bestFit="1" customWidth="1"/>
    <col min="17" max="17" width="18.875" style="2" bestFit="1" customWidth="1"/>
    <col min="18" max="18" width="18.5" style="17" bestFit="1" customWidth="1"/>
    <col min="19" max="20" width="18" style="17" bestFit="1" customWidth="1"/>
    <col min="21" max="21" width="14.75" style="17" bestFit="1" customWidth="1"/>
    <col min="22" max="24" width="7.875" style="17" hidden="1" customWidth="1"/>
    <col min="25" max="25" width="9.875" style="17" hidden="1" customWidth="1"/>
    <col min="26" max="26" width="14.25" style="17" hidden="1" customWidth="1"/>
    <col min="27" max="27" width="11.125" style="17" hidden="1" customWidth="1"/>
    <col min="28" max="28" width="13.25" style="17" hidden="1" customWidth="1"/>
    <col min="29" max="29" width="13.5" style="17" hidden="1" customWidth="1"/>
    <col min="30" max="30" width="17" style="2" bestFit="1" customWidth="1"/>
    <col min="31" max="31" width="18" style="9" bestFit="1" customWidth="1"/>
    <col min="32" max="32" width="9.125" style="1" bestFit="1" customWidth="1"/>
    <col min="33" max="16384" width="9" style="1"/>
  </cols>
  <sheetData>
    <row r="1" spans="1:32" ht="15" customHeight="1" x14ac:dyDescent="0.25">
      <c r="C1" s="47" t="s">
        <v>12</v>
      </c>
      <c r="D1" s="10"/>
      <c r="E1" s="10"/>
      <c r="F1" s="38">
        <v>2004</v>
      </c>
      <c r="G1" s="38">
        <v>2005</v>
      </c>
      <c r="H1" s="38">
        <v>2006</v>
      </c>
      <c r="I1" s="38">
        <v>2007</v>
      </c>
      <c r="J1" s="38">
        <v>2008</v>
      </c>
      <c r="K1" s="38">
        <v>2009</v>
      </c>
      <c r="L1" s="38">
        <v>2010</v>
      </c>
      <c r="M1" s="38">
        <v>2011</v>
      </c>
      <c r="N1" s="38">
        <v>2012</v>
      </c>
      <c r="O1" s="38">
        <v>2013</v>
      </c>
      <c r="P1" s="37">
        <v>2014</v>
      </c>
      <c r="Q1" s="116">
        <v>2015</v>
      </c>
      <c r="R1" s="80">
        <v>2016</v>
      </c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03"/>
      <c r="AE1" s="51"/>
      <c r="AF1" s="9"/>
    </row>
    <row r="2" spans="1:32" ht="15" customHeight="1" x14ac:dyDescent="0.25">
      <c r="A2" s="3"/>
      <c r="B2" s="3"/>
      <c r="C2" s="47" t="s">
        <v>13</v>
      </c>
      <c r="D2" s="8"/>
      <c r="E2" s="12"/>
      <c r="F2" s="41" t="s">
        <v>32</v>
      </c>
      <c r="G2" s="41" t="s">
        <v>32</v>
      </c>
      <c r="H2" s="41" t="s">
        <v>32</v>
      </c>
      <c r="I2" s="41" t="s">
        <v>32</v>
      </c>
      <c r="J2" s="41" t="s">
        <v>32</v>
      </c>
      <c r="K2" s="41" t="s">
        <v>32</v>
      </c>
      <c r="L2" s="41" t="s">
        <v>32</v>
      </c>
      <c r="M2" s="41" t="s">
        <v>32</v>
      </c>
      <c r="N2" s="41" t="s">
        <v>32</v>
      </c>
      <c r="O2" s="41" t="s">
        <v>32</v>
      </c>
      <c r="P2" s="73" t="s">
        <v>32</v>
      </c>
      <c r="Q2" s="115" t="s">
        <v>32</v>
      </c>
      <c r="R2" s="8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104"/>
      <c r="AE2" s="95" t="s">
        <v>33</v>
      </c>
    </row>
    <row r="3" spans="1:32" s="15" customFormat="1" ht="15" customHeight="1" x14ac:dyDescent="0.25">
      <c r="A3" s="14"/>
      <c r="B3" s="14"/>
      <c r="C3" s="50" t="s">
        <v>51</v>
      </c>
      <c r="D3" s="48"/>
      <c r="E3" s="49"/>
      <c r="F3" s="42" t="s">
        <v>41</v>
      </c>
      <c r="G3" s="42" t="s">
        <v>41</v>
      </c>
      <c r="H3" s="42" t="s">
        <v>41</v>
      </c>
      <c r="I3" s="42" t="s">
        <v>41</v>
      </c>
      <c r="J3" s="42" t="s">
        <v>41</v>
      </c>
      <c r="K3" s="42" t="s">
        <v>41</v>
      </c>
      <c r="L3" s="42" t="s">
        <v>41</v>
      </c>
      <c r="M3" s="42" t="s">
        <v>41</v>
      </c>
      <c r="N3" s="42" t="s">
        <v>41</v>
      </c>
      <c r="O3" s="42" t="s">
        <v>41</v>
      </c>
      <c r="P3" s="74" t="s">
        <v>41</v>
      </c>
      <c r="Q3" s="105" t="s">
        <v>41</v>
      </c>
      <c r="R3" s="82" t="s">
        <v>28</v>
      </c>
      <c r="S3" s="30" t="s">
        <v>29</v>
      </c>
      <c r="T3" s="30" t="s">
        <v>30</v>
      </c>
      <c r="U3" s="30" t="s">
        <v>40</v>
      </c>
      <c r="V3" s="30" t="s">
        <v>42</v>
      </c>
      <c r="W3" s="30" t="s">
        <v>43</v>
      </c>
      <c r="X3" s="30" t="s">
        <v>44</v>
      </c>
      <c r="Y3" s="30" t="s">
        <v>46</v>
      </c>
      <c r="Z3" s="30" t="s">
        <v>47</v>
      </c>
      <c r="AA3" s="30" t="s">
        <v>48</v>
      </c>
      <c r="AB3" s="30" t="s">
        <v>49</v>
      </c>
      <c r="AC3" s="30" t="s">
        <v>50</v>
      </c>
      <c r="AD3" s="105" t="s">
        <v>31</v>
      </c>
      <c r="AE3" s="49" t="s">
        <v>32</v>
      </c>
    </row>
    <row r="4" spans="1:32" ht="15" customHeight="1" x14ac:dyDescent="0.25">
      <c r="C4" s="1"/>
      <c r="D4" s="1"/>
      <c r="E4" s="11"/>
      <c r="F4" s="38"/>
      <c r="G4" s="59"/>
      <c r="H4" s="59"/>
      <c r="I4" s="59"/>
      <c r="J4" s="59"/>
      <c r="K4" s="59"/>
      <c r="L4" s="59"/>
      <c r="M4" s="59"/>
      <c r="N4" s="59"/>
      <c r="O4" s="59"/>
      <c r="P4" s="37"/>
      <c r="Q4" s="106"/>
      <c r="R4" s="8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06"/>
      <c r="AE4" s="96"/>
      <c r="AF4" s="9"/>
    </row>
    <row r="5" spans="1:32" ht="15" customHeight="1" x14ac:dyDescent="0.25">
      <c r="C5" s="35" t="s">
        <v>23</v>
      </c>
      <c r="D5" s="10"/>
      <c r="E5" s="11"/>
      <c r="F5" s="39"/>
      <c r="G5" s="59"/>
      <c r="H5" s="59"/>
      <c r="I5" s="59"/>
      <c r="J5" s="59"/>
      <c r="K5" s="59"/>
      <c r="L5" s="59"/>
      <c r="M5" s="59"/>
      <c r="N5" s="59"/>
      <c r="O5" s="59"/>
      <c r="P5" s="59"/>
      <c r="Q5" s="107"/>
      <c r="R5" s="84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107"/>
      <c r="AE5" s="96"/>
      <c r="AF5" s="9"/>
    </row>
    <row r="6" spans="1:32" ht="15" customHeight="1" x14ac:dyDescent="0.25">
      <c r="B6" s="15">
        <v>1</v>
      </c>
      <c r="C6" s="1"/>
      <c r="D6" s="10" t="s">
        <v>24</v>
      </c>
      <c r="E6" s="11"/>
      <c r="F6" s="69">
        <v>279</v>
      </c>
      <c r="G6" s="70">
        <v>279</v>
      </c>
      <c r="H6" s="69">
        <v>191</v>
      </c>
      <c r="I6" s="69">
        <v>191.08</v>
      </c>
      <c r="J6" s="69">
        <v>195.69</v>
      </c>
      <c r="K6" s="69">
        <v>167.32</v>
      </c>
      <c r="L6" s="69">
        <v>158.85</v>
      </c>
      <c r="M6" s="71">
        <v>166.33</v>
      </c>
      <c r="N6" s="69">
        <v>140.96</v>
      </c>
      <c r="O6" s="71">
        <v>143.04</v>
      </c>
      <c r="P6" s="75">
        <v>143.03700000000001</v>
      </c>
      <c r="Q6" s="117">
        <v>149.03</v>
      </c>
      <c r="R6" s="85">
        <v>149.03</v>
      </c>
      <c r="S6" s="58">
        <v>149.03</v>
      </c>
      <c r="T6" s="58">
        <v>149.03</v>
      </c>
      <c r="U6" s="58"/>
      <c r="V6" s="58"/>
      <c r="W6" s="58"/>
      <c r="X6" s="58"/>
      <c r="Y6" s="58"/>
      <c r="Z6" s="58"/>
      <c r="AA6" s="58"/>
      <c r="AB6" s="58"/>
      <c r="AC6" s="58"/>
      <c r="AD6" s="107"/>
      <c r="AE6" s="96"/>
      <c r="AF6" s="9"/>
    </row>
    <row r="7" spans="1:32" ht="15" customHeight="1" x14ac:dyDescent="0.25">
      <c r="B7" s="15">
        <v>2</v>
      </c>
      <c r="C7" s="1"/>
      <c r="D7" s="10" t="s">
        <v>25</v>
      </c>
      <c r="E7" s="11"/>
      <c r="F7" s="69">
        <v>53</v>
      </c>
      <c r="G7" s="70">
        <v>34.229999999999997</v>
      </c>
      <c r="H7" s="69">
        <v>28.35</v>
      </c>
      <c r="I7" s="69">
        <v>26.3</v>
      </c>
      <c r="J7" s="69">
        <v>26.17</v>
      </c>
      <c r="K7" s="69">
        <v>28.9</v>
      </c>
      <c r="L7" s="69">
        <v>29.71</v>
      </c>
      <c r="M7" s="71">
        <v>31.44</v>
      </c>
      <c r="N7" s="69">
        <v>30.9</v>
      </c>
      <c r="O7" s="71">
        <v>32.1</v>
      </c>
      <c r="P7" s="75">
        <v>32.097999999999999</v>
      </c>
      <c r="Q7" s="117">
        <v>32.271000000000001</v>
      </c>
      <c r="R7" s="85">
        <v>32.271000000000001</v>
      </c>
      <c r="S7" s="58">
        <v>32.271000000000001</v>
      </c>
      <c r="T7" s="58">
        <v>32.271000000000001</v>
      </c>
      <c r="U7" s="58"/>
      <c r="V7" s="58"/>
      <c r="W7" s="58"/>
      <c r="X7" s="58"/>
      <c r="Y7" s="58"/>
      <c r="Z7" s="58"/>
      <c r="AA7" s="58"/>
      <c r="AB7" s="58"/>
      <c r="AC7" s="58"/>
      <c r="AD7" s="107"/>
      <c r="AE7" s="96"/>
      <c r="AF7" s="9"/>
    </row>
    <row r="8" spans="1:32" ht="15" customHeight="1" x14ac:dyDescent="0.2">
      <c r="B8" s="15">
        <v>3</v>
      </c>
      <c r="C8" s="1"/>
      <c r="D8" s="10" t="s">
        <v>26</v>
      </c>
      <c r="E8" s="11"/>
      <c r="F8" s="68">
        <f>1-(F7/(F6+F7))</f>
        <v>0.84036144578313254</v>
      </c>
      <c r="G8" s="68">
        <f t="shared" ref="G8:O8" si="0">1-(G7/(G6+G7))</f>
        <v>0.89071927976247489</v>
      </c>
      <c r="H8" s="68">
        <f t="shared" si="0"/>
        <v>0.87075450193754267</v>
      </c>
      <c r="I8" s="68">
        <f t="shared" si="0"/>
        <v>0.87901370871285311</v>
      </c>
      <c r="J8" s="68">
        <f t="shared" si="0"/>
        <v>0.88204272964932839</v>
      </c>
      <c r="K8" s="68">
        <f t="shared" si="0"/>
        <v>0.85271633880338393</v>
      </c>
      <c r="L8" s="68">
        <f t="shared" si="0"/>
        <v>0.84243742044972425</v>
      </c>
      <c r="M8" s="68">
        <f t="shared" si="0"/>
        <v>0.84102745613591545</v>
      </c>
      <c r="N8" s="68">
        <f t="shared" si="0"/>
        <v>0.82020249039916215</v>
      </c>
      <c r="O8" s="68">
        <f t="shared" si="0"/>
        <v>0.81671805412812604</v>
      </c>
      <c r="P8" s="68">
        <f t="shared" ref="P8:Q8" si="1">1-(P7/(P6+P7))</f>
        <v>0.81672424129956889</v>
      </c>
      <c r="Q8" s="118">
        <f t="shared" si="1"/>
        <v>0.82200318806846073</v>
      </c>
      <c r="R8" s="86">
        <v>0.82200318806846073</v>
      </c>
      <c r="S8" s="72">
        <v>0.82200318806846073</v>
      </c>
      <c r="T8" s="72">
        <v>0.82200318806846073</v>
      </c>
      <c r="U8" s="72"/>
      <c r="V8" s="72"/>
      <c r="W8" s="72"/>
      <c r="X8" s="72"/>
      <c r="Y8" s="72"/>
      <c r="Z8" s="72"/>
      <c r="AA8" s="72"/>
      <c r="AB8" s="72"/>
      <c r="AC8" s="72"/>
      <c r="AD8" s="108"/>
      <c r="AE8" s="96"/>
      <c r="AF8" s="9"/>
    </row>
    <row r="9" spans="1:32" ht="15" customHeight="1" x14ac:dyDescent="0.25">
      <c r="B9" s="15"/>
      <c r="C9" s="52"/>
      <c r="D9" s="52"/>
      <c r="E9" s="53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109"/>
      <c r="R9" s="87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109"/>
      <c r="AE9" s="97"/>
      <c r="AF9" s="9"/>
    </row>
    <row r="10" spans="1:32" ht="15" customHeight="1" x14ac:dyDescent="0.25">
      <c r="B10" s="15"/>
      <c r="C10" s="19"/>
      <c r="D10" s="19"/>
      <c r="E10" s="7"/>
      <c r="F10" s="60"/>
      <c r="G10" s="62"/>
      <c r="H10" s="62"/>
      <c r="I10" s="62"/>
      <c r="J10" s="62"/>
      <c r="K10" s="62"/>
      <c r="L10" s="62"/>
      <c r="M10" s="62"/>
      <c r="N10" s="62"/>
      <c r="O10" s="62"/>
      <c r="P10" s="60"/>
      <c r="Q10" s="110"/>
      <c r="R10" s="88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110"/>
      <c r="AE10" s="96"/>
      <c r="AF10" s="9"/>
    </row>
    <row r="11" spans="1:32" ht="15" customHeight="1" x14ac:dyDescent="0.25">
      <c r="A11" s="24" t="s">
        <v>14</v>
      </c>
      <c r="B11" s="134"/>
      <c r="C11" s="31" t="s">
        <v>34</v>
      </c>
      <c r="D11" s="10"/>
      <c r="E11" s="11"/>
      <c r="F11" s="61"/>
      <c r="G11" s="43"/>
      <c r="H11" s="43"/>
      <c r="I11" s="43"/>
      <c r="J11" s="43"/>
      <c r="K11" s="43"/>
      <c r="L11" s="43"/>
      <c r="M11" s="43"/>
      <c r="N11" s="43"/>
      <c r="O11" s="43"/>
      <c r="P11" s="61"/>
      <c r="Q11" s="111"/>
      <c r="R11" s="89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11"/>
      <c r="AE11" s="96"/>
    </row>
    <row r="12" spans="1:32" ht="15" customHeight="1" x14ac:dyDescent="0.2">
      <c r="A12" s="3" t="s">
        <v>15</v>
      </c>
      <c r="B12" s="14">
        <v>4</v>
      </c>
      <c r="C12" s="10"/>
      <c r="D12" s="10"/>
      <c r="E12" s="11" t="s">
        <v>2</v>
      </c>
      <c r="F12" s="43">
        <v>0</v>
      </c>
      <c r="G12" s="43">
        <v>155.97999999999999</v>
      </c>
      <c r="H12" s="43">
        <f>-3672.1+11+3226.38+7623.96</f>
        <v>7189.24</v>
      </c>
      <c r="I12" s="43">
        <f>886.6+10500</f>
        <v>11386.6</v>
      </c>
      <c r="J12" s="43">
        <f>9320.96+9426.07</f>
        <v>18747.03</v>
      </c>
      <c r="K12" s="43">
        <f>-80.92+8203.79+195</f>
        <v>8317.8700000000008</v>
      </c>
      <c r="L12" s="43">
        <f>13696.1+5984.1</f>
        <v>19680.2</v>
      </c>
      <c r="M12" s="43">
        <f>13850.7+5853.69</f>
        <v>19704.39</v>
      </c>
      <c r="N12" s="43">
        <f>9368.07+9430.42</f>
        <v>18798.489999999998</v>
      </c>
      <c r="O12" s="43">
        <f>7643.62+6147.5</f>
        <v>13791.119999999999</v>
      </c>
      <c r="P12" s="61">
        <v>21240.010000000002</v>
      </c>
      <c r="Q12" s="112">
        <v>12415.66</v>
      </c>
      <c r="R12" s="90">
        <v>8052.4</v>
      </c>
      <c r="S12" s="22">
        <v>0</v>
      </c>
      <c r="T12" s="22">
        <v>0</v>
      </c>
      <c r="U12" s="22"/>
      <c r="V12" s="22"/>
      <c r="W12" s="22"/>
      <c r="X12" s="22"/>
      <c r="Y12" s="22"/>
      <c r="Z12" s="22"/>
      <c r="AA12" s="22"/>
      <c r="AB12" s="22"/>
      <c r="AC12" s="22"/>
      <c r="AD12" s="112">
        <f>SUM(R12:AC12)</f>
        <v>8052.4</v>
      </c>
      <c r="AE12" s="98">
        <f t="shared" ref="AE12:AE19" si="2">F12+G12+H12+I12+J12+K12+L12+M12+N12+O12+P12+Q12+AD12</f>
        <v>159478.99</v>
      </c>
    </row>
    <row r="13" spans="1:32" ht="15" customHeight="1" x14ac:dyDescent="0.2">
      <c r="A13" s="3" t="s">
        <v>16</v>
      </c>
      <c r="B13" s="14">
        <v>5</v>
      </c>
      <c r="C13" s="10"/>
      <c r="D13" s="10"/>
      <c r="E13" s="10" t="s">
        <v>4</v>
      </c>
      <c r="F13" s="43">
        <v>0</v>
      </c>
      <c r="G13" s="43">
        <v>0</v>
      </c>
      <c r="H13" s="43">
        <f>-655.03+1147.95+255.03</f>
        <v>747.95</v>
      </c>
      <c r="I13" s="43">
        <f>4673.97+58.27</f>
        <v>4732.2400000000007</v>
      </c>
      <c r="J13" s="43">
        <f>1777.07+580.68</f>
        <v>2357.75</v>
      </c>
      <c r="K13" s="43">
        <f>3531.65+235.82</f>
        <v>3767.4700000000003</v>
      </c>
      <c r="L13" s="43">
        <f>4596.36+61.69</f>
        <v>4658.0499999999993</v>
      </c>
      <c r="M13" s="43">
        <f>182+2476.72</f>
        <v>2658.72</v>
      </c>
      <c r="N13" s="43">
        <v>3057.41</v>
      </c>
      <c r="O13" s="43">
        <f>3862.69+19.2</f>
        <v>3881.89</v>
      </c>
      <c r="P13" s="61">
        <v>5972.28</v>
      </c>
      <c r="Q13" s="112">
        <v>5537.01</v>
      </c>
      <c r="R13" s="90">
        <v>0</v>
      </c>
      <c r="S13" s="22">
        <v>92.89</v>
      </c>
      <c r="T13" s="22">
        <v>0</v>
      </c>
      <c r="U13" s="22"/>
      <c r="V13" s="22"/>
      <c r="W13" s="22"/>
      <c r="X13" s="22"/>
      <c r="Y13" s="22"/>
      <c r="Z13" s="22"/>
      <c r="AA13" s="22"/>
      <c r="AB13" s="22"/>
      <c r="AC13" s="22"/>
      <c r="AD13" s="112">
        <f>SUM(R13:AC13)</f>
        <v>92.89</v>
      </c>
      <c r="AE13" s="98">
        <f t="shared" si="2"/>
        <v>37463.659999999996</v>
      </c>
    </row>
    <row r="14" spans="1:32" ht="15" customHeight="1" x14ac:dyDescent="0.2">
      <c r="A14" s="3" t="s">
        <v>20</v>
      </c>
      <c r="B14" s="14">
        <v>6</v>
      </c>
      <c r="C14" s="10"/>
      <c r="D14" s="10"/>
      <c r="E14" s="10" t="s">
        <v>3</v>
      </c>
      <c r="F14" s="43">
        <v>0</v>
      </c>
      <c r="G14" s="43">
        <v>427.47</v>
      </c>
      <c r="H14" s="43">
        <f>249.31+5409.59</f>
        <v>5658.9000000000005</v>
      </c>
      <c r="I14" s="43">
        <f>25.68+25592.59</f>
        <v>25618.27</v>
      </c>
      <c r="J14" s="43">
        <f>175.19+67.05+3305.75+11.46</f>
        <v>3559.45</v>
      </c>
      <c r="K14" s="43">
        <v>10712.88</v>
      </c>
      <c r="L14" s="43">
        <v>58000.959999999999</v>
      </c>
      <c r="M14" s="43">
        <v>9594.42</v>
      </c>
      <c r="N14" s="43">
        <v>12059.15</v>
      </c>
      <c r="O14" s="43">
        <v>8223.1</v>
      </c>
      <c r="P14" s="61">
        <v>5721.73</v>
      </c>
      <c r="Q14" s="112">
        <v>4796.25</v>
      </c>
      <c r="R14" s="90">
        <v>61.76</v>
      </c>
      <c r="S14" s="22">
        <v>174.92</v>
      </c>
      <c r="T14" s="22">
        <v>78.05</v>
      </c>
      <c r="U14" s="22"/>
      <c r="V14" s="22"/>
      <c r="W14" s="22"/>
      <c r="X14" s="22"/>
      <c r="Y14" s="22"/>
      <c r="Z14" s="22"/>
      <c r="AA14" s="22"/>
      <c r="AB14" s="22"/>
      <c r="AC14" s="22"/>
      <c r="AD14" s="112">
        <f t="shared" ref="AD14:AD19" si="3">SUM(R14:AC14)</f>
        <v>314.72999999999996</v>
      </c>
      <c r="AE14" s="98">
        <f t="shared" si="2"/>
        <v>144687.31</v>
      </c>
    </row>
    <row r="15" spans="1:32" ht="15" customHeight="1" x14ac:dyDescent="0.2">
      <c r="A15" s="3" t="s">
        <v>17</v>
      </c>
      <c r="B15" s="14">
        <v>7</v>
      </c>
      <c r="C15" s="10"/>
      <c r="D15" s="10"/>
      <c r="E15" s="10" t="s">
        <v>5</v>
      </c>
      <c r="F15" s="43">
        <v>0</v>
      </c>
      <c r="G15" s="43">
        <v>1698</v>
      </c>
      <c r="H15" s="43">
        <f>460+728</f>
        <v>1188</v>
      </c>
      <c r="I15" s="43">
        <f>100+831</f>
        <v>931</v>
      </c>
      <c r="J15" s="43">
        <f>108.36+150</f>
        <v>258.36</v>
      </c>
      <c r="K15" s="43">
        <f>2000-648.71+802</f>
        <v>2153.29</v>
      </c>
      <c r="L15" s="43">
        <f>225+4995</f>
        <v>5220</v>
      </c>
      <c r="M15" s="43">
        <f>276+3255</f>
        <v>3531</v>
      </c>
      <c r="N15" s="43">
        <f>1620+6151.63</f>
        <v>7771.63</v>
      </c>
      <c r="O15" s="43">
        <f>323+2755</f>
        <v>3078</v>
      </c>
      <c r="P15" s="61">
        <v>3765</v>
      </c>
      <c r="Q15" s="112">
        <v>2774</v>
      </c>
      <c r="R15" s="90">
        <v>90</v>
      </c>
      <c r="S15" s="22">
        <v>0</v>
      </c>
      <c r="T15" s="22">
        <v>270</v>
      </c>
      <c r="U15" s="22"/>
      <c r="V15" s="22"/>
      <c r="W15" s="22"/>
      <c r="X15" s="22"/>
      <c r="Y15" s="22"/>
      <c r="Z15" s="22"/>
      <c r="AA15" s="22"/>
      <c r="AB15" s="22"/>
      <c r="AC15" s="22"/>
      <c r="AD15" s="112">
        <f t="shared" si="3"/>
        <v>360</v>
      </c>
      <c r="AE15" s="98">
        <f t="shared" si="2"/>
        <v>32728.28</v>
      </c>
    </row>
    <row r="16" spans="1:32" ht="15" customHeight="1" x14ac:dyDescent="0.2">
      <c r="A16" s="3" t="s">
        <v>19</v>
      </c>
      <c r="B16" s="14">
        <v>8</v>
      </c>
      <c r="C16" s="10"/>
      <c r="D16" s="10"/>
      <c r="E16" s="10" t="s">
        <v>6</v>
      </c>
      <c r="F16" s="43">
        <v>546631.16</v>
      </c>
      <c r="G16" s="43">
        <v>1814780.98</v>
      </c>
      <c r="H16" s="43">
        <f>1579059.51+67.12+802928.68</f>
        <v>2382055.31</v>
      </c>
      <c r="I16" s="43">
        <f>611252.84+1435279.93</f>
        <v>2046532.77</v>
      </c>
      <c r="J16" s="43">
        <f>125+1086447.8</f>
        <v>1086572.8</v>
      </c>
      <c r="K16" s="43">
        <v>2075227.6</v>
      </c>
      <c r="L16" s="43">
        <f>2452.08+2329287.02</f>
        <v>2331739.1</v>
      </c>
      <c r="M16" s="43">
        <f>75665.55+2733297.71</f>
        <v>2808963.26</v>
      </c>
      <c r="N16" s="43">
        <f>9567.44+3681101.5</f>
        <v>3690668.94</v>
      </c>
      <c r="O16" s="43">
        <v>2904151.97</v>
      </c>
      <c r="P16" s="61">
        <v>2707340.3</v>
      </c>
      <c r="Q16" s="112">
        <v>2947772.43</v>
      </c>
      <c r="R16" s="90">
        <v>85408.92</v>
      </c>
      <c r="S16" s="22">
        <v>54461.18</v>
      </c>
      <c r="T16" s="22">
        <v>198790.74</v>
      </c>
      <c r="U16" s="22"/>
      <c r="V16" s="22"/>
      <c r="W16" s="22"/>
      <c r="X16" s="22"/>
      <c r="Y16" s="22"/>
      <c r="Z16" s="22"/>
      <c r="AA16" s="22"/>
      <c r="AB16" s="22"/>
      <c r="AC16" s="22"/>
      <c r="AD16" s="112">
        <f t="shared" si="3"/>
        <v>338660.83999999997</v>
      </c>
      <c r="AE16" s="98">
        <f t="shared" si="2"/>
        <v>27681097.460000001</v>
      </c>
    </row>
    <row r="17" spans="1:31" ht="15" customHeight="1" x14ac:dyDescent="0.2">
      <c r="A17" s="3" t="s">
        <v>22</v>
      </c>
      <c r="B17" s="14">
        <v>9</v>
      </c>
      <c r="C17" s="10"/>
      <c r="D17" s="10"/>
      <c r="E17" s="10" t="s">
        <v>7</v>
      </c>
      <c r="F17" s="43">
        <f>491265.34+3475.58+968.31</f>
        <v>495709.23000000004</v>
      </c>
      <c r="G17" s="43">
        <f>160019.62+51.41+58484.99+27471.91</f>
        <v>246027.93</v>
      </c>
      <c r="H17" s="43">
        <f>146263.03+9012.84+541179.34+30291.3+7169.92+377926.62</f>
        <v>1111843.05</v>
      </c>
      <c r="I17" s="43">
        <f>560951.1+84683.93+25514.31+385927.78</f>
        <v>1057077.1200000001</v>
      </c>
      <c r="J17" s="43">
        <f>713080.92+51916.48+11985.8+471541.5</f>
        <v>1248524.7000000002</v>
      </c>
      <c r="K17" s="43">
        <f>393.67+725296.08+65084+11939.92+528658.64</f>
        <v>1331372.31</v>
      </c>
      <c r="L17" s="43">
        <f>844230.33+68109.05+13317.36+660829.52</f>
        <v>1586486.26</v>
      </c>
      <c r="M17" s="43">
        <f>828976.05+120176.72+62349.18+697383.99</f>
        <v>1708885.94</v>
      </c>
      <c r="N17" s="43">
        <f>945970.45+36987.97+8232.07+915225.77</f>
        <v>1906416.2599999998</v>
      </c>
      <c r="O17" s="43">
        <f>807059.14+16750.4+3885.01+744870.27</f>
        <v>1572564.82</v>
      </c>
      <c r="P17" s="61">
        <v>1405497.5700000003</v>
      </c>
      <c r="Q17" s="112">
        <v>1453118.41</v>
      </c>
      <c r="R17" s="90">
        <v>125488.6</v>
      </c>
      <c r="S17" s="22">
        <v>146746.01999999999</v>
      </c>
      <c r="T17" s="22">
        <v>135314.44</v>
      </c>
      <c r="U17" s="22"/>
      <c r="V17" s="22"/>
      <c r="W17" s="22"/>
      <c r="X17" s="22"/>
      <c r="Y17" s="22"/>
      <c r="Z17" s="22"/>
      <c r="AA17" s="22"/>
      <c r="AB17" s="22"/>
      <c r="AC17" s="22"/>
      <c r="AD17" s="112">
        <f t="shared" si="3"/>
        <v>407549.06</v>
      </c>
      <c r="AE17" s="98">
        <f t="shared" si="2"/>
        <v>15531072.66</v>
      </c>
    </row>
    <row r="18" spans="1:31" ht="15" customHeight="1" x14ac:dyDescent="0.2">
      <c r="A18" s="3" t="s">
        <v>21</v>
      </c>
      <c r="B18" s="14">
        <v>10</v>
      </c>
      <c r="C18" s="10"/>
      <c r="D18" s="10"/>
      <c r="E18" s="10" t="s">
        <v>8</v>
      </c>
      <c r="F18" s="43">
        <v>0</v>
      </c>
      <c r="G18" s="43">
        <v>175.45</v>
      </c>
      <c r="H18" s="43">
        <f>130.54+304.24+1824.67+685+464.92</f>
        <v>3409.37</v>
      </c>
      <c r="I18" s="43">
        <f>532.38+1062.74+92356.44</f>
        <v>93951.56</v>
      </c>
      <c r="J18" s="43">
        <f>1405.21+97043.59</f>
        <v>98448.8</v>
      </c>
      <c r="K18" s="43">
        <f>1107.12+80131.18</f>
        <v>81238.299999999988</v>
      </c>
      <c r="L18" s="43">
        <f>1725.83+100843.32</f>
        <v>102569.15000000001</v>
      </c>
      <c r="M18" s="43">
        <f>55.85+864.34+724.19+93668.21+44.77</f>
        <v>95357.360000000015</v>
      </c>
      <c r="N18" s="43">
        <f>1092.24+92304.03</f>
        <v>93396.27</v>
      </c>
      <c r="O18" s="43">
        <f>4395.29+108306.77</f>
        <v>112702.06</v>
      </c>
      <c r="P18" s="61">
        <v>94244.17</v>
      </c>
      <c r="Q18" s="112">
        <v>80257.8</v>
      </c>
      <c r="R18" s="90">
        <v>7791.64</v>
      </c>
      <c r="S18" s="22">
        <v>6295.74</v>
      </c>
      <c r="T18" s="22">
        <v>18984.03</v>
      </c>
      <c r="U18" s="22"/>
      <c r="V18" s="22"/>
      <c r="W18" s="22"/>
      <c r="X18" s="22"/>
      <c r="Y18" s="22"/>
      <c r="Z18" s="22"/>
      <c r="AA18" s="22"/>
      <c r="AB18" s="22"/>
      <c r="AC18" s="22"/>
      <c r="AD18" s="112">
        <f t="shared" si="3"/>
        <v>33071.410000000003</v>
      </c>
      <c r="AE18" s="98">
        <f t="shared" si="2"/>
        <v>888821.70000000019</v>
      </c>
    </row>
    <row r="19" spans="1:31" ht="15" customHeight="1" x14ac:dyDescent="0.2">
      <c r="A19" s="3" t="s">
        <v>18</v>
      </c>
      <c r="B19" s="14">
        <v>11</v>
      </c>
      <c r="C19" s="10"/>
      <c r="D19" s="10"/>
      <c r="E19" s="10" t="s">
        <v>9</v>
      </c>
      <c r="F19" s="65">
        <f>78.25+8.85</f>
        <v>87.1</v>
      </c>
      <c r="G19" s="43">
        <v>5261.65</v>
      </c>
      <c r="H19" s="43">
        <f>2441.84-352.57+51564.33+657.43</f>
        <v>54311.03</v>
      </c>
      <c r="I19" s="43">
        <f>8839.5+1092.21</f>
        <v>9931.7099999999991</v>
      </c>
      <c r="J19" s="43">
        <f>5195.99+778.92</f>
        <v>5974.91</v>
      </c>
      <c r="K19" s="43">
        <f>18999.85+2541.97</f>
        <v>21541.82</v>
      </c>
      <c r="L19" s="43">
        <f>35995.97+3890.76</f>
        <v>39886.730000000003</v>
      </c>
      <c r="M19" s="43">
        <f>402.99+69194.91+17048.28</f>
        <v>86646.180000000008</v>
      </c>
      <c r="N19" s="43">
        <f>15199.81+2107.84</f>
        <v>17307.650000000001</v>
      </c>
      <c r="O19" s="43">
        <f>18161.73+2482.2</f>
        <v>20643.93</v>
      </c>
      <c r="P19" s="61">
        <v>23984.86</v>
      </c>
      <c r="Q19" s="112">
        <v>15424.94</v>
      </c>
      <c r="R19" s="90">
        <v>0</v>
      </c>
      <c r="S19" s="22">
        <v>857.06</v>
      </c>
      <c r="T19" s="22">
        <v>1370.18</v>
      </c>
      <c r="U19" s="22"/>
      <c r="V19" s="22"/>
      <c r="W19" s="22"/>
      <c r="X19" s="22"/>
      <c r="Y19" s="22"/>
      <c r="Z19" s="22"/>
      <c r="AA19" s="22"/>
      <c r="AB19" s="22"/>
      <c r="AC19" s="22"/>
      <c r="AD19" s="112">
        <f t="shared" si="3"/>
        <v>2227.2399999999998</v>
      </c>
      <c r="AE19" s="98">
        <f t="shared" si="2"/>
        <v>303229.75</v>
      </c>
    </row>
    <row r="20" spans="1:31" ht="15" customHeight="1" x14ac:dyDescent="0.25">
      <c r="A20" s="5"/>
      <c r="B20" s="15">
        <v>12</v>
      </c>
      <c r="C20" s="13"/>
      <c r="D20" s="18"/>
      <c r="E20" s="32" t="s">
        <v>1</v>
      </c>
      <c r="F20" s="44">
        <f t="shared" ref="F20:AE20" si="4">SUM(F12:F19)</f>
        <v>1042427.4900000001</v>
      </c>
      <c r="G20" s="44">
        <f t="shared" si="4"/>
        <v>2068527.4599999997</v>
      </c>
      <c r="H20" s="44">
        <f t="shared" si="4"/>
        <v>3566402.85</v>
      </c>
      <c r="I20" s="44">
        <f t="shared" si="4"/>
        <v>3250161.27</v>
      </c>
      <c r="J20" s="44">
        <f t="shared" si="4"/>
        <v>2464443.8000000003</v>
      </c>
      <c r="K20" s="44">
        <f t="shared" si="4"/>
        <v>3534331.5399999996</v>
      </c>
      <c r="L20" s="44">
        <f t="shared" si="4"/>
        <v>4148240.45</v>
      </c>
      <c r="M20" s="44">
        <f t="shared" si="4"/>
        <v>4735341.2699999996</v>
      </c>
      <c r="N20" s="44">
        <f t="shared" si="4"/>
        <v>5749475.7999999998</v>
      </c>
      <c r="O20" s="44">
        <f t="shared" si="4"/>
        <v>4639036.8899999997</v>
      </c>
      <c r="P20" s="76">
        <v>4267765.9200000009</v>
      </c>
      <c r="Q20" s="113">
        <f t="shared" ref="Q20" si="5">SUM(Q12:Q19)</f>
        <v>4522096.5</v>
      </c>
      <c r="R20" s="91">
        <f>SUM(R12:R19)</f>
        <v>226893.32</v>
      </c>
      <c r="S20" s="25">
        <f>SUM(S12:S19)</f>
        <v>208627.80999999997</v>
      </c>
      <c r="T20" s="25">
        <f>SUM(T12:T19)</f>
        <v>354807.44</v>
      </c>
      <c r="U20" s="25"/>
      <c r="V20" s="25"/>
      <c r="W20" s="25"/>
      <c r="X20" s="25"/>
      <c r="Y20" s="25"/>
      <c r="Z20" s="25"/>
      <c r="AA20" s="25"/>
      <c r="AB20" s="25"/>
      <c r="AC20" s="25"/>
      <c r="AD20" s="113">
        <f t="shared" ref="AD20" si="6">SUM(AD12:AD19)</f>
        <v>790328.57</v>
      </c>
      <c r="AE20" s="99">
        <f t="shared" si="4"/>
        <v>44778579.810000002</v>
      </c>
    </row>
    <row r="21" spans="1:31" x14ac:dyDescent="0.2">
      <c r="B21" s="15"/>
      <c r="F21" s="63"/>
      <c r="G21" s="45"/>
      <c r="H21" s="45"/>
      <c r="I21" s="45"/>
      <c r="J21" s="45"/>
      <c r="K21" s="45"/>
      <c r="L21" s="45"/>
      <c r="M21" s="45"/>
      <c r="N21" s="45"/>
      <c r="O21" s="45"/>
      <c r="P21" s="77"/>
      <c r="Q21" s="114"/>
      <c r="R21" s="92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114"/>
      <c r="AE21" s="100"/>
    </row>
    <row r="22" spans="1:31" ht="15" customHeight="1" x14ac:dyDescent="0.25">
      <c r="A22" s="24" t="s">
        <v>14</v>
      </c>
      <c r="B22" s="134"/>
      <c r="C22" s="31" t="s">
        <v>45</v>
      </c>
      <c r="D22" s="10"/>
      <c r="E22" s="11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61"/>
      <c r="Q22" s="112"/>
      <c r="R22" s="9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112"/>
      <c r="AE22" s="100"/>
    </row>
    <row r="23" spans="1:31" ht="15" customHeight="1" x14ac:dyDescent="0.2">
      <c r="A23" s="3" t="s">
        <v>15</v>
      </c>
      <c r="B23" s="14">
        <v>13</v>
      </c>
      <c r="C23" s="10"/>
      <c r="D23" s="10"/>
      <c r="E23" s="11" t="s">
        <v>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1746.96</v>
      </c>
      <c r="M23" s="43">
        <v>-1746.96</v>
      </c>
      <c r="N23" s="43">
        <v>467.29</v>
      </c>
      <c r="O23" s="43">
        <f>550.36+1783</f>
        <v>2333.36</v>
      </c>
      <c r="P23" s="61">
        <v>4818.26</v>
      </c>
      <c r="Q23" s="112">
        <v>444.9</v>
      </c>
      <c r="R23" s="90">
        <v>0</v>
      </c>
      <c r="S23" s="22">
        <v>0</v>
      </c>
      <c r="T23" s="22">
        <v>0</v>
      </c>
      <c r="U23" s="22"/>
      <c r="V23" s="22"/>
      <c r="W23" s="22"/>
      <c r="X23" s="22"/>
      <c r="Y23" s="22"/>
      <c r="Z23" s="22"/>
      <c r="AA23" s="22"/>
      <c r="AB23" s="22"/>
      <c r="AC23" s="22"/>
      <c r="AD23" s="112">
        <f>SUM(R23:AC23)</f>
        <v>0</v>
      </c>
      <c r="AE23" s="98">
        <f t="shared" ref="AE23:AE30" si="7">F23+G23+H23+I23+J23+K23+L23+M23+N23+O23+P23+Q23+AD23</f>
        <v>8063.8099999999995</v>
      </c>
    </row>
    <row r="24" spans="1:31" ht="15" customHeight="1" x14ac:dyDescent="0.2">
      <c r="A24" s="3" t="s">
        <v>16</v>
      </c>
      <c r="B24" s="14">
        <v>14</v>
      </c>
      <c r="C24" s="10"/>
      <c r="D24" s="10"/>
      <c r="E24" s="10" t="s">
        <v>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199.69</v>
      </c>
      <c r="M24" s="43">
        <v>1090</v>
      </c>
      <c r="N24" s="43">
        <v>61.74</v>
      </c>
      <c r="O24" s="43">
        <v>452.95</v>
      </c>
      <c r="P24" s="61">
        <v>1347.01</v>
      </c>
      <c r="Q24" s="112">
        <v>1115.77</v>
      </c>
      <c r="R24" s="90">
        <v>0</v>
      </c>
      <c r="S24" s="22">
        <v>0</v>
      </c>
      <c r="T24" s="22">
        <v>0</v>
      </c>
      <c r="U24" s="22"/>
      <c r="V24" s="22"/>
      <c r="W24" s="22"/>
      <c r="X24" s="22"/>
      <c r="Y24" s="22"/>
      <c r="Z24" s="22"/>
      <c r="AA24" s="22"/>
      <c r="AB24" s="22"/>
      <c r="AC24" s="22"/>
      <c r="AD24" s="112">
        <f t="shared" ref="AD24:AD30" si="8">SUM(R24:AC24)</f>
        <v>0</v>
      </c>
      <c r="AE24" s="98">
        <f t="shared" si="7"/>
        <v>4267.16</v>
      </c>
    </row>
    <row r="25" spans="1:31" ht="15" customHeight="1" x14ac:dyDescent="0.2">
      <c r="A25" s="3" t="s">
        <v>20</v>
      </c>
      <c r="B25" s="14">
        <v>15</v>
      </c>
      <c r="C25" s="10"/>
      <c r="D25" s="10"/>
      <c r="E25" s="10" t="s">
        <v>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1.27</v>
      </c>
      <c r="M25" s="43">
        <v>235.9</v>
      </c>
      <c r="N25" s="43">
        <f>58.82+25</f>
        <v>83.82</v>
      </c>
      <c r="O25" s="43">
        <v>66.2</v>
      </c>
      <c r="P25" s="61">
        <v>0</v>
      </c>
      <c r="Q25" s="112">
        <v>795.85</v>
      </c>
      <c r="R25" s="90">
        <v>0</v>
      </c>
      <c r="S25" s="22">
        <v>0</v>
      </c>
      <c r="T25" s="22">
        <v>0</v>
      </c>
      <c r="U25" s="22"/>
      <c r="V25" s="22"/>
      <c r="W25" s="22"/>
      <c r="X25" s="22"/>
      <c r="Y25" s="22"/>
      <c r="Z25" s="22"/>
      <c r="AA25" s="22"/>
      <c r="AB25" s="22"/>
      <c r="AC25" s="22"/>
      <c r="AD25" s="112">
        <f t="shared" si="8"/>
        <v>0</v>
      </c>
      <c r="AE25" s="98">
        <f t="shared" si="7"/>
        <v>1183.04</v>
      </c>
    </row>
    <row r="26" spans="1:31" ht="15" customHeight="1" x14ac:dyDescent="0.2">
      <c r="A26" s="3" t="s">
        <v>17</v>
      </c>
      <c r="B26" s="14">
        <v>16</v>
      </c>
      <c r="C26" s="10"/>
      <c r="D26" s="10"/>
      <c r="E26" s="10" t="s">
        <v>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147</v>
      </c>
      <c r="P26" s="61">
        <v>279</v>
      </c>
      <c r="Q26" s="112">
        <v>259</v>
      </c>
      <c r="R26" s="90">
        <v>0</v>
      </c>
      <c r="S26" s="22">
        <v>0</v>
      </c>
      <c r="T26" s="22">
        <v>0</v>
      </c>
      <c r="U26" s="22"/>
      <c r="V26" s="22"/>
      <c r="W26" s="22"/>
      <c r="X26" s="22"/>
      <c r="Y26" s="22"/>
      <c r="Z26" s="22"/>
      <c r="AA26" s="22"/>
      <c r="AB26" s="22"/>
      <c r="AC26" s="22"/>
      <c r="AD26" s="112">
        <f t="shared" si="8"/>
        <v>0</v>
      </c>
      <c r="AE26" s="98">
        <f t="shared" si="7"/>
        <v>685</v>
      </c>
    </row>
    <row r="27" spans="1:31" ht="15" customHeight="1" x14ac:dyDescent="0.2">
      <c r="A27" s="3" t="s">
        <v>19</v>
      </c>
      <c r="B27" s="14">
        <v>17</v>
      </c>
      <c r="C27" s="10"/>
      <c r="D27" s="10"/>
      <c r="E27" s="10" t="s">
        <v>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32199.4</v>
      </c>
      <c r="M27" s="43">
        <v>293733.92</v>
      </c>
      <c r="N27" s="43">
        <f>238495.75-405.76+1151.84</f>
        <v>239241.83</v>
      </c>
      <c r="O27" s="43">
        <v>175431.97</v>
      </c>
      <c r="P27" s="61">
        <v>254304.28000000003</v>
      </c>
      <c r="Q27" s="112">
        <v>732619.97</v>
      </c>
      <c r="R27" s="90">
        <v>2780.91</v>
      </c>
      <c r="S27" s="22">
        <v>12831.48</v>
      </c>
      <c r="T27" s="22">
        <v>41780.550000000003</v>
      </c>
      <c r="U27" s="22"/>
      <c r="V27" s="22"/>
      <c r="W27" s="22"/>
      <c r="X27" s="22"/>
      <c r="Y27" s="22"/>
      <c r="Z27" s="22"/>
      <c r="AA27" s="22"/>
      <c r="AB27" s="22"/>
      <c r="AC27" s="22"/>
      <c r="AD27" s="112">
        <f t="shared" si="8"/>
        <v>57392.94</v>
      </c>
      <c r="AE27" s="98">
        <f t="shared" si="7"/>
        <v>1784924.31</v>
      </c>
    </row>
    <row r="28" spans="1:31" ht="15" customHeight="1" x14ac:dyDescent="0.2">
      <c r="A28" s="3" t="s">
        <v>22</v>
      </c>
      <c r="B28" s="14">
        <v>18</v>
      </c>
      <c r="C28" s="10"/>
      <c r="D28" s="10"/>
      <c r="E28" s="10" t="s">
        <v>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f>8692.92+5795.12</f>
        <v>14488.04</v>
      </c>
      <c r="M28" s="43">
        <f>62256.09+7158.83+8094.49+54045.76</f>
        <v>131555.17000000001</v>
      </c>
      <c r="N28" s="43">
        <f>62770.27+58994.89</f>
        <v>121765.16</v>
      </c>
      <c r="O28" s="43">
        <f>789.71+503.06</f>
        <v>1292.77</v>
      </c>
      <c r="P28" s="61">
        <v>0</v>
      </c>
      <c r="Q28" s="112">
        <v>0</v>
      </c>
      <c r="R28" s="90">
        <v>0</v>
      </c>
      <c r="S28" s="22">
        <v>0</v>
      </c>
      <c r="T28" s="22">
        <v>0</v>
      </c>
      <c r="U28" s="22"/>
      <c r="V28" s="22"/>
      <c r="W28" s="22"/>
      <c r="X28" s="22"/>
      <c r="Y28" s="22"/>
      <c r="Z28" s="22"/>
      <c r="AA28" s="22"/>
      <c r="AB28" s="22"/>
      <c r="AC28" s="22"/>
      <c r="AD28" s="112">
        <f t="shared" si="8"/>
        <v>0</v>
      </c>
      <c r="AE28" s="98">
        <f t="shared" si="7"/>
        <v>269101.14</v>
      </c>
    </row>
    <row r="29" spans="1:31" ht="15" customHeight="1" x14ac:dyDescent="0.2">
      <c r="A29" s="3" t="s">
        <v>21</v>
      </c>
      <c r="B29" s="14">
        <v>19</v>
      </c>
      <c r="C29" s="10"/>
      <c r="D29" s="10"/>
      <c r="E29" s="10" t="s">
        <v>8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688.76</v>
      </c>
      <c r="M29" s="43">
        <v>13568.39</v>
      </c>
      <c r="N29" s="43">
        <v>16081.48</v>
      </c>
      <c r="O29" s="43">
        <v>3750.5</v>
      </c>
      <c r="P29" s="61">
        <v>0</v>
      </c>
      <c r="Q29" s="112">
        <v>0</v>
      </c>
      <c r="R29" s="90">
        <v>0</v>
      </c>
      <c r="S29" s="22">
        <v>0</v>
      </c>
      <c r="T29" s="22"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112">
        <f t="shared" si="8"/>
        <v>0</v>
      </c>
      <c r="AE29" s="98">
        <f t="shared" si="7"/>
        <v>34089.129999999997</v>
      </c>
    </row>
    <row r="30" spans="1:31" ht="15" customHeight="1" x14ac:dyDescent="0.2">
      <c r="A30" s="3" t="s">
        <v>18</v>
      </c>
      <c r="B30" s="14">
        <v>20</v>
      </c>
      <c r="C30" s="10"/>
      <c r="D30" s="10"/>
      <c r="E30" s="10" t="s">
        <v>9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f>937.15+105.73</f>
        <v>1042.8799999999999</v>
      </c>
      <c r="N30" s="43">
        <v>0</v>
      </c>
      <c r="O30" s="43">
        <f>283.22+40.97</f>
        <v>324.19000000000005</v>
      </c>
      <c r="P30" s="61">
        <v>4905.28</v>
      </c>
      <c r="Q30" s="112">
        <v>365.85</v>
      </c>
      <c r="R30" s="90">
        <v>0</v>
      </c>
      <c r="S30" s="22">
        <v>0</v>
      </c>
      <c r="T30" s="22">
        <v>0</v>
      </c>
      <c r="U30" s="22"/>
      <c r="V30" s="22"/>
      <c r="W30" s="22"/>
      <c r="X30" s="22"/>
      <c r="Y30" s="22"/>
      <c r="Z30" s="22"/>
      <c r="AA30" s="22"/>
      <c r="AB30" s="22"/>
      <c r="AC30" s="22"/>
      <c r="AD30" s="112">
        <f t="shared" si="8"/>
        <v>0</v>
      </c>
      <c r="AE30" s="98">
        <f t="shared" si="7"/>
        <v>6638.2</v>
      </c>
    </row>
    <row r="31" spans="1:31" ht="15" customHeight="1" x14ac:dyDescent="0.25">
      <c r="A31" s="5"/>
      <c r="B31" s="15">
        <v>21</v>
      </c>
      <c r="C31" s="13"/>
      <c r="D31" s="18"/>
      <c r="E31" s="32" t="s">
        <v>0</v>
      </c>
      <c r="F31" s="44">
        <f t="shared" ref="F31:AE31" si="9">SUM(F23:F30)</f>
        <v>0</v>
      </c>
      <c r="G31" s="44">
        <f t="shared" si="9"/>
        <v>0</v>
      </c>
      <c r="H31" s="44">
        <f t="shared" si="9"/>
        <v>0</v>
      </c>
      <c r="I31" s="44">
        <f t="shared" si="9"/>
        <v>0</v>
      </c>
      <c r="J31" s="44">
        <f t="shared" si="9"/>
        <v>0</v>
      </c>
      <c r="K31" s="44">
        <f t="shared" si="9"/>
        <v>0</v>
      </c>
      <c r="L31" s="44">
        <f t="shared" si="9"/>
        <v>49324.12</v>
      </c>
      <c r="M31" s="44">
        <f t="shared" si="9"/>
        <v>439479.30000000005</v>
      </c>
      <c r="N31" s="44">
        <f t="shared" si="9"/>
        <v>377701.31999999995</v>
      </c>
      <c r="O31" s="44">
        <f t="shared" si="9"/>
        <v>183798.94</v>
      </c>
      <c r="P31" s="76">
        <v>265653.83</v>
      </c>
      <c r="Q31" s="113">
        <f t="shared" ref="Q31" si="10">SUM(Q23:Q30)</f>
        <v>735601.34</v>
      </c>
      <c r="R31" s="91">
        <f>SUM(R23:R30)</f>
        <v>2780.91</v>
      </c>
      <c r="S31" s="25">
        <f>SUM(S23:S30)</f>
        <v>12831.48</v>
      </c>
      <c r="T31" s="25">
        <f>SUM(T23:T30)</f>
        <v>41780.550000000003</v>
      </c>
      <c r="U31" s="25"/>
      <c r="V31" s="25"/>
      <c r="W31" s="25"/>
      <c r="X31" s="25"/>
      <c r="Y31" s="25"/>
      <c r="Z31" s="25"/>
      <c r="AA31" s="25"/>
      <c r="AB31" s="25"/>
      <c r="AC31" s="25"/>
      <c r="AD31" s="113">
        <f t="shared" si="9"/>
        <v>57392.94</v>
      </c>
      <c r="AE31" s="99">
        <f t="shared" si="9"/>
        <v>2108951.79</v>
      </c>
    </row>
    <row r="32" spans="1:31" ht="15" customHeight="1" x14ac:dyDescent="0.25">
      <c r="A32" s="5"/>
      <c r="B32" s="15"/>
      <c r="C32" s="10"/>
      <c r="D32" s="131"/>
      <c r="E32" s="8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61"/>
      <c r="Q32" s="112"/>
      <c r="R32" s="90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112"/>
      <c r="AE32" s="98"/>
    </row>
    <row r="33" spans="1:31" ht="15" customHeight="1" x14ac:dyDescent="0.25">
      <c r="A33" s="5"/>
      <c r="B33" s="15">
        <v>22</v>
      </c>
      <c r="C33" s="132" t="s">
        <v>53</v>
      </c>
      <c r="D33" s="133"/>
      <c r="E33" s="132"/>
      <c r="F33" s="44"/>
      <c r="G33" s="44"/>
      <c r="H33" s="44"/>
      <c r="I33" s="44"/>
      <c r="J33" s="44"/>
      <c r="K33" s="44">
        <f>K20+K31</f>
        <v>3534331.5399999996</v>
      </c>
      <c r="L33" s="44">
        <f t="shared" ref="L33:AD33" si="11">L20+L31</f>
        <v>4197564.57</v>
      </c>
      <c r="M33" s="44">
        <f t="shared" si="11"/>
        <v>5174820.5699999994</v>
      </c>
      <c r="N33" s="44">
        <f t="shared" si="11"/>
        <v>6127177.1200000001</v>
      </c>
      <c r="O33" s="44">
        <f t="shared" si="11"/>
        <v>4822835.83</v>
      </c>
      <c r="P33" s="44">
        <f t="shared" si="11"/>
        <v>4533419.7500000009</v>
      </c>
      <c r="Q33" s="44">
        <f t="shared" si="11"/>
        <v>5257697.84</v>
      </c>
      <c r="R33" s="44">
        <f t="shared" si="11"/>
        <v>229674.23</v>
      </c>
      <c r="S33" s="44">
        <f t="shared" si="11"/>
        <v>221459.28999999998</v>
      </c>
      <c r="T33" s="44">
        <f t="shared" si="11"/>
        <v>396587.99</v>
      </c>
      <c r="U33" s="44">
        <f t="shared" si="11"/>
        <v>0</v>
      </c>
      <c r="V33" s="44">
        <f t="shared" si="11"/>
        <v>0</v>
      </c>
      <c r="W33" s="44">
        <f t="shared" si="11"/>
        <v>0</v>
      </c>
      <c r="X33" s="44">
        <f t="shared" si="11"/>
        <v>0</v>
      </c>
      <c r="Y33" s="44">
        <f t="shared" si="11"/>
        <v>0</v>
      </c>
      <c r="Z33" s="44">
        <f t="shared" si="11"/>
        <v>0</v>
      </c>
      <c r="AA33" s="44">
        <f t="shared" si="11"/>
        <v>0</v>
      </c>
      <c r="AB33" s="44">
        <f t="shared" si="11"/>
        <v>0</v>
      </c>
      <c r="AC33" s="44">
        <f t="shared" si="11"/>
        <v>0</v>
      </c>
      <c r="AD33" s="44">
        <f t="shared" si="11"/>
        <v>847721.51</v>
      </c>
      <c r="AE33" s="99"/>
    </row>
    <row r="34" spans="1:31" x14ac:dyDescent="0.2">
      <c r="B34" s="15"/>
      <c r="C34" s="20"/>
      <c r="E34" s="9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78"/>
      <c r="Q34" s="114"/>
      <c r="R34" s="92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114"/>
      <c r="AE34" s="100"/>
    </row>
    <row r="35" spans="1:31" x14ac:dyDescent="0.2">
      <c r="B35" s="15">
        <f>+B33+1</f>
        <v>23</v>
      </c>
      <c r="C35" s="20" t="s">
        <v>10</v>
      </c>
      <c r="E35" s="40" t="s">
        <v>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-146912.68</v>
      </c>
      <c r="N35" s="46">
        <v>-116270.01</v>
      </c>
      <c r="O35" s="46">
        <v>-340567.94</v>
      </c>
      <c r="P35" s="78">
        <v>-74906.100000000006</v>
      </c>
      <c r="Q35" s="114">
        <v>-8986.43</v>
      </c>
      <c r="R35" s="92">
        <v>0</v>
      </c>
      <c r="S35" s="21">
        <v>0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114">
        <f>SUM(R35:AC35)</f>
        <v>0</v>
      </c>
      <c r="AE35" s="101">
        <f>F35+G35+H35+I35+J35+K35+L35+M35+N35+O35+P35+Q35+AD35</f>
        <v>-687643.16</v>
      </c>
    </row>
    <row r="36" spans="1:31" x14ac:dyDescent="0.2">
      <c r="B36" s="15">
        <f>+B35+1</f>
        <v>24</v>
      </c>
      <c r="C36" s="20"/>
      <c r="E36" s="40" t="s">
        <v>39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78"/>
      <c r="Q36" s="114"/>
      <c r="R36" s="92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114"/>
      <c r="AE36" s="101"/>
    </row>
    <row r="37" spans="1:31" ht="15" customHeight="1" x14ac:dyDescent="0.2">
      <c r="A37" s="3"/>
      <c r="B37" s="14"/>
      <c r="C37" s="10"/>
      <c r="D37" s="10"/>
      <c r="E37" s="10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79"/>
      <c r="Q37" s="114"/>
      <c r="R37" s="90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114"/>
      <c r="AE37" s="101"/>
    </row>
    <row r="38" spans="1:31" x14ac:dyDescent="0.2">
      <c r="B38" s="15">
        <f>+B36+1</f>
        <v>25</v>
      </c>
      <c r="C38" s="20"/>
      <c r="E38" s="9" t="s">
        <v>35</v>
      </c>
      <c r="F38" s="46">
        <v>0</v>
      </c>
      <c r="G38" s="46">
        <v>0</v>
      </c>
      <c r="H38" s="46">
        <v>-823383.9</v>
      </c>
      <c r="I38" s="46">
        <v>-1399999.8</v>
      </c>
      <c r="J38" s="46">
        <v>-2195969.69</v>
      </c>
      <c r="K38" s="46">
        <v>-3500000</v>
      </c>
      <c r="L38" s="46">
        <v>-3500000</v>
      </c>
      <c r="M38" s="46">
        <v>-3500000</v>
      </c>
      <c r="N38" s="46">
        <v>-3500001</v>
      </c>
      <c r="O38" s="46">
        <v>-3499994</v>
      </c>
      <c r="P38" s="78">
        <v>-4749998.62</v>
      </c>
      <c r="Q38" s="114">
        <v>-5000000.04</v>
      </c>
      <c r="R38" s="92">
        <f>-25000-391666.67</f>
        <v>-416666.67</v>
      </c>
      <c r="S38" s="21">
        <f>-391666.67-25000</f>
        <v>-416666.67</v>
      </c>
      <c r="T38" s="21">
        <f>-391666.67-25000</f>
        <v>-416666.67</v>
      </c>
      <c r="U38" s="21"/>
      <c r="V38" s="21"/>
      <c r="W38" s="21"/>
      <c r="X38" s="21"/>
      <c r="Y38" s="21"/>
      <c r="Z38" s="21"/>
      <c r="AA38" s="21"/>
      <c r="AB38" s="21"/>
      <c r="AC38" s="21"/>
      <c r="AD38" s="114">
        <f>SUM(R38:AC38)</f>
        <v>-1250000.01</v>
      </c>
      <c r="AE38" s="101">
        <f>F38+G38+H38+I38+J38+K38+L38+M38+N38+O38+P38+Q38+AD38</f>
        <v>-32919347.060000002</v>
      </c>
    </row>
    <row r="39" spans="1:31" x14ac:dyDescent="0.2">
      <c r="B39" s="15">
        <f>+B38+1</f>
        <v>26</v>
      </c>
      <c r="C39" s="20"/>
      <c r="E39" s="9" t="s">
        <v>36</v>
      </c>
      <c r="F39" s="46">
        <v>0</v>
      </c>
      <c r="G39" s="46">
        <v>0</v>
      </c>
      <c r="H39" s="46">
        <v>-343282.94</v>
      </c>
      <c r="I39" s="46">
        <f>-600000</f>
        <v>-600000</v>
      </c>
      <c r="J39" s="46">
        <v>-979031</v>
      </c>
      <c r="K39" s="46">
        <v>-1600000</v>
      </c>
      <c r="L39" s="46">
        <v>-1296033.44</v>
      </c>
      <c r="M39" s="46">
        <v>-870480.96</v>
      </c>
      <c r="N39" s="46">
        <v>-870481.04</v>
      </c>
      <c r="O39" s="46">
        <v>-870480.96</v>
      </c>
      <c r="P39" s="78">
        <v>-1787147.6600000001</v>
      </c>
      <c r="Q39" s="114">
        <v>-1970481</v>
      </c>
      <c r="R39" s="92">
        <v>-164206.75</v>
      </c>
      <c r="S39" s="21">
        <v>-164206.75</v>
      </c>
      <c r="T39" s="21">
        <v>-164206.75</v>
      </c>
      <c r="U39" s="21"/>
      <c r="V39" s="21"/>
      <c r="W39" s="21"/>
      <c r="X39" s="21"/>
      <c r="Y39" s="21"/>
      <c r="Z39" s="21"/>
      <c r="AA39" s="21"/>
      <c r="AB39" s="21"/>
      <c r="AC39" s="21"/>
      <c r="AD39" s="114">
        <f>SUM(R39:AC39)</f>
        <v>-492620.25</v>
      </c>
      <c r="AE39" s="101">
        <f>F39+G39+H39+I39+J39+K39+L39+M39+N39+O39+P39+Q39+AD39</f>
        <v>-11680039.25</v>
      </c>
    </row>
    <row r="40" spans="1:31" x14ac:dyDescent="0.2">
      <c r="B40" s="15"/>
      <c r="C40" s="20"/>
      <c r="E40" s="9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78"/>
      <c r="Q40" s="114"/>
      <c r="R40" s="92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14"/>
      <c r="AE40" s="101"/>
    </row>
    <row r="41" spans="1:31" x14ac:dyDescent="0.2">
      <c r="B41" s="15">
        <f>+B39+1</f>
        <v>27</v>
      </c>
      <c r="C41" s="20" t="s">
        <v>11</v>
      </c>
      <c r="E41" s="9" t="s">
        <v>37</v>
      </c>
      <c r="F41" s="46">
        <v>0</v>
      </c>
      <c r="G41" s="46">
        <v>0</v>
      </c>
      <c r="H41" s="46">
        <v>177680</v>
      </c>
      <c r="I41" s="46">
        <v>391005</v>
      </c>
      <c r="J41" s="46">
        <v>423627</v>
      </c>
      <c r="K41" s="46">
        <v>361408</v>
      </c>
      <c r="L41" s="46">
        <v>324709</v>
      </c>
      <c r="M41" s="46">
        <f>332021+1699.62</f>
        <v>333720.62</v>
      </c>
      <c r="N41" s="46">
        <v>395542</v>
      </c>
      <c r="O41" s="46">
        <v>482663.4</v>
      </c>
      <c r="P41" s="78">
        <v>465462.04000000004</v>
      </c>
      <c r="Q41" s="114">
        <v>305984.09000000003</v>
      </c>
      <c r="R41" s="92">
        <v>18749.810000000001</v>
      </c>
      <c r="S41" s="21">
        <v>17515.330000000002</v>
      </c>
      <c r="T41" s="21">
        <v>16601.68</v>
      </c>
      <c r="U41" s="21"/>
      <c r="V41" s="21"/>
      <c r="W41" s="21"/>
      <c r="X41" s="21"/>
      <c r="Y41" s="21"/>
      <c r="Z41" s="21"/>
      <c r="AA41" s="21"/>
      <c r="AB41" s="21"/>
      <c r="AC41" s="21"/>
      <c r="AD41" s="114">
        <f>SUM(R41:AC41)</f>
        <v>52866.82</v>
      </c>
      <c r="AE41" s="101">
        <f>F41+G41+H41+I41+J41+K41+L41+M41+N41+O41+P41+Q41+AD41</f>
        <v>3714667.9699999997</v>
      </c>
    </row>
    <row r="42" spans="1:31" x14ac:dyDescent="0.2">
      <c r="A42" s="3"/>
      <c r="B42" s="15">
        <f>+B41+1</f>
        <v>28</v>
      </c>
      <c r="C42" s="20" t="s">
        <v>10</v>
      </c>
      <c r="E42" s="9" t="s">
        <v>37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1699.62</v>
      </c>
      <c r="M42" s="46">
        <v>16187.38</v>
      </c>
      <c r="N42" s="46">
        <v>34184</v>
      </c>
      <c r="O42" s="46">
        <v>46700</v>
      </c>
      <c r="P42" s="78">
        <v>33836.32</v>
      </c>
      <c r="Q42" s="114">
        <v>47298.77</v>
      </c>
      <c r="R42" s="94">
        <v>3745.23</v>
      </c>
      <c r="S42" s="23">
        <v>3713.58</v>
      </c>
      <c r="T42" s="23">
        <v>3740.16</v>
      </c>
      <c r="U42" s="23"/>
      <c r="V42" s="23"/>
      <c r="W42" s="23"/>
      <c r="X42" s="23"/>
      <c r="Y42" s="23"/>
      <c r="Z42" s="23"/>
      <c r="AA42" s="23"/>
      <c r="AB42" s="23"/>
      <c r="AC42" s="23"/>
      <c r="AD42" s="114">
        <f>SUM(R42:AC42)</f>
        <v>11198.97</v>
      </c>
      <c r="AE42" s="101">
        <f>F42+G42+H42+I42+J42+K42+L42+M42+N42+O42+P42+Q42+AD42</f>
        <v>191105.06</v>
      </c>
    </row>
    <row r="43" spans="1:31" x14ac:dyDescent="0.2">
      <c r="B43" s="15"/>
      <c r="C43" s="20"/>
      <c r="E43" s="9"/>
      <c r="F43" s="64"/>
      <c r="G43" s="46"/>
      <c r="H43" s="46"/>
      <c r="I43" s="46"/>
      <c r="J43" s="46"/>
      <c r="K43" s="46"/>
      <c r="L43" s="46"/>
      <c r="M43" s="46"/>
      <c r="N43" s="46"/>
      <c r="O43" s="46"/>
      <c r="P43" s="78"/>
      <c r="Q43" s="114"/>
      <c r="R43" s="92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114"/>
      <c r="AE43" s="100"/>
    </row>
    <row r="44" spans="1:31" ht="15.75" x14ac:dyDescent="0.25">
      <c r="B44" s="15">
        <f>+B42+1</f>
        <v>29</v>
      </c>
      <c r="C44" s="130"/>
      <c r="D44" s="119"/>
      <c r="E44" s="129" t="s">
        <v>52</v>
      </c>
      <c r="F44" s="120">
        <f t="shared" ref="F44:AD44" si="12">F20+F31+F35+F41+F42+F38+F39</f>
        <v>1042427.4900000001</v>
      </c>
      <c r="G44" s="120">
        <f t="shared" si="12"/>
        <v>2068527.4599999997</v>
      </c>
      <c r="H44" s="120">
        <f t="shared" si="12"/>
        <v>2577416.0100000002</v>
      </c>
      <c r="I44" s="120">
        <f t="shared" si="12"/>
        <v>1641166.4699999997</v>
      </c>
      <c r="J44" s="120">
        <f t="shared" si="12"/>
        <v>-286929.88999999966</v>
      </c>
      <c r="K44" s="120">
        <f t="shared" si="12"/>
        <v>-1204260.4600000004</v>
      </c>
      <c r="L44" s="120">
        <f t="shared" si="12"/>
        <v>-272060.24999999953</v>
      </c>
      <c r="M44" s="120">
        <f t="shared" si="12"/>
        <v>1007334.9299999997</v>
      </c>
      <c r="N44" s="120">
        <f t="shared" si="12"/>
        <v>2070151.0700000003</v>
      </c>
      <c r="O44" s="120">
        <f t="shared" si="12"/>
        <v>641156.33000000007</v>
      </c>
      <c r="P44" s="121">
        <v>-1579334.2699999986</v>
      </c>
      <c r="Q44" s="122">
        <f t="shared" ref="Q44" si="13">Q20+Q31+Q35+Q41+Q42+Q38+Q39</f>
        <v>-1368486.7700000005</v>
      </c>
      <c r="R44" s="123">
        <f t="shared" si="12"/>
        <v>-328704.14999999997</v>
      </c>
      <c r="S44" s="124">
        <f t="shared" si="12"/>
        <v>-338185.22</v>
      </c>
      <c r="T44" s="124">
        <f t="shared" si="12"/>
        <v>-163943.59000000003</v>
      </c>
      <c r="U44" s="124">
        <f>U20+U31+U35+U41+U42+U38+U39</f>
        <v>0</v>
      </c>
      <c r="V44" s="124">
        <f t="shared" si="12"/>
        <v>0</v>
      </c>
      <c r="W44" s="124">
        <f t="shared" si="12"/>
        <v>0</v>
      </c>
      <c r="X44" s="124">
        <f t="shared" si="12"/>
        <v>0</v>
      </c>
      <c r="Y44" s="124">
        <f t="shared" si="12"/>
        <v>0</v>
      </c>
      <c r="Z44" s="124">
        <f t="shared" si="12"/>
        <v>0</v>
      </c>
      <c r="AA44" s="124">
        <f t="shared" si="12"/>
        <v>0</v>
      </c>
      <c r="AB44" s="124">
        <f t="shared" si="12"/>
        <v>0</v>
      </c>
      <c r="AC44" s="124">
        <f t="shared" si="12"/>
        <v>0</v>
      </c>
      <c r="AD44" s="122">
        <f t="shared" si="12"/>
        <v>-830832.96000000008</v>
      </c>
      <c r="AE44" s="125"/>
    </row>
    <row r="45" spans="1:31" ht="15.75" x14ac:dyDescent="0.25">
      <c r="B45" s="15"/>
      <c r="C45" s="119"/>
      <c r="D45" s="119"/>
      <c r="E45" s="129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5"/>
    </row>
    <row r="46" spans="1:31" ht="16.5" thickBot="1" x14ac:dyDescent="0.3">
      <c r="B46" s="15">
        <f>+B44+1</f>
        <v>30</v>
      </c>
      <c r="C46" s="33" t="s">
        <v>27</v>
      </c>
      <c r="D46" s="28"/>
      <c r="E46" s="126"/>
      <c r="F46" s="34">
        <f>F44</f>
        <v>1042427.4900000001</v>
      </c>
      <c r="G46" s="34">
        <f>G44+F46</f>
        <v>3110954.9499999997</v>
      </c>
      <c r="H46" s="34">
        <f>H44+G46</f>
        <v>5688370.96</v>
      </c>
      <c r="I46" s="34">
        <f t="shared" ref="I46:T46" si="14">I44+H46</f>
        <v>7329537.4299999997</v>
      </c>
      <c r="J46" s="34">
        <f t="shared" si="14"/>
        <v>7042607.54</v>
      </c>
      <c r="K46" s="34">
        <f t="shared" si="14"/>
        <v>5838347.0800000001</v>
      </c>
      <c r="L46" s="34">
        <f t="shared" si="14"/>
        <v>5566286.8300000001</v>
      </c>
      <c r="M46" s="34">
        <f t="shared" si="14"/>
        <v>6573621.7599999998</v>
      </c>
      <c r="N46" s="34">
        <f t="shared" si="14"/>
        <v>8643772.8300000001</v>
      </c>
      <c r="O46" s="34">
        <f>O44+N46</f>
        <v>9284929.1600000001</v>
      </c>
      <c r="P46" s="34">
        <f t="shared" si="14"/>
        <v>7705594.8900000015</v>
      </c>
      <c r="Q46" s="34">
        <f t="shared" si="14"/>
        <v>6337108.120000001</v>
      </c>
      <c r="R46" s="34">
        <f t="shared" si="14"/>
        <v>6008403.9700000007</v>
      </c>
      <c r="S46" s="34">
        <f t="shared" si="14"/>
        <v>5670218.7500000009</v>
      </c>
      <c r="T46" s="34">
        <f t="shared" si="14"/>
        <v>5506275.1600000011</v>
      </c>
      <c r="U46" s="127">
        <f t="shared" ref="U46" si="15">U44+T46</f>
        <v>5506275.1600000011</v>
      </c>
      <c r="V46" s="127">
        <f t="shared" ref="V46" si="16">V44</f>
        <v>0</v>
      </c>
      <c r="W46" s="127">
        <f t="shared" ref="W46" si="17">W44+V46</f>
        <v>0</v>
      </c>
      <c r="X46" s="127">
        <f t="shared" ref="X46" si="18">X44</f>
        <v>0</v>
      </c>
      <c r="Y46" s="127">
        <f t="shared" ref="Y46" si="19">Y44+X46</f>
        <v>0</v>
      </c>
      <c r="Z46" s="127">
        <f t="shared" ref="Z46" si="20">Z44</f>
        <v>0</v>
      </c>
      <c r="AA46" s="127">
        <f t="shared" ref="AA46" si="21">AA44+Z46</f>
        <v>0</v>
      </c>
      <c r="AB46" s="127">
        <f t="shared" ref="AB46" si="22">AB44</f>
        <v>0</v>
      </c>
      <c r="AC46" s="127">
        <f t="shared" ref="AC46" si="23">AC44+AB46</f>
        <v>0</v>
      </c>
      <c r="AD46" s="128"/>
      <c r="AE46" s="102">
        <f>AE20+AE31+AE35+AE41+AE42+AE38+AE39</f>
        <v>5506275.1600000039</v>
      </c>
    </row>
    <row r="47" spans="1:31" ht="15.75" thickTop="1" x14ac:dyDescent="0.2"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6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6"/>
    </row>
    <row r="48" spans="1:31" x14ac:dyDescent="0.2">
      <c r="Q48" s="26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6"/>
    </row>
  </sheetData>
  <printOptions horizontalCentered="1" verticalCentered="1"/>
  <pageMargins left="0.25" right="0.25" top="0.5" bottom="0.5" header="0" footer="0"/>
  <pageSetup scale="3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Timp &amp; Dimp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Gomez</dc:creator>
  <cp:lastModifiedBy>laurieharris</cp:lastModifiedBy>
  <cp:lastPrinted>2016-06-21T19:32:52Z</cp:lastPrinted>
  <dcterms:created xsi:type="dcterms:W3CDTF">1998-06-30T13:17:02Z</dcterms:created>
  <dcterms:modified xsi:type="dcterms:W3CDTF">2016-07-01T21:17:07Z</dcterms:modified>
</cp:coreProperties>
</file>