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ummary" sheetId="1" r:id="rId1"/>
    <sheet name="QPC" sheetId="2" r:id="rId2"/>
  </sheets>
  <definedNames>
    <definedName name="_xlnm.Print_Area" localSheetId="1">'QPC'!$A$1:$I$31</definedName>
    <definedName name="_xlnm.Print_Area" localSheetId="0">'Summary'!$A$1:$N$49</definedName>
  </definedNames>
  <calcPr fullCalcOnLoad="1"/>
</workbook>
</file>

<file path=xl/sharedStrings.xml><?xml version="1.0" encoding="utf-8"?>
<sst xmlns="http://schemas.openxmlformats.org/spreadsheetml/2006/main" count="72" uniqueCount="56">
  <si>
    <t>Merger Costs</t>
  </si>
  <si>
    <t>Questar</t>
  </si>
  <si>
    <t>Gas</t>
  </si>
  <si>
    <t>Wexpro</t>
  </si>
  <si>
    <t>Total</t>
  </si>
  <si>
    <t>Severance</t>
  </si>
  <si>
    <t>Retention</t>
  </si>
  <si>
    <t>Restricted stock units settlement</t>
  </si>
  <si>
    <t>Voluntary severance program</t>
  </si>
  <si>
    <t>Wexpro software relicensing charges</t>
  </si>
  <si>
    <t>Unamortized debt costs</t>
  </si>
  <si>
    <t>Fees for special proxy statement</t>
  </si>
  <si>
    <t>Debt issuance revolver fees</t>
  </si>
  <si>
    <t>Financial advisor</t>
  </si>
  <si>
    <t>Financing fees Questar Corporation $250 million notes</t>
  </si>
  <si>
    <t>Legal</t>
  </si>
  <si>
    <t>Curtailment of Supplemental Executive Retirement Plan</t>
  </si>
  <si>
    <t>Other transaction costs</t>
  </si>
  <si>
    <t>Mark-to-market of performance shares and deferred compensation</t>
  </si>
  <si>
    <t>Total Transaction Costs</t>
  </si>
  <si>
    <t xml:space="preserve">Total </t>
  </si>
  <si>
    <t>Transaction Costs - GL Account 930205</t>
  </si>
  <si>
    <t>Transition Costs - GL Account 930205</t>
  </si>
  <si>
    <t>1/</t>
  </si>
  <si>
    <t>1/  Costs include directly assignable costs and allocated corporate costs.</t>
  </si>
  <si>
    <t>A</t>
  </si>
  <si>
    <t>B</t>
  </si>
  <si>
    <t>C</t>
  </si>
  <si>
    <t>D</t>
  </si>
  <si>
    <t>E</t>
  </si>
  <si>
    <t>F</t>
  </si>
  <si>
    <t>Other</t>
  </si>
  <si>
    <t>(Non DM)</t>
  </si>
  <si>
    <t xml:space="preserve">Dominion Energy </t>
  </si>
  <si>
    <t>Total Transition Costs for 2016 and 2017</t>
  </si>
  <si>
    <t>YTD September 30, 2017</t>
  </si>
  <si>
    <t>Allocated Costs</t>
  </si>
  <si>
    <t>Involuntary severance program</t>
  </si>
  <si>
    <t>Corporation</t>
  </si>
  <si>
    <t>Severance expense (Voluntary and Involuntary)</t>
  </si>
  <si>
    <t>Retention Expense</t>
  </si>
  <si>
    <t>SERP settlement</t>
  </si>
  <si>
    <t>Questar Pipeline</t>
  </si>
  <si>
    <t>QPC</t>
  </si>
  <si>
    <t>Overthrust</t>
  </si>
  <si>
    <t>QES</t>
  </si>
  <si>
    <t>QTS</t>
  </si>
  <si>
    <t>Dominion Energy Questar Pipeline Consolidated</t>
  </si>
  <si>
    <t>Dominion Energy</t>
  </si>
  <si>
    <t>Consolidated</t>
  </si>
  <si>
    <t>Info-Com</t>
  </si>
  <si>
    <t>So. Trails</t>
  </si>
  <si>
    <t>Performance share settlement</t>
  </si>
  <si>
    <t>Performance share - additional expense</t>
  </si>
  <si>
    <t>2/ The detailed costs for Questar Pipeline by business unit are shown on page 2.</t>
  </si>
  <si>
    <t>2/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</si>
</sst>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&quot;$&quot;#,##0.0000_);\(&quot;$&quot;#,##0.0000\)"/>
    <numFmt numFmtId="166" formatCode="#,##0.0_);\(#,##0.0\)"/>
    <numFmt numFmtId="167" formatCode="#,##0.0000_);\(#,##0.0000\)"/>
    <numFmt numFmtId="168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37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11" xfId="0" applyNumberFormat="1" applyBorder="1" applyAlignment="1">
      <alignment/>
    </xf>
    <xf numFmtId="37" fontId="37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37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0" fillId="0" borderId="1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quotePrefix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5" fontId="0" fillId="0" borderId="11" xfId="0" applyNumberFormat="1" applyFill="1" applyBorder="1" applyAlignment="1">
      <alignment/>
    </xf>
    <xf numFmtId="39" fontId="0" fillId="0" borderId="0" xfId="0" applyNumberFormat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17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8" fontId="37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390525</xdr:colOff>
      <xdr:row>0</xdr:row>
      <xdr:rowOff>190500</xdr:rowOff>
    </xdr:from>
    <xdr:ext cx="781050" cy="638175"/>
    <xdr:sp>
      <xdr:nvSpPr>
        <xdr:cNvPr id="1" name="TextBox 1"/>
        <xdr:cNvSpPr txBox="1">
          <a:spLocks noChangeArrowheads="1"/>
        </xdr:cNvSpPr>
      </xdr:nvSpPr>
      <xdr:spPr>
        <a:xfrm rot="5400000">
          <a:off x="39576375" y="190500"/>
          <a:ext cx="781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Questar Gas Company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1st Qtr. 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QGC Exhibit 8</a:t>
          </a:r>
        </a:p>
      </xdr:txBody>
    </xdr:sp>
    <xdr:clientData/>
  </xdr:oneCellAnchor>
  <xdr:oneCellAnchor>
    <xdr:from>
      <xdr:col>13</xdr:col>
      <xdr:colOff>9525</xdr:colOff>
      <xdr:row>36</xdr:row>
      <xdr:rowOff>85725</xdr:rowOff>
    </xdr:from>
    <xdr:ext cx="838200" cy="2314575"/>
    <xdr:sp>
      <xdr:nvSpPr>
        <xdr:cNvPr id="2" name="TextBox 2"/>
        <xdr:cNvSpPr txBox="1">
          <a:spLocks noChangeArrowheads="1"/>
        </xdr:cNvSpPr>
      </xdr:nvSpPr>
      <xdr:spPr>
        <a:xfrm rot="5400000">
          <a:off x="11220450" y="6962775"/>
          <a:ext cx="838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Energy Utah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Qtr.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Exhibit 19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18</xdr:row>
      <xdr:rowOff>161925</xdr:rowOff>
    </xdr:from>
    <xdr:ext cx="838200" cy="2314575"/>
    <xdr:sp>
      <xdr:nvSpPr>
        <xdr:cNvPr id="1" name="TextBox 1"/>
        <xdr:cNvSpPr txBox="1">
          <a:spLocks noChangeArrowheads="1"/>
        </xdr:cNvSpPr>
      </xdr:nvSpPr>
      <xdr:spPr>
        <a:xfrm rot="5400000">
          <a:off x="6991350" y="3590925"/>
          <a:ext cx="838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Energy Utah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No. 16-057-01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Qtr.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Integration Progress Report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Exhibit 19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2 of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0">
      <selection activeCell="F34" sqref="F34"/>
    </sheetView>
  </sheetViews>
  <sheetFormatPr defaultColWidth="12.7109375" defaultRowHeight="15"/>
  <cols>
    <col min="1" max="1" width="3.7109375" style="2" bestFit="1" customWidth="1"/>
    <col min="2" max="2" width="24.7109375" style="2" customWidth="1"/>
    <col min="3" max="5" width="14.7109375" style="2" customWidth="1"/>
    <col min="6" max="6" width="16.28125" style="2" bestFit="1" customWidth="1"/>
    <col min="7" max="7" width="2.8515625" style="2" bestFit="1" customWidth="1"/>
    <col min="8" max="12" width="14.7109375" style="2" customWidth="1"/>
    <col min="13" max="13" width="2.8515625" style="2" bestFit="1" customWidth="1"/>
    <col min="14" max="16384" width="12.7109375" style="2" customWidth="1"/>
  </cols>
  <sheetData>
    <row r="1" ht="15">
      <c r="B1" s="1" t="s">
        <v>33</v>
      </c>
    </row>
    <row r="2" ht="15">
      <c r="B2" s="1" t="s">
        <v>0</v>
      </c>
    </row>
    <row r="3" ht="15">
      <c r="B3" s="1" t="s">
        <v>35</v>
      </c>
    </row>
    <row r="4" ht="15">
      <c r="B4" s="1"/>
    </row>
    <row r="5" spans="6:12" ht="15">
      <c r="F5" s="11" t="s">
        <v>25</v>
      </c>
      <c r="G5" s="11"/>
      <c r="H5" s="13" t="s">
        <v>26</v>
      </c>
      <c r="I5" s="13" t="s">
        <v>27</v>
      </c>
      <c r="J5" s="13" t="s">
        <v>28</v>
      </c>
      <c r="K5" s="13" t="s">
        <v>29</v>
      </c>
      <c r="L5" s="11" t="s">
        <v>30</v>
      </c>
    </row>
    <row r="6" spans="6:12" ht="15">
      <c r="F6" s="12" t="s">
        <v>48</v>
      </c>
      <c r="G6" s="12"/>
      <c r="H6" s="13"/>
      <c r="I6" s="13"/>
      <c r="J6" s="13"/>
      <c r="K6" s="12" t="s">
        <v>48</v>
      </c>
      <c r="L6" s="11"/>
    </row>
    <row r="7" spans="6:11" ht="15">
      <c r="F7" s="3" t="s">
        <v>42</v>
      </c>
      <c r="G7" s="3"/>
      <c r="H7" s="14" t="s">
        <v>1</v>
      </c>
      <c r="I7" s="14"/>
      <c r="J7" s="14" t="s">
        <v>31</v>
      </c>
      <c r="K7" s="16" t="s">
        <v>1</v>
      </c>
    </row>
    <row r="8" spans="6:12" ht="15">
      <c r="F8" s="4" t="s">
        <v>49</v>
      </c>
      <c r="G8" s="4"/>
      <c r="H8" s="15" t="s">
        <v>2</v>
      </c>
      <c r="I8" s="15" t="s">
        <v>3</v>
      </c>
      <c r="J8" s="15" t="s">
        <v>32</v>
      </c>
      <c r="K8" s="15" t="s">
        <v>38</v>
      </c>
      <c r="L8" s="4" t="s">
        <v>4</v>
      </c>
    </row>
    <row r="9" spans="6:12" ht="15">
      <c r="F9" s="7"/>
      <c r="G9" s="7"/>
      <c r="H9" s="16"/>
      <c r="I9" s="16"/>
      <c r="J9" s="16"/>
      <c r="K9" s="17"/>
      <c r="L9" s="7"/>
    </row>
    <row r="10" spans="2:12" ht="15">
      <c r="B10" s="5" t="s">
        <v>21</v>
      </c>
      <c r="C10" s="5"/>
      <c r="D10" s="5"/>
      <c r="E10" s="5"/>
      <c r="F10" s="7"/>
      <c r="G10" s="7"/>
      <c r="H10" s="16"/>
      <c r="I10" s="16"/>
      <c r="J10" s="16"/>
      <c r="K10" s="17"/>
      <c r="L10" s="7"/>
    </row>
    <row r="11" spans="1:13" ht="15">
      <c r="A11" s="2">
        <v>1</v>
      </c>
      <c r="B11" s="2" t="s">
        <v>5</v>
      </c>
      <c r="F11" s="6">
        <v>3797755.82</v>
      </c>
      <c r="G11" s="6"/>
      <c r="H11" s="18">
        <v>0</v>
      </c>
      <c r="I11" s="18">
        <v>0</v>
      </c>
      <c r="J11" s="18">
        <v>0</v>
      </c>
      <c r="K11" s="18">
        <v>0</v>
      </c>
      <c r="L11" s="6">
        <f aca="true" t="shared" si="0" ref="L11:L24">SUM(F11:K11)</f>
        <v>3797755.82</v>
      </c>
      <c r="M11" s="2" t="s">
        <v>23</v>
      </c>
    </row>
    <row r="12" spans="1:12" ht="15">
      <c r="A12" s="2">
        <f>A11+1</f>
        <v>2</v>
      </c>
      <c r="B12" s="2" t="s">
        <v>18</v>
      </c>
      <c r="F12" s="2">
        <v>0</v>
      </c>
      <c r="H12" s="19">
        <v>0</v>
      </c>
      <c r="I12" s="19">
        <v>0</v>
      </c>
      <c r="J12" s="19">
        <v>0</v>
      </c>
      <c r="K12" s="19">
        <v>0</v>
      </c>
      <c r="L12" s="2">
        <f t="shared" si="0"/>
        <v>0</v>
      </c>
    </row>
    <row r="13" spans="1:13" ht="15">
      <c r="A13" s="2">
        <f aca="true" t="shared" si="1" ref="A13:A25">A12+1</f>
        <v>3</v>
      </c>
      <c r="B13" s="2" t="s">
        <v>7</v>
      </c>
      <c r="F13" s="2">
        <v>0</v>
      </c>
      <c r="H13" s="19">
        <v>0</v>
      </c>
      <c r="I13" s="19">
        <v>0</v>
      </c>
      <c r="J13" s="19">
        <v>0</v>
      </c>
      <c r="K13" s="19">
        <v>0</v>
      </c>
      <c r="L13" s="2">
        <f t="shared" si="0"/>
        <v>0</v>
      </c>
      <c r="M13" s="2" t="s">
        <v>23</v>
      </c>
    </row>
    <row r="14" spans="1:13" ht="15">
      <c r="A14" s="2">
        <f t="shared" si="1"/>
        <v>4</v>
      </c>
      <c r="B14" s="2" t="s">
        <v>52</v>
      </c>
      <c r="F14" s="2">
        <v>0</v>
      </c>
      <c r="H14" s="19">
        <v>0</v>
      </c>
      <c r="I14" s="19">
        <v>0</v>
      </c>
      <c r="J14" s="19">
        <v>0</v>
      </c>
      <c r="K14" s="19">
        <v>0</v>
      </c>
      <c r="L14" s="2">
        <f t="shared" si="0"/>
        <v>0</v>
      </c>
      <c r="M14" s="2" t="s">
        <v>23</v>
      </c>
    </row>
    <row r="15" spans="1:13" ht="15">
      <c r="A15" s="2">
        <f t="shared" si="1"/>
        <v>5</v>
      </c>
      <c r="B15" s="2" t="s">
        <v>53</v>
      </c>
      <c r="F15" s="2">
        <v>0</v>
      </c>
      <c r="H15" s="19">
        <v>0</v>
      </c>
      <c r="I15" s="19">
        <v>0</v>
      </c>
      <c r="J15" s="19">
        <v>0</v>
      </c>
      <c r="K15" s="19">
        <v>0</v>
      </c>
      <c r="L15" s="2">
        <f t="shared" si="0"/>
        <v>0</v>
      </c>
      <c r="M15" s="2" t="s">
        <v>23</v>
      </c>
    </row>
    <row r="16" spans="1:12" ht="15">
      <c r="A16" s="2">
        <f t="shared" si="1"/>
        <v>6</v>
      </c>
      <c r="B16" s="2" t="s">
        <v>9</v>
      </c>
      <c r="F16" s="2">
        <v>0</v>
      </c>
      <c r="H16" s="19">
        <v>0</v>
      </c>
      <c r="I16" s="19">
        <v>0</v>
      </c>
      <c r="J16" s="19">
        <v>0</v>
      </c>
      <c r="K16" s="19">
        <v>0</v>
      </c>
      <c r="L16" s="2">
        <f t="shared" si="0"/>
        <v>0</v>
      </c>
    </row>
    <row r="17" spans="1:12" ht="15">
      <c r="A17" s="2">
        <f t="shared" si="1"/>
        <v>7</v>
      </c>
      <c r="B17" s="2" t="s">
        <v>15</v>
      </c>
      <c r="F17" s="2">
        <v>0</v>
      </c>
      <c r="H17" s="19">
        <v>0</v>
      </c>
      <c r="I17" s="19">
        <v>0</v>
      </c>
      <c r="J17" s="19">
        <v>0</v>
      </c>
      <c r="K17" s="20">
        <f>837+2964+34+30723-1+18048+17124</f>
        <v>69729</v>
      </c>
      <c r="L17" s="2">
        <f t="shared" si="0"/>
        <v>69729</v>
      </c>
    </row>
    <row r="18" spans="1:12" ht="15">
      <c r="A18" s="2">
        <f t="shared" si="1"/>
        <v>8</v>
      </c>
      <c r="B18" s="2" t="s">
        <v>13</v>
      </c>
      <c r="F18" s="2">
        <v>0</v>
      </c>
      <c r="H18" s="19">
        <v>0</v>
      </c>
      <c r="I18" s="19">
        <v>0</v>
      </c>
      <c r="J18" s="19">
        <v>0</v>
      </c>
      <c r="K18" s="19">
        <v>0</v>
      </c>
      <c r="L18" s="2">
        <f t="shared" si="0"/>
        <v>0</v>
      </c>
    </row>
    <row r="19" spans="1:12" ht="15">
      <c r="A19" s="2">
        <f t="shared" si="1"/>
        <v>9</v>
      </c>
      <c r="B19" s="2" t="s">
        <v>11</v>
      </c>
      <c r="F19" s="2">
        <v>0</v>
      </c>
      <c r="H19" s="19">
        <v>0</v>
      </c>
      <c r="I19" s="19">
        <v>0</v>
      </c>
      <c r="J19" s="19">
        <v>0</v>
      </c>
      <c r="K19" s="19">
        <v>0</v>
      </c>
      <c r="L19" s="2">
        <f t="shared" si="0"/>
        <v>0</v>
      </c>
    </row>
    <row r="20" spans="1:12" ht="15">
      <c r="A20" s="2">
        <f t="shared" si="1"/>
        <v>10</v>
      </c>
      <c r="B20" s="2" t="s">
        <v>14</v>
      </c>
      <c r="F20" s="2">
        <v>0</v>
      </c>
      <c r="H20" s="19">
        <v>0</v>
      </c>
      <c r="I20" s="19">
        <v>0</v>
      </c>
      <c r="J20" s="19">
        <v>0</v>
      </c>
      <c r="K20" s="19">
        <v>0</v>
      </c>
      <c r="L20" s="2">
        <f t="shared" si="0"/>
        <v>0</v>
      </c>
    </row>
    <row r="21" spans="1:12" ht="15">
      <c r="A21" s="2">
        <f t="shared" si="1"/>
        <v>11</v>
      </c>
      <c r="B21" s="2" t="s">
        <v>10</v>
      </c>
      <c r="F21" s="2">
        <v>0</v>
      </c>
      <c r="H21" s="19">
        <v>0</v>
      </c>
      <c r="I21" s="19">
        <v>0</v>
      </c>
      <c r="J21" s="19">
        <v>0</v>
      </c>
      <c r="K21" s="19">
        <v>0</v>
      </c>
      <c r="L21" s="2">
        <f t="shared" si="0"/>
        <v>0</v>
      </c>
    </row>
    <row r="22" spans="1:12" ht="15">
      <c r="A22" s="2">
        <f t="shared" si="1"/>
        <v>12</v>
      </c>
      <c r="B22" s="2" t="s">
        <v>12</v>
      </c>
      <c r="F22" s="2">
        <v>0</v>
      </c>
      <c r="H22" s="19">
        <v>0</v>
      </c>
      <c r="I22" s="19">
        <v>0</v>
      </c>
      <c r="J22" s="19">
        <v>0</v>
      </c>
      <c r="K22" s="19">
        <v>0</v>
      </c>
      <c r="L22" s="2">
        <f t="shared" si="0"/>
        <v>0</v>
      </c>
    </row>
    <row r="23" spans="1:13" ht="15">
      <c r="A23" s="2">
        <f t="shared" si="1"/>
        <v>13</v>
      </c>
      <c r="B23" s="2" t="s">
        <v>16</v>
      </c>
      <c r="F23" s="2">
        <v>2313866.0399999996</v>
      </c>
      <c r="H23" s="19">
        <v>4984000</v>
      </c>
      <c r="I23" s="19">
        <v>858938</v>
      </c>
      <c r="J23" s="2">
        <f>50000+84000</f>
        <v>134000</v>
      </c>
      <c r="K23" s="19">
        <v>2816000</v>
      </c>
      <c r="L23" s="2">
        <f t="shared" si="0"/>
        <v>11106804.04</v>
      </c>
      <c r="M23" s="2" t="s">
        <v>23</v>
      </c>
    </row>
    <row r="24" spans="1:12" ht="15">
      <c r="A24" s="2">
        <f t="shared" si="1"/>
        <v>14</v>
      </c>
      <c r="B24" s="2" t="s">
        <v>17</v>
      </c>
      <c r="F24" s="5">
        <v>0</v>
      </c>
      <c r="G24" s="5"/>
      <c r="H24" s="21">
        <v>0</v>
      </c>
      <c r="I24" s="19">
        <v>-15792</v>
      </c>
      <c r="J24" s="21">
        <v>0</v>
      </c>
      <c r="K24" s="21">
        <f>15000-268-3128</f>
        <v>11604</v>
      </c>
      <c r="L24" s="5">
        <f t="shared" si="0"/>
        <v>-4188</v>
      </c>
    </row>
    <row r="25" spans="1:12" ht="15">
      <c r="A25" s="2">
        <f t="shared" si="1"/>
        <v>15</v>
      </c>
      <c r="C25" s="2" t="s">
        <v>19</v>
      </c>
      <c r="F25" s="8">
        <f aca="true" t="shared" si="2" ref="F25:L25">SUM(F11:F24)</f>
        <v>6111621.859999999</v>
      </c>
      <c r="G25" s="8"/>
      <c r="H25" s="17">
        <f t="shared" si="2"/>
        <v>4984000</v>
      </c>
      <c r="I25" s="22">
        <f t="shared" si="2"/>
        <v>843146</v>
      </c>
      <c r="J25" s="17">
        <f t="shared" si="2"/>
        <v>134000</v>
      </c>
      <c r="K25" s="17">
        <f t="shared" si="2"/>
        <v>2897333</v>
      </c>
      <c r="L25" s="8">
        <f t="shared" si="2"/>
        <v>14970100.86</v>
      </c>
    </row>
    <row r="26" spans="6:12" ht="15">
      <c r="F26" s="8"/>
      <c r="G26" s="8"/>
      <c r="H26" s="17"/>
      <c r="I26" s="17"/>
      <c r="J26" s="17"/>
      <c r="K26" s="17"/>
      <c r="L26" s="8"/>
    </row>
    <row r="27" spans="2:11" ht="15">
      <c r="B27" s="5" t="s">
        <v>22</v>
      </c>
      <c r="C27" s="5"/>
      <c r="D27" s="5"/>
      <c r="E27" s="5"/>
      <c r="H27" s="19"/>
      <c r="I27" s="19"/>
      <c r="J27" s="19"/>
      <c r="K27" s="19"/>
    </row>
    <row r="28" spans="1:13" ht="15">
      <c r="A28" s="2">
        <f>A25+1</f>
        <v>16</v>
      </c>
      <c r="B28" s="2" t="s">
        <v>6</v>
      </c>
      <c r="F28" s="2">
        <v>152537.29999999996</v>
      </c>
      <c r="H28" s="19">
        <v>0</v>
      </c>
      <c r="I28" s="19">
        <v>231724</v>
      </c>
      <c r="J28" s="19">
        <v>0</v>
      </c>
      <c r="K28" s="19">
        <f>65303-61105+226961+155036</f>
        <v>386195</v>
      </c>
      <c r="L28" s="2">
        <f>SUM(F28:K28)</f>
        <v>770456.2999999999</v>
      </c>
      <c r="M28" s="2" t="s">
        <v>23</v>
      </c>
    </row>
    <row r="29" spans="1:13" ht="15">
      <c r="A29" s="2">
        <f>A28+1</f>
        <v>17</v>
      </c>
      <c r="B29" s="2" t="s">
        <v>8</v>
      </c>
      <c r="F29" s="19">
        <v>0</v>
      </c>
      <c r="G29" s="19"/>
      <c r="H29" s="19">
        <f>245823+4695381</f>
        <v>4941204</v>
      </c>
      <c r="I29" s="19">
        <v>135344.12</v>
      </c>
      <c r="J29" s="2">
        <f>6872+7344+315</f>
        <v>14531</v>
      </c>
      <c r="K29" s="19">
        <v>4667262</v>
      </c>
      <c r="L29" s="2">
        <f>SUM(F29:K29)</f>
        <v>9758341.120000001</v>
      </c>
      <c r="M29" s="2" t="s">
        <v>23</v>
      </c>
    </row>
    <row r="30" spans="1:13" ht="15">
      <c r="A30" s="2">
        <f>A29+1</f>
        <v>18</v>
      </c>
      <c r="B30" s="2" t="s">
        <v>37</v>
      </c>
      <c r="F30" s="19">
        <v>0</v>
      </c>
      <c r="G30" s="19"/>
      <c r="H30" s="19">
        <v>0</v>
      </c>
      <c r="I30" s="18">
        <v>1125277</v>
      </c>
      <c r="J30" s="19">
        <v>0</v>
      </c>
      <c r="K30" s="19">
        <v>0</v>
      </c>
      <c r="L30" s="2">
        <f>SUM(F30:K30)</f>
        <v>1125277</v>
      </c>
      <c r="M30" s="2" t="s">
        <v>23</v>
      </c>
    </row>
    <row r="31" spans="1:12" ht="15">
      <c r="A31" s="2">
        <f>A30+1</f>
        <v>19</v>
      </c>
      <c r="C31" s="2" t="s">
        <v>34</v>
      </c>
      <c r="F31" s="23">
        <f aca="true" t="shared" si="3" ref="F31:L31">SUM(F28:F30)</f>
        <v>152537.29999999996</v>
      </c>
      <c r="G31" s="23"/>
      <c r="H31" s="23">
        <f t="shared" si="3"/>
        <v>4941204</v>
      </c>
      <c r="I31" s="23">
        <f t="shared" si="3"/>
        <v>1492345.12</v>
      </c>
      <c r="J31" s="23">
        <f t="shared" si="3"/>
        <v>14531</v>
      </c>
      <c r="K31" s="23">
        <f t="shared" si="3"/>
        <v>5053457</v>
      </c>
      <c r="L31" s="23">
        <f t="shared" si="3"/>
        <v>11654074.420000002</v>
      </c>
    </row>
    <row r="32" spans="6:12" ht="15">
      <c r="F32" s="8"/>
      <c r="G32" s="8"/>
      <c r="H32" s="17"/>
      <c r="I32" s="17"/>
      <c r="J32" s="17"/>
      <c r="K32" s="17"/>
      <c r="L32" s="8"/>
    </row>
    <row r="33" spans="1:12" ht="15.75" thickBot="1">
      <c r="A33" s="2">
        <f>A31+1</f>
        <v>20</v>
      </c>
      <c r="C33" s="2" t="s">
        <v>20</v>
      </c>
      <c r="F33" s="10">
        <f aca="true" t="shared" si="4" ref="F33:L33">F25+F31</f>
        <v>6264159.159999999</v>
      </c>
      <c r="G33" s="10" t="s">
        <v>55</v>
      </c>
      <c r="H33" s="24">
        <f t="shared" si="4"/>
        <v>9925204</v>
      </c>
      <c r="I33" s="24">
        <f t="shared" si="4"/>
        <v>2335491.12</v>
      </c>
      <c r="J33" s="24">
        <f t="shared" si="4"/>
        <v>148531</v>
      </c>
      <c r="K33" s="24">
        <f t="shared" si="4"/>
        <v>7950790</v>
      </c>
      <c r="L33" s="10">
        <f t="shared" si="4"/>
        <v>26624175.28</v>
      </c>
    </row>
    <row r="34" spans="6:12" ht="15.75" thickTop="1">
      <c r="F34" s="8"/>
      <c r="G34" s="8"/>
      <c r="H34" s="8"/>
      <c r="I34" s="8"/>
      <c r="J34" s="8"/>
      <c r="K34" s="8"/>
      <c r="L34" s="8"/>
    </row>
    <row r="35" spans="2:14" ht="15">
      <c r="B35" s="2" t="s">
        <v>24</v>
      </c>
      <c r="F35" s="25"/>
      <c r="G35" s="25"/>
      <c r="H35" s="25"/>
      <c r="I35" s="25"/>
      <c r="J35" s="25"/>
      <c r="K35" s="25"/>
      <c r="L35" s="25"/>
      <c r="M35" s="9"/>
      <c r="N35" s="9"/>
    </row>
    <row r="36" spans="2:14" ht="15">
      <c r="B36" s="2" t="s">
        <v>54</v>
      </c>
      <c r="F36" s="25"/>
      <c r="G36" s="25"/>
      <c r="H36" s="25"/>
      <c r="I36" s="25"/>
      <c r="J36" s="25"/>
      <c r="K36" s="25"/>
      <c r="L36" s="25"/>
      <c r="M36" s="9"/>
      <c r="N36" s="9"/>
    </row>
    <row r="37" ht="15"/>
    <row r="38" spans="2:5" ht="15">
      <c r="B38" s="5" t="s">
        <v>36</v>
      </c>
      <c r="C38" s="5"/>
      <c r="D38" s="5"/>
      <c r="E38" s="5"/>
    </row>
    <row r="39" spans="2:12" ht="15">
      <c r="B39" s="2" t="s">
        <v>16</v>
      </c>
      <c r="F39" s="2">
        <f>685696</f>
        <v>685696</v>
      </c>
      <c r="H39" s="2">
        <f>1393357+84534</f>
        <v>1477891</v>
      </c>
      <c r="I39" s="2">
        <v>678938</v>
      </c>
      <c r="J39" s="2">
        <f>58010-84535</f>
        <v>-26525</v>
      </c>
      <c r="K39" s="2">
        <v>-2816000</v>
      </c>
      <c r="L39" s="2">
        <f>SUM(F39:K39)</f>
        <v>0</v>
      </c>
    </row>
    <row r="40" spans="2:12" ht="15">
      <c r="B40" s="2" t="s">
        <v>6</v>
      </c>
      <c r="F40" s="2">
        <f>55265+38092</f>
        <v>93357</v>
      </c>
      <c r="H40" s="2">
        <f>72650+112300</f>
        <v>184950</v>
      </c>
      <c r="I40" s="2">
        <f>54720+39999</f>
        <v>94719</v>
      </c>
      <c r="J40" s="2">
        <f>4676+4295</f>
        <v>8971</v>
      </c>
      <c r="K40" s="2">
        <f>-226961-155036</f>
        <v>-381997</v>
      </c>
      <c r="L40" s="2">
        <f>SUM(F40:K40)</f>
        <v>0</v>
      </c>
    </row>
    <row r="41" spans="2:12" ht="15">
      <c r="B41" s="2" t="s">
        <v>37</v>
      </c>
      <c r="F41" s="2">
        <v>1136478</v>
      </c>
      <c r="H41" s="2">
        <v>2309361</v>
      </c>
      <c r="I41" s="2">
        <v>1125277</v>
      </c>
      <c r="J41" s="2">
        <v>96146</v>
      </c>
      <c r="K41" s="2">
        <v>-4667262</v>
      </c>
      <c r="L41" s="2">
        <f>SUM(F41:K41)</f>
        <v>0</v>
      </c>
    </row>
    <row r="42" ht="15"/>
    <row r="43" ht="15"/>
    <row r="44" ht="15"/>
    <row r="45" ht="15"/>
    <row r="46" ht="15"/>
    <row r="47" ht="15"/>
    <row r="48" ht="15"/>
  </sheetData>
  <sheetProtection/>
  <printOptions/>
  <pageMargins left="0.25" right="0.25" top="0.75" bottom="0.75" header="0.3" footer="0.3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7109375" style="0" bestFit="1" customWidth="1"/>
    <col min="2" max="2" width="45.140625" style="0" bestFit="1" customWidth="1"/>
    <col min="3" max="3" width="10.421875" style="0" bestFit="1" customWidth="1"/>
    <col min="4" max="4" width="12.28125" style="0" bestFit="1" customWidth="1"/>
    <col min="5" max="5" width="10.57421875" style="0" bestFit="1" customWidth="1"/>
    <col min="6" max="7" width="9.00390625" style="0" bestFit="1" customWidth="1"/>
    <col min="8" max="8" width="7.8515625" style="0" bestFit="1" customWidth="1"/>
    <col min="9" max="9" width="10.57421875" style="0" bestFit="1" customWidth="1"/>
  </cols>
  <sheetData>
    <row r="1" spans="2:8" ht="15">
      <c r="B1" s="26" t="s">
        <v>47</v>
      </c>
      <c r="C1" s="27"/>
      <c r="D1" s="27"/>
      <c r="E1" s="27"/>
      <c r="F1" s="27"/>
      <c r="G1" s="27"/>
      <c r="H1" s="27"/>
    </row>
    <row r="2" spans="2:8" ht="15">
      <c r="B2" s="26" t="s">
        <v>0</v>
      </c>
      <c r="C2" s="27"/>
      <c r="D2" s="27"/>
      <c r="E2" s="27"/>
      <c r="F2" s="27"/>
      <c r="G2" s="27"/>
      <c r="H2" s="27"/>
    </row>
    <row r="3" spans="2:8" ht="15">
      <c r="B3" s="1" t="s">
        <v>35</v>
      </c>
      <c r="C3" s="27"/>
      <c r="D3" s="27"/>
      <c r="E3" s="27"/>
      <c r="F3" s="27"/>
      <c r="G3" s="27"/>
      <c r="H3" s="27"/>
    </row>
    <row r="5" spans="2:9" ht="15">
      <c r="B5" s="27"/>
      <c r="C5" s="28" t="s">
        <v>50</v>
      </c>
      <c r="D5" s="28" t="s">
        <v>43</v>
      </c>
      <c r="E5" s="28" t="s">
        <v>44</v>
      </c>
      <c r="F5" s="28" t="s">
        <v>45</v>
      </c>
      <c r="G5" s="28" t="s">
        <v>51</v>
      </c>
      <c r="H5" s="28" t="s">
        <v>46</v>
      </c>
      <c r="I5" s="28" t="s">
        <v>4</v>
      </c>
    </row>
    <row r="6" spans="1:9" ht="15">
      <c r="A6" s="2">
        <v>1</v>
      </c>
      <c r="B6" s="27" t="s">
        <v>39</v>
      </c>
      <c r="C6" s="29">
        <v>2181.65</v>
      </c>
      <c r="D6" s="29">
        <f>98465.47+2433844+861576.58</f>
        <v>3393886.0500000003</v>
      </c>
      <c r="E6" s="29">
        <v>289280.25</v>
      </c>
      <c r="F6" s="29">
        <v>55417.05</v>
      </c>
      <c r="G6" s="29">
        <v>40943.13</v>
      </c>
      <c r="H6" s="29">
        <v>16047.69</v>
      </c>
      <c r="I6" s="30">
        <f>SUM(C6:H6)</f>
        <v>3797755.82</v>
      </c>
    </row>
    <row r="7" spans="1:9" ht="15">
      <c r="A7" s="2">
        <f>A6+1</f>
        <v>2</v>
      </c>
      <c r="B7" s="27" t="s">
        <v>40</v>
      </c>
      <c r="C7" s="29">
        <f>93.02+90.78</f>
        <v>183.8</v>
      </c>
      <c r="D7" s="29">
        <f>29100.34+41897.03</f>
        <v>70997.37</v>
      </c>
      <c r="E7" s="29">
        <f>8387.47+12687.13</f>
        <v>21074.6</v>
      </c>
      <c r="F7" s="29">
        <f>2170.51+2337.7+50800</f>
        <v>55308.21</v>
      </c>
      <c r="G7" s="29">
        <f>1656.82+2030.98</f>
        <v>3687.8</v>
      </c>
      <c r="H7" s="29">
        <f>604.64+680.88</f>
        <v>1285.52</v>
      </c>
      <c r="I7" s="30">
        <f>SUM(C7:H7)</f>
        <v>152537.29999999996</v>
      </c>
    </row>
    <row r="8" spans="1:9" ht="15">
      <c r="A8" s="2">
        <f>A7+1</f>
        <v>3</v>
      </c>
      <c r="B8" s="27" t="s">
        <v>41</v>
      </c>
      <c r="C8" s="31">
        <f>1126.4</f>
        <v>1126.4</v>
      </c>
      <c r="D8" s="31">
        <f>1170785.2+527155.2-7321.6</f>
        <v>1690618.7999999998</v>
      </c>
      <c r="E8" s="31">
        <f>171906.54+157414.4</f>
        <v>329320.94</v>
      </c>
      <c r="F8" s="31">
        <f>84000+7914.14+29004.8</f>
        <v>120918.94</v>
      </c>
      <c r="G8" s="31">
        <f>50000+72258.16+20556.8</f>
        <v>142814.96</v>
      </c>
      <c r="H8" s="31">
        <f>20618+8448</f>
        <v>29066</v>
      </c>
      <c r="I8" s="30">
        <f>SUM(C8:H8)</f>
        <v>2313866.0399999996</v>
      </c>
    </row>
    <row r="9" spans="1:9" ht="15">
      <c r="A9" s="2">
        <f>A8+1</f>
        <v>4</v>
      </c>
      <c r="B9" s="26" t="s">
        <v>4</v>
      </c>
      <c r="C9" s="32">
        <f aca="true" t="shared" si="0" ref="C9:H9">SUM(C6:C8)</f>
        <v>3491.8500000000004</v>
      </c>
      <c r="D9" s="32">
        <f t="shared" si="0"/>
        <v>5155502.220000001</v>
      </c>
      <c r="E9" s="32">
        <f t="shared" si="0"/>
        <v>639675.79</v>
      </c>
      <c r="F9" s="32">
        <f t="shared" si="0"/>
        <v>231644.2</v>
      </c>
      <c r="G9" s="32">
        <f t="shared" si="0"/>
        <v>187445.88999999998</v>
      </c>
      <c r="H9" s="32">
        <f t="shared" si="0"/>
        <v>46399.21</v>
      </c>
      <c r="I9" s="35">
        <f>SUM(I6:I8)</f>
        <v>6264159.159999999</v>
      </c>
    </row>
    <row r="10" spans="1:9" ht="15">
      <c r="A10" s="2"/>
      <c r="C10" s="33"/>
      <c r="D10" s="34"/>
      <c r="E10" s="34"/>
      <c r="F10" s="34"/>
      <c r="G10" s="34"/>
      <c r="H10" s="34"/>
      <c r="I10" s="30"/>
    </row>
    <row r="11" spans="3:9" ht="15">
      <c r="C11" s="33"/>
      <c r="D11" s="34"/>
      <c r="E11" s="34"/>
      <c r="F11" s="34"/>
      <c r="G11" s="34"/>
      <c r="H11" s="34"/>
      <c r="I11" s="30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Curtis</dc:creator>
  <cp:keywords/>
  <dc:description/>
  <cp:lastModifiedBy>Fred Nass</cp:lastModifiedBy>
  <cp:lastPrinted>2017-12-04T23:29:09Z</cp:lastPrinted>
  <dcterms:created xsi:type="dcterms:W3CDTF">2017-04-05T19:21:03Z</dcterms:created>
  <dcterms:modified xsi:type="dcterms:W3CDTF">2017-12-05T15:33:09Z</dcterms:modified>
  <cp:category/>
  <cp:version/>
  <cp:contentType/>
  <cp:contentStatus/>
</cp:coreProperties>
</file>