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gas\19docs\1905702\"/>
    </mc:Choice>
  </mc:AlternateContent>
  <bookViews>
    <workbookView xWindow="0" yWindow="0" windowWidth="19125" windowHeight="115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L22" i="1"/>
  <c r="K20" i="1"/>
  <c r="J20" i="1"/>
  <c r="I20" i="1"/>
  <c r="H20" i="1"/>
  <c r="G20" i="1"/>
  <c r="F20" i="1"/>
  <c r="E20" i="1"/>
  <c r="D20" i="1"/>
  <c r="C20" i="1"/>
  <c r="K16" i="1"/>
  <c r="J16" i="1"/>
  <c r="I16" i="1"/>
  <c r="H16" i="1"/>
  <c r="B14" i="1"/>
  <c r="B13" i="1"/>
  <c r="B7" i="1"/>
  <c r="K6" i="1"/>
  <c r="J6" i="1"/>
  <c r="I6" i="1"/>
  <c r="H6" i="1"/>
  <c r="G6" i="1" l="1"/>
  <c r="F6" i="1" l="1"/>
  <c r="M7" i="1" l="1"/>
  <c r="E6" i="1"/>
  <c r="M22" i="1" l="1"/>
  <c r="M12" i="1"/>
  <c r="M8" i="1"/>
  <c r="M9" i="1" s="1"/>
  <c r="D6" i="1"/>
  <c r="C6" i="1" l="1"/>
  <c r="D7" i="1" l="1"/>
  <c r="C7" i="1"/>
  <c r="E7" i="1"/>
  <c r="G7" i="1"/>
  <c r="F7" i="1"/>
  <c r="K34" i="1" l="1"/>
  <c r="M34" i="1" s="1"/>
  <c r="N34" i="1" s="1"/>
  <c r="G22" i="1"/>
  <c r="G8" i="1"/>
  <c r="G9" i="1" s="1"/>
  <c r="D22" i="1"/>
  <c r="D8" i="1"/>
  <c r="D9" i="1" s="1"/>
  <c r="E22" i="1"/>
  <c r="E8" i="1"/>
  <c r="E9" i="1" s="1"/>
  <c r="F22" i="1"/>
  <c r="F8" i="1"/>
  <c r="F9" i="1" s="1"/>
  <c r="C22" i="1"/>
  <c r="N7" i="1"/>
  <c r="K33" i="1"/>
  <c r="M33" i="1" s="1"/>
  <c r="N33" i="1" s="1"/>
  <c r="J7" i="1" l="1"/>
  <c r="K7" i="1"/>
  <c r="J22" i="1" l="1"/>
  <c r="K8" i="1"/>
  <c r="K9" i="1" s="1"/>
  <c r="K12" i="1"/>
  <c r="M13" i="1" s="1"/>
  <c r="M14" i="1" s="1"/>
  <c r="L8" i="1"/>
  <c r="L9" i="1" s="1"/>
  <c r="K22" i="1"/>
  <c r="K26" i="1"/>
  <c r="L26" i="1" s="1"/>
  <c r="M26" i="1" s="1"/>
  <c r="N26" i="1" s="1"/>
  <c r="K27" i="1"/>
  <c r="L27" i="1" s="1"/>
  <c r="M27" i="1" s="1"/>
  <c r="N27" i="1" s="1"/>
  <c r="H7" i="1"/>
  <c r="I7" i="1"/>
  <c r="K35" i="1" l="1"/>
  <c r="I8" i="1"/>
  <c r="I9" i="1" s="1"/>
  <c r="I22" i="1"/>
  <c r="H8" i="1"/>
  <c r="H9" i="1" s="1"/>
  <c r="H22" i="1"/>
  <c r="J8" i="1"/>
  <c r="J9" i="1" s="1"/>
  <c r="K28" i="1" l="1"/>
</calcChain>
</file>

<file path=xl/sharedStrings.xml><?xml version="1.0" encoding="utf-8"?>
<sst xmlns="http://schemas.openxmlformats.org/spreadsheetml/2006/main" count="41" uniqueCount="38">
  <si>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</si>
  <si>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</si>
  <si>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</si>
  <si>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</si>
  <si>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</si>
  <si>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</si>
  <si>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</si>
  <si>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</si>
  <si>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</si>
  <si>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</si>
  <si>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</si>
  <si>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L</t>
  </si>
  <si>
    <t>M</t>
  </si>
  <si>
    <t>9 Yr Avg  Increase Thru 2019</t>
  </si>
  <si>
    <t>Annual Change</t>
  </si>
  <si>
    <t>Percent Change</t>
  </si>
  <si>
    <t>Base Year</t>
  </si>
  <si>
    <t>Test Year</t>
  </si>
  <si>
    <t>Rate Case Capital Expenditure</t>
  </si>
  <si>
    <t>$ Increase</t>
  </si>
  <si>
    <t>% Increase</t>
  </si>
  <si>
    <t>Transponder Replacement</t>
  </si>
  <si>
    <t>Eagle Mountain Purchase</t>
  </si>
  <si>
    <t>Infrastructure Tracker</t>
  </si>
  <si>
    <t>2018 Base Year Plus Historical Growth Rate For 2019 and 2020</t>
  </si>
  <si>
    <t>Est 2019</t>
  </si>
  <si>
    <t>Est 2020</t>
  </si>
  <si>
    <t>Est 2020 vs Proposed</t>
  </si>
  <si>
    <t>8 Yr Avg</t>
  </si>
  <si>
    <t>5 Yr Avg</t>
  </si>
  <si>
    <t>3 Yr Avg</t>
  </si>
  <si>
    <t>2019 Merger Spending Plus Historical Growth Rate for 2020</t>
  </si>
  <si>
    <t>Merger Spending</t>
  </si>
  <si>
    <t>9 Yr Avg</t>
  </si>
  <si>
    <t>Capital Expendature Growth Rate Calculations</t>
  </si>
  <si>
    <t>Docket No. 19-057-02</t>
  </si>
  <si>
    <t>DPU Exhibit 2.03 DIR</t>
  </si>
  <si>
    <t>Eric Orton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</si>
</sst>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0" xfId="0" applyNumberFormat="1"/>
    <xf numFmtId="166" fontId="0" fillId="0" borderId="0" xfId="0" applyNumberFormat="1" applyAlignment="1">
      <alignment horizontal="center"/>
    </xf>
    <xf numFmtId="164" fontId="0" fillId="0" borderId="0" xfId="0" applyNumberFormat="1" applyFill="1"/>
    <xf numFmtId="166" fontId="0" fillId="0" borderId="0" xfId="2" applyNumberFormat="1" applyFont="1"/>
    <xf numFmtId="166" fontId="0" fillId="0" borderId="0" xfId="2" applyNumberFormat="1" applyFont="1" applyFill="1"/>
    <xf numFmtId="166" fontId="2" fillId="0" borderId="2" xfId="2" applyNumberFormat="1" applyFont="1" applyBorder="1" applyAlignment="1">
      <alignment horizontal="center"/>
    </xf>
    <xf numFmtId="166" fontId="0" fillId="0" borderId="0" xfId="2" applyNumberFormat="1" applyFont="1" applyAlignment="1">
      <alignment horizontal="center"/>
    </xf>
    <xf numFmtId="166" fontId="2" fillId="0" borderId="2" xfId="2" applyNumberFormat="1" applyFont="1" applyFill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Fill="1"/>
    <xf numFmtId="166" fontId="0" fillId="0" borderId="0" xfId="2" applyNumberFormat="1" applyFont="1" applyBorder="1" applyAlignment="1">
      <alignment horizontal="center" wrapText="1"/>
    </xf>
    <xf numFmtId="166" fontId="0" fillId="0" borderId="6" xfId="2" applyNumberFormat="1" applyFont="1" applyBorder="1" applyAlignment="1">
      <alignment horizontal="center" wrapText="1"/>
    </xf>
    <xf numFmtId="166" fontId="0" fillId="0" borderId="0" xfId="0" applyNumberFormat="1"/>
    <xf numFmtId="166" fontId="0" fillId="0" borderId="0" xfId="0" applyNumberFormat="1" applyAlignment="1">
      <alignment wrapText="1"/>
    </xf>
    <xf numFmtId="164" fontId="0" fillId="3" borderId="0" xfId="0" applyNumberFormat="1" applyFill="1"/>
    <xf numFmtId="164" fontId="0" fillId="3" borderId="0" xfId="2" applyNumberFormat="1" applyFont="1" applyFill="1"/>
    <xf numFmtId="166" fontId="0" fillId="3" borderId="0" xfId="2" applyNumberFormat="1" applyFont="1" applyFill="1"/>
    <xf numFmtId="0" fontId="0" fillId="2" borderId="0" xfId="0" applyFill="1"/>
    <xf numFmtId="166" fontId="0" fillId="2" borderId="0" xfId="0" applyNumberFormat="1" applyFill="1"/>
    <xf numFmtId="164" fontId="0" fillId="2" borderId="0" xfId="1" applyNumberFormat="1" applyFont="1" applyFill="1"/>
    <xf numFmtId="164" fontId="0" fillId="2" borderId="0" xfId="0" applyNumberFormat="1" applyFill="1"/>
    <xf numFmtId="0" fontId="0" fillId="0" borderId="0" xfId="0" applyFill="1" applyAlignment="1">
      <alignment horizontal="right"/>
    </xf>
    <xf numFmtId="0" fontId="2" fillId="0" borderId="0" xfId="0" applyFont="1"/>
    <xf numFmtId="15" fontId="2" fillId="0" borderId="0" xfId="0" applyNumberFormat="1" applyFont="1"/>
    <xf numFmtId="166" fontId="0" fillId="0" borderId="3" xfId="2" applyNumberFormat="1" applyFont="1" applyBorder="1" applyAlignment="1">
      <alignment horizontal="center"/>
    </xf>
    <xf numFmtId="166" fontId="0" fillId="0" borderId="4" xfId="2" applyNumberFormat="1" applyFont="1" applyBorder="1" applyAlignment="1">
      <alignment horizontal="center"/>
    </xf>
    <xf numFmtId="166" fontId="0" fillId="0" borderId="5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Downloads\DPU%20Exhibit%202.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Testimony Exhib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C6">
            <v>2010</v>
          </cell>
          <cell r="D6">
            <v>2011</v>
          </cell>
          <cell r="E6">
            <v>2012</v>
          </cell>
          <cell r="F6">
            <v>2013</v>
          </cell>
          <cell r="G6">
            <v>2014</v>
          </cell>
          <cell r="H6">
            <v>2015</v>
          </cell>
          <cell r="I6">
            <v>2016</v>
          </cell>
          <cell r="J6">
            <v>2017</v>
          </cell>
          <cell r="K6">
            <v>2018</v>
          </cell>
        </row>
        <row r="32">
          <cell r="B32" t="str">
            <v>Total Capital Expenditure</v>
          </cell>
          <cell r="C32">
            <v>110869624.42</v>
          </cell>
          <cell r="D32">
            <v>127596959.48</v>
          </cell>
          <cell r="E32">
            <v>161188420.29000005</v>
          </cell>
          <cell r="F32">
            <v>177262763.03999996</v>
          </cell>
          <cell r="G32">
            <v>161542086.56999999</v>
          </cell>
          <cell r="H32">
            <v>237710295.14999998</v>
          </cell>
          <cell r="I32">
            <v>237903957.90000001</v>
          </cell>
          <cell r="J32">
            <v>211143680</v>
          </cell>
          <cell r="K32">
            <v>212196346.31999996</v>
          </cell>
          <cell r="M32">
            <v>277702231</v>
          </cell>
        </row>
        <row r="44">
          <cell r="C44">
            <v>36736342</v>
          </cell>
          <cell r="D44">
            <v>58767529</v>
          </cell>
          <cell r="E44">
            <v>58773693</v>
          </cell>
          <cell r="F44">
            <v>54890577</v>
          </cell>
          <cell r="G44">
            <v>58233344</v>
          </cell>
          <cell r="H44">
            <v>66425036</v>
          </cell>
          <cell r="I44">
            <v>70556816</v>
          </cell>
          <cell r="J44">
            <v>68991700</v>
          </cell>
          <cell r="K44">
            <v>63132081</v>
          </cell>
        </row>
        <row r="56">
          <cell r="H56">
            <v>5870000</v>
          </cell>
          <cell r="I56">
            <v>12966000</v>
          </cell>
          <cell r="J56">
            <v>17495000</v>
          </cell>
          <cell r="K56">
            <v>10300000</v>
          </cell>
        </row>
        <row r="76">
          <cell r="H76">
            <v>237710295.14999995</v>
          </cell>
          <cell r="K76">
            <v>212196346.31999993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workbookViewId="0">
      <selection activeCell="F4" sqref="F4"/>
    </sheetView>
  </sheetViews>
  <sheetFormatPr defaultRowHeight="15" x14ac:dyDescent="0.25"/>
  <cols>
    <col min="2" max="2" width="29.42578125" bestFit="1" customWidth="1"/>
    <col min="3" max="13" width="12.5703125" bestFit="1" customWidth="1"/>
    <col min="14" max="14" width="14.5703125" bestFit="1" customWidth="1"/>
    <col min="16" max="16" width="9.42578125" bestFit="1" customWidth="1"/>
  </cols>
  <sheetData>
    <row r="1" spans="1:18" x14ac:dyDescent="0.25">
      <c r="P1" s="29" t="s">
        <v>35</v>
      </c>
      <c r="Q1" s="29"/>
      <c r="R1" s="29"/>
    </row>
    <row r="2" spans="1:18" x14ac:dyDescent="0.25">
      <c r="P2" s="29" t="s">
        <v>36</v>
      </c>
      <c r="Q2" s="29"/>
      <c r="R2" s="29"/>
    </row>
    <row r="3" spans="1:18" x14ac:dyDescent="0.25">
      <c r="E3" t="s">
        <v>34</v>
      </c>
      <c r="N3" s="28"/>
      <c r="P3" s="29" t="s">
        <v>37</v>
      </c>
      <c r="Q3" s="29"/>
      <c r="R3" s="29"/>
    </row>
    <row r="4" spans="1:18" x14ac:dyDescent="0.25">
      <c r="N4" s="28"/>
      <c r="P4" s="30">
        <v>43755</v>
      </c>
      <c r="Q4" s="29"/>
      <c r="R4" s="29"/>
    </row>
    <row r="5" spans="1:18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2" t="s">
        <v>9</v>
      </c>
      <c r="L5" s="3" t="s">
        <v>10</v>
      </c>
      <c r="M5" s="2" t="s">
        <v>11</v>
      </c>
      <c r="N5" s="4" t="s">
        <v>12</v>
      </c>
    </row>
    <row r="6" spans="1:18" ht="60" x14ac:dyDescent="0.25">
      <c r="A6" s="5"/>
      <c r="B6" s="5"/>
      <c r="C6" s="6">
        <f>+'[1]Testimony Exhibit'!C6</f>
        <v>2010</v>
      </c>
      <c r="D6" s="6">
        <f>+'[1]Testimony Exhibit'!D6</f>
        <v>2011</v>
      </c>
      <c r="E6" s="6">
        <f>+'[1]Testimony Exhibit'!E6</f>
        <v>2012</v>
      </c>
      <c r="F6" s="6">
        <f>+'[1]Testimony Exhibit'!F6</f>
        <v>2013</v>
      </c>
      <c r="G6" s="6">
        <f>+'[1]Testimony Exhibit'!G6</f>
        <v>2014</v>
      </c>
      <c r="H6" s="6">
        <f>+'[1]Testimony Exhibit'!H6</f>
        <v>2015</v>
      </c>
      <c r="I6" s="6">
        <f>+'[1]Testimony Exhibit'!I6</f>
        <v>2016</v>
      </c>
      <c r="J6" s="6">
        <f>+'[1]Testimony Exhibit'!J6</f>
        <v>2017</v>
      </c>
      <c r="K6" s="6">
        <f>+'[1]Testimony Exhibit'!K6</f>
        <v>2018</v>
      </c>
      <c r="L6" s="6">
        <v>2019</v>
      </c>
      <c r="M6" s="6">
        <v>2020</v>
      </c>
      <c r="N6" s="6" t="s">
        <v>13</v>
      </c>
    </row>
    <row r="7" spans="1:18" x14ac:dyDescent="0.25">
      <c r="A7">
        <v>1</v>
      </c>
      <c r="B7" s="7" t="str">
        <f>+'[1]Testimony Exhibit'!B32</f>
        <v>Total Capital Expenditure</v>
      </c>
      <c r="C7" s="7">
        <f>+'[1]Testimony Exhibit'!C32</f>
        <v>110869624.42</v>
      </c>
      <c r="D7" s="7">
        <f>+'[1]Testimony Exhibit'!D32</f>
        <v>127596959.48</v>
      </c>
      <c r="E7" s="7">
        <f>+'[1]Testimony Exhibit'!E32</f>
        <v>161188420.29000005</v>
      </c>
      <c r="F7" s="7">
        <f>+'[1]Testimony Exhibit'!F32</f>
        <v>177262763.03999996</v>
      </c>
      <c r="G7" s="7">
        <f>+'[1]Testimony Exhibit'!G32</f>
        <v>161542086.56999999</v>
      </c>
      <c r="H7" s="7">
        <f>+'[1]Testimony Exhibit'!H32</f>
        <v>237710295.14999998</v>
      </c>
      <c r="I7" s="7">
        <f>+'[1]Testimony Exhibit'!I32</f>
        <v>237903957.90000001</v>
      </c>
      <c r="J7" s="7">
        <f>+'[1]Testimony Exhibit'!J32</f>
        <v>211143680</v>
      </c>
      <c r="K7" s="7">
        <f>+'[1]Testimony Exhibit'!K32</f>
        <v>212196346.31999996</v>
      </c>
      <c r="L7" s="7">
        <v>233000000</v>
      </c>
      <c r="M7" s="7">
        <f>+'[1]Testimony Exhibit'!M32</f>
        <v>277702231</v>
      </c>
      <c r="N7" s="8">
        <f>RATE(9,,-C7,L7)</f>
        <v>8.6020815652290306E-2</v>
      </c>
      <c r="P7" s="29"/>
      <c r="Q7" s="29"/>
      <c r="R7" s="29"/>
    </row>
    <row r="8" spans="1:18" x14ac:dyDescent="0.25">
      <c r="A8">
        <v>2</v>
      </c>
      <c r="B8" s="1" t="s">
        <v>14</v>
      </c>
      <c r="D8" s="21">
        <f t="shared" ref="D8:K8" si="0">+D7-C7</f>
        <v>16727335.060000002</v>
      </c>
      <c r="E8" s="21">
        <f t="shared" si="0"/>
        <v>33591460.810000047</v>
      </c>
      <c r="F8" s="21">
        <f t="shared" si="0"/>
        <v>16074342.749999911</v>
      </c>
      <c r="G8" s="21">
        <f t="shared" si="0"/>
        <v>-15720676.469999969</v>
      </c>
      <c r="H8" s="21">
        <f t="shared" si="0"/>
        <v>76168208.579999983</v>
      </c>
      <c r="I8" s="21">
        <f t="shared" si="0"/>
        <v>193662.7500000298</v>
      </c>
      <c r="J8" s="21">
        <f t="shared" si="0"/>
        <v>-26760277.900000006</v>
      </c>
      <c r="K8" s="21">
        <f t="shared" si="0"/>
        <v>1052666.319999963</v>
      </c>
      <c r="L8" s="21">
        <f>L7-K7</f>
        <v>20803653.680000037</v>
      </c>
      <c r="M8" s="21">
        <f>+M7-L7</f>
        <v>44702231</v>
      </c>
      <c r="P8" s="29"/>
      <c r="Q8" s="29"/>
      <c r="R8" s="29"/>
    </row>
    <row r="9" spans="1:18" x14ac:dyDescent="0.25">
      <c r="A9">
        <v>3</v>
      </c>
      <c r="B9" s="1" t="s">
        <v>15</v>
      </c>
      <c r="D9" s="10">
        <f t="shared" ref="D9:M9" si="1">+D8/C7</f>
        <v>0.15087392193765314</v>
      </c>
      <c r="E9" s="10">
        <f t="shared" si="1"/>
        <v>0.26326223561201151</v>
      </c>
      <c r="F9" s="10">
        <f t="shared" si="1"/>
        <v>9.9723930050806167E-2</v>
      </c>
      <c r="G9" s="10">
        <f t="shared" si="1"/>
        <v>-8.8685723952370885E-2</v>
      </c>
      <c r="H9" s="10">
        <f t="shared" si="1"/>
        <v>0.47150690075427809</v>
      </c>
      <c r="I9" s="10">
        <f t="shared" si="1"/>
        <v>8.1470072584708504E-4</v>
      </c>
      <c r="J9" s="10">
        <f t="shared" si="1"/>
        <v>-0.11248353384372176</v>
      </c>
      <c r="K9" s="10">
        <f t="shared" si="1"/>
        <v>4.9855450089719144E-3</v>
      </c>
      <c r="L9" s="10">
        <f t="shared" si="1"/>
        <v>9.8039641307618719E-2</v>
      </c>
      <c r="M9" s="11">
        <f t="shared" si="1"/>
        <v>0.1918550686695279</v>
      </c>
      <c r="P9" s="29"/>
      <c r="Q9" s="29"/>
      <c r="R9" s="29"/>
    </row>
    <row r="10" spans="1:18" x14ac:dyDescent="0.25">
      <c r="D10" s="10"/>
      <c r="E10" s="10"/>
      <c r="F10" s="10"/>
      <c r="G10" s="10"/>
      <c r="H10" s="10"/>
      <c r="I10" s="10"/>
      <c r="J10" s="10"/>
      <c r="K10" s="10"/>
      <c r="L10" s="10"/>
      <c r="M10" s="11"/>
      <c r="P10" s="30"/>
      <c r="Q10" s="29"/>
      <c r="R10" s="29"/>
    </row>
    <row r="11" spans="1:18" ht="15.75" thickBot="1" x14ac:dyDescent="0.3">
      <c r="D11" s="10"/>
      <c r="E11" s="10"/>
      <c r="F11" s="10"/>
      <c r="G11" s="10"/>
      <c r="H11" s="10"/>
      <c r="I11" s="10"/>
      <c r="J11" s="10"/>
      <c r="K11" s="12" t="s">
        <v>16</v>
      </c>
      <c r="L11" s="13"/>
      <c r="M11" s="14" t="s">
        <v>17</v>
      </c>
    </row>
    <row r="12" spans="1:18" x14ac:dyDescent="0.25">
      <c r="A12">
        <v>4</v>
      </c>
      <c r="B12" s="7" t="s">
        <v>18</v>
      </c>
      <c r="D12" s="10"/>
      <c r="E12" s="10"/>
      <c r="F12" s="10"/>
      <c r="G12" s="10"/>
      <c r="H12" s="10"/>
      <c r="I12" s="10"/>
      <c r="J12" s="10"/>
      <c r="K12" s="15">
        <f>+K7</f>
        <v>212196346.31999996</v>
      </c>
      <c r="L12" s="10"/>
      <c r="M12" s="16">
        <f>+M7</f>
        <v>277702231</v>
      </c>
    </row>
    <row r="13" spans="1:18" x14ac:dyDescent="0.25">
      <c r="A13">
        <v>5</v>
      </c>
      <c r="B13" s="1" t="str">
        <f>+B8</f>
        <v>Annual Change</v>
      </c>
      <c r="D13" s="10"/>
      <c r="E13" s="10"/>
      <c r="F13" s="10"/>
      <c r="G13" s="10"/>
      <c r="H13" s="10"/>
      <c r="I13" s="10"/>
      <c r="J13" s="10"/>
      <c r="K13" s="10"/>
      <c r="L13" s="10"/>
      <c r="M13" s="22">
        <f>+M12-K12</f>
        <v>65505884.680000037</v>
      </c>
      <c r="N13" s="1" t="s">
        <v>19</v>
      </c>
    </row>
    <row r="14" spans="1:18" x14ac:dyDescent="0.25">
      <c r="A14">
        <v>6</v>
      </c>
      <c r="B14" s="1" t="str">
        <f>+B9</f>
        <v>Percent Change</v>
      </c>
      <c r="D14" s="10"/>
      <c r="E14" s="10"/>
      <c r="F14" s="10"/>
      <c r="G14" s="10"/>
      <c r="H14" s="10"/>
      <c r="I14" s="10"/>
      <c r="J14" s="10"/>
      <c r="K14" s="10"/>
      <c r="L14" s="10"/>
      <c r="M14" s="23">
        <f>+M13/K12</f>
        <v>0.30870411209255572</v>
      </c>
      <c r="N14" s="1" t="s">
        <v>20</v>
      </c>
    </row>
    <row r="15" spans="1:18" x14ac:dyDescent="0.25">
      <c r="M15" s="9"/>
    </row>
    <row r="16" spans="1:18" x14ac:dyDescent="0.25">
      <c r="B16" t="s">
        <v>21</v>
      </c>
      <c r="E16" s="7"/>
      <c r="F16" s="7"/>
      <c r="G16" s="7"/>
      <c r="H16" s="7">
        <f>-'[1]Testimony Exhibit'!H56</f>
        <v>-5870000</v>
      </c>
      <c r="I16" s="7">
        <f>-'[1]Testimony Exhibit'!I56</f>
        <v>-12966000</v>
      </c>
      <c r="J16" s="7">
        <f>-'[1]Testimony Exhibit'!J56</f>
        <v>-17495000</v>
      </c>
      <c r="K16" s="7">
        <f>-'[1]Testimony Exhibit'!K56</f>
        <v>-10300000</v>
      </c>
      <c r="L16" s="7">
        <v>-11000000</v>
      </c>
      <c r="M16" s="7">
        <v>-4000000</v>
      </c>
      <c r="N16" s="7"/>
    </row>
    <row r="18" spans="1:14" x14ac:dyDescent="0.25">
      <c r="B18" t="s">
        <v>22</v>
      </c>
      <c r="E18" s="7"/>
      <c r="H18" s="16">
        <v>-11400000</v>
      </c>
    </row>
    <row r="20" spans="1:14" x14ac:dyDescent="0.25">
      <c r="B20" t="s">
        <v>23</v>
      </c>
      <c r="C20" s="7">
        <f>-'[1]Testimony Exhibit'!C44</f>
        <v>-36736342</v>
      </c>
      <c r="D20" s="7">
        <f>-'[1]Testimony Exhibit'!D44</f>
        <v>-58767529</v>
      </c>
      <c r="E20" s="7">
        <f>-'[1]Testimony Exhibit'!E44</f>
        <v>-58773693</v>
      </c>
      <c r="F20" s="7">
        <f>-'[1]Testimony Exhibit'!F44</f>
        <v>-54890577</v>
      </c>
      <c r="G20" s="7">
        <f>-'[1]Testimony Exhibit'!G44</f>
        <v>-58233344</v>
      </c>
      <c r="H20" s="7">
        <f>-'[1]Testimony Exhibit'!H44</f>
        <v>-66425036</v>
      </c>
      <c r="I20" s="7">
        <f>-'[1]Testimony Exhibit'!I44</f>
        <v>-70556816</v>
      </c>
      <c r="J20" s="7">
        <f>-'[1]Testimony Exhibit'!J44</f>
        <v>-68991700</v>
      </c>
      <c r="K20" s="7">
        <f>-'[1]Testimony Exhibit'!K44</f>
        <v>-63132081</v>
      </c>
      <c r="L20" s="7">
        <v>-70936572</v>
      </c>
      <c r="M20" s="7">
        <v>-80000000</v>
      </c>
    </row>
    <row r="22" spans="1:14" x14ac:dyDescent="0.25">
      <c r="C22" s="7">
        <f t="shared" ref="C22:M22" si="2">+C18+C16+C7+C20</f>
        <v>74133282.420000002</v>
      </c>
      <c r="D22" s="7">
        <f t="shared" si="2"/>
        <v>68829430.480000004</v>
      </c>
      <c r="E22" s="7">
        <f t="shared" si="2"/>
        <v>102414727.29000005</v>
      </c>
      <c r="F22" s="7">
        <f t="shared" si="2"/>
        <v>122372186.03999996</v>
      </c>
      <c r="G22" s="7">
        <f t="shared" si="2"/>
        <v>103308742.56999999</v>
      </c>
      <c r="H22" s="7">
        <f t="shared" si="2"/>
        <v>154015259.14999998</v>
      </c>
      <c r="I22" s="7">
        <f t="shared" si="2"/>
        <v>154381141.90000001</v>
      </c>
      <c r="J22" s="7">
        <f t="shared" si="2"/>
        <v>124656980</v>
      </c>
      <c r="K22" s="7">
        <f t="shared" si="2"/>
        <v>138764265.31999996</v>
      </c>
      <c r="L22" s="7">
        <f t="shared" si="2"/>
        <v>151063428</v>
      </c>
      <c r="M22" s="7">
        <f t="shared" si="2"/>
        <v>193702231</v>
      </c>
    </row>
    <row r="23" spans="1:14" ht="15.75" thickBot="1" x14ac:dyDescent="0.3"/>
    <row r="24" spans="1:14" ht="15.75" thickBot="1" x14ac:dyDescent="0.3">
      <c r="J24" s="31" t="s">
        <v>24</v>
      </c>
      <c r="K24" s="32"/>
      <c r="L24" s="32"/>
      <c r="M24" s="32"/>
      <c r="N24" s="33"/>
    </row>
    <row r="25" spans="1:14" ht="60" x14ac:dyDescent="0.25">
      <c r="A25" s="5"/>
      <c r="B25" s="5"/>
      <c r="C25" s="5"/>
      <c r="D25" s="5"/>
      <c r="E25" s="5"/>
      <c r="F25" s="5"/>
      <c r="G25" s="5"/>
      <c r="H25" s="5"/>
      <c r="I25" s="5"/>
      <c r="J25" s="17"/>
      <c r="K25" s="17"/>
      <c r="L25" s="18" t="s">
        <v>25</v>
      </c>
      <c r="M25" s="18" t="s">
        <v>26</v>
      </c>
      <c r="N25" s="18" t="s">
        <v>27</v>
      </c>
    </row>
    <row r="26" spans="1:14" x14ac:dyDescent="0.25">
      <c r="A26">
        <v>7</v>
      </c>
      <c r="I26" s="19"/>
      <c r="J26" t="s">
        <v>28</v>
      </c>
      <c r="K26" s="19">
        <f>RATE(8,,-C7,K7)</f>
        <v>8.4527742061344807E-2</v>
      </c>
      <c r="L26" s="15">
        <f>K7*(1+K26)</f>
        <v>230132824.34809673</v>
      </c>
      <c r="M26" s="15">
        <f>+L26*(1+K26)</f>
        <v>249585432.36444142</v>
      </c>
      <c r="N26" s="9">
        <f>+M26-M7</f>
        <v>-28116798.635558575</v>
      </c>
    </row>
    <row r="27" spans="1:14" x14ac:dyDescent="0.25">
      <c r="A27">
        <v>8</v>
      </c>
      <c r="I27" s="19"/>
      <c r="J27" s="24" t="s">
        <v>29</v>
      </c>
      <c r="K27" s="25">
        <f>RATE(5,,-F7,K7)</f>
        <v>3.6630726394929043E-2</v>
      </c>
      <c r="L27" s="26">
        <f>K7*(1+K27)</f>
        <v>219969252.62405148</v>
      </c>
      <c r="M27" s="26">
        <f>+L27*(1+K27)</f>
        <v>228026886.13222015</v>
      </c>
      <c r="N27" s="27">
        <f>+M27-M7</f>
        <v>-49675344.867779851</v>
      </c>
    </row>
    <row r="28" spans="1:14" x14ac:dyDescent="0.25">
      <c r="A28">
        <v>9</v>
      </c>
      <c r="I28" s="19"/>
      <c r="J28" t="s">
        <v>30</v>
      </c>
      <c r="K28" s="19">
        <f>RATE(3,,-'[1]Testimony Exhibit'!H76,'[1]Testimony Exhibit'!K76)</f>
        <v>-3.7139649098608569E-2</v>
      </c>
      <c r="L28" s="15"/>
      <c r="M28" s="15"/>
      <c r="N28" s="9"/>
    </row>
    <row r="29" spans="1:14" x14ac:dyDescent="0.25">
      <c r="I29" s="19"/>
      <c r="K29" s="19"/>
      <c r="L29" s="15"/>
      <c r="M29" s="15"/>
      <c r="N29" s="9"/>
    </row>
    <row r="30" spans="1:14" ht="15.75" thickBot="1" x14ac:dyDescent="0.3">
      <c r="I30" s="19"/>
      <c r="K30" s="19"/>
      <c r="L30" s="15"/>
      <c r="M30" s="15"/>
      <c r="N30" s="9"/>
    </row>
    <row r="31" spans="1:14" ht="15.75" thickBot="1" x14ac:dyDescent="0.3">
      <c r="I31" s="19"/>
      <c r="J31" s="31" t="s">
        <v>31</v>
      </c>
      <c r="K31" s="32"/>
      <c r="L31" s="32"/>
      <c r="M31" s="32"/>
      <c r="N31" s="33"/>
    </row>
    <row r="32" spans="1:14" ht="30" x14ac:dyDescent="0.25">
      <c r="A32" s="5"/>
      <c r="B32" s="5"/>
      <c r="C32" s="5"/>
      <c r="D32" s="5"/>
      <c r="E32" s="5"/>
      <c r="F32" s="5"/>
      <c r="G32" s="5"/>
      <c r="H32" s="5"/>
      <c r="I32" s="20"/>
      <c r="J32" s="17"/>
      <c r="K32" s="17"/>
      <c r="L32" s="18" t="s">
        <v>32</v>
      </c>
      <c r="M32" s="18" t="s">
        <v>26</v>
      </c>
      <c r="N32" s="18" t="str">
        <f>+N25</f>
        <v>Est 2020 vs Proposed</v>
      </c>
    </row>
    <row r="33" spans="1:14" x14ac:dyDescent="0.25">
      <c r="A33">
        <v>10</v>
      </c>
      <c r="I33" s="19"/>
      <c r="J33" t="s">
        <v>33</v>
      </c>
      <c r="K33" s="19">
        <f>RATE(9,,-C7,L7)</f>
        <v>8.6020815652290306E-2</v>
      </c>
      <c r="L33" s="15">
        <v>233000000</v>
      </c>
      <c r="M33" s="15">
        <f>+L33*(1+K33)</f>
        <v>253042850.04698366</v>
      </c>
      <c r="N33" s="27">
        <f>+M33-M7</f>
        <v>-24659380.953016341</v>
      </c>
    </row>
    <row r="34" spans="1:14" x14ac:dyDescent="0.25">
      <c r="A34">
        <v>11</v>
      </c>
      <c r="I34" s="19"/>
      <c r="J34" t="s">
        <v>29</v>
      </c>
      <c r="K34" s="19">
        <f>RATE(5,,-G7,L7)</f>
        <v>7.6004398309224619E-2</v>
      </c>
      <c r="L34" s="15">
        <v>233000000</v>
      </c>
      <c r="M34" s="15">
        <f>+L34*(1+K34)</f>
        <v>250709024.80604935</v>
      </c>
      <c r="N34" s="9">
        <f>+M34-M7</f>
        <v>-26993206.193950653</v>
      </c>
    </row>
    <row r="35" spans="1:14" x14ac:dyDescent="0.25">
      <c r="A35">
        <v>12</v>
      </c>
      <c r="I35" s="19"/>
      <c r="J35" t="s">
        <v>30</v>
      </c>
      <c r="K35" s="19">
        <f>RATE(3,,-I7,L7)</f>
        <v>-6.9188207908573354E-3</v>
      </c>
      <c r="L35" s="15"/>
    </row>
    <row r="37" spans="1:14" x14ac:dyDescent="0.25">
      <c r="G37" s="7"/>
      <c r="H37" s="15"/>
      <c r="I37" s="15"/>
      <c r="J37" s="15"/>
      <c r="K37" s="15"/>
      <c r="L37" s="15"/>
      <c r="M37" s="15"/>
    </row>
  </sheetData>
  <mergeCells count="2">
    <mergeCell ref="J31:N31"/>
    <mergeCell ref="J24:N24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Orton</dc:creator>
  <cp:lastModifiedBy>Fred Nass</cp:lastModifiedBy>
  <cp:lastPrinted>2019-10-15T18:47:09Z</cp:lastPrinted>
  <dcterms:created xsi:type="dcterms:W3CDTF">2019-10-15T18:44:31Z</dcterms:created>
  <dcterms:modified xsi:type="dcterms:W3CDTF">2019-10-17T22:26:52Z</dcterms:modified>
</cp:coreProperties>
</file>